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comments14.xml" ContentType="application/vnd.openxmlformats-officedocument.spreadsheetml.comments+xml"/>
  <Override PartName="/xl/comments15.xml" ContentType="application/vnd.openxmlformats-officedocument.spreadsheetml.comments+xml"/>
  <Override PartName="/xl/comments16.xml" ContentType="application/vnd.openxmlformats-officedocument.spreadsheetml.comments+xml"/>
  <Override PartName="/xl/comments17.xml" ContentType="application/vnd.openxmlformats-officedocument.spreadsheetml.comments+xml"/>
  <Override PartName="/xl/comments18.xml" ContentType="application/vnd.openxmlformats-officedocument.spreadsheetml.comments+xml"/>
  <Override PartName="/xl/comments19.xml" ContentType="application/vnd.openxmlformats-officedocument.spreadsheetml.comments+xml"/>
  <Override PartName="/xl/comments20.xml" ContentType="application/vnd.openxmlformats-officedocument.spreadsheetml.comments+xml"/>
  <Override PartName="/xl/comments21.xml" ContentType="application/vnd.openxmlformats-officedocument.spreadsheetml.comments+xml"/>
  <Override PartName="/xl/comments22.xml" ContentType="application/vnd.openxmlformats-officedocument.spreadsheetml.comments+xml"/>
  <Override PartName="/xl/comments23.xml" ContentType="application/vnd.openxmlformats-officedocument.spreadsheetml.comments+xml"/>
  <Override PartName="/xl/comments24.xml" ContentType="application/vnd.openxmlformats-officedocument.spreadsheetml.comments+xml"/>
  <Override PartName="/xl/comments25.xml" ContentType="application/vnd.openxmlformats-officedocument.spreadsheetml.comments+xml"/>
  <Override PartName="/xl/comments26.xml" ContentType="application/vnd.openxmlformats-officedocument.spreadsheetml.comments+xml"/>
  <Override PartName="/xl/comments27.xml" ContentType="application/vnd.openxmlformats-officedocument.spreadsheetml.comments+xml"/>
  <Override PartName="/xl/comments28.xml" ContentType="application/vnd.openxmlformats-officedocument.spreadsheetml.comments+xml"/>
  <Override PartName="/xl/comments29.xml" ContentType="application/vnd.openxmlformats-officedocument.spreadsheetml.comments+xml"/>
  <Override PartName="/xl/comments30.xml" ContentType="application/vnd.openxmlformats-officedocument.spreadsheetml.comments+xml"/>
  <Override PartName="/xl/comments31.xml" ContentType="application/vnd.openxmlformats-officedocument.spreadsheetml.comments+xml"/>
  <Override PartName="/xl/comments32.xml" ContentType="application/vnd.openxmlformats-officedocument.spreadsheetml.comments+xml"/>
  <Override PartName="/xl/comments3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Dunghtm\Desktop\"/>
    </mc:Choice>
  </mc:AlternateContent>
  <bookViews>
    <workbookView xWindow="0" yWindow="1200" windowWidth="20400" windowHeight="6555" tabRatio="863" firstSheet="1" activeTab="23"/>
  </bookViews>
  <sheets>
    <sheet name="Mau" sheetId="67" state="hidden" r:id="rId1"/>
    <sheet name="danh muc (2)" sheetId="64" r:id="rId2"/>
    <sheet name="ghi chu" sheetId="9" state="hidden" r:id="rId3"/>
    <sheet name="sheet1" sheetId="1" state="hidden" r:id="rId4"/>
    <sheet name="Sheet4" sheetId="41" state="hidden" r:id="rId5"/>
    <sheet name="VP UBND" sheetId="4" r:id="rId6"/>
    <sheet name="KHĐT" sheetId="13" r:id="rId7"/>
    <sheet name="BQLKKT" sheetId="8" r:id="rId8"/>
    <sheet name="PN" sheetId="12" r:id="rId9"/>
    <sheet name="MTTQ" sheetId="35" r:id="rId10"/>
    <sheet name="VHNT" sheetId="10" r:id="rId11"/>
    <sheet name="KHKT" sheetId="5" r:id="rId12"/>
    <sheet name="TĐ" sheetId="11" r:id="rId13"/>
    <sheet name="CCB" sheetId="36" r:id="rId14"/>
    <sheet name="ND" sheetId="37" r:id="rId15"/>
    <sheet name="CTĐ" sheetId="14" r:id="rId16"/>
    <sheet name="CT" sheetId="15" r:id="rId17"/>
    <sheet name="TTTT" sheetId="17" r:id="rId18"/>
    <sheet name="TCHN" sheetId="7" r:id="rId19"/>
    <sheet name="HĐND" sheetId="20" r:id="rId20"/>
    <sheet name="NV" sheetId="44" r:id="rId21"/>
    <sheet name="STC" sheetId="58" r:id="rId22"/>
    <sheet name="YT" sheetId="56" state="hidden" r:id="rId23"/>
    <sheet name="YT (2)" sheetId="72" r:id="rId24"/>
    <sheet name="STNMT" sheetId="61" r:id="rId25"/>
    <sheet name="TTra" sheetId="48" r:id="rId26"/>
    <sheet name="HTX" sheetId="18" r:id="rId27"/>
    <sheet name="CDYT" sheetId="45" r:id="rId28"/>
    <sheet name="CDCD" sheetId="46" r:id="rId29"/>
    <sheet name="SXD" sheetId="42" r:id="rId30"/>
    <sheet name="VQG" sheetId="57" r:id="rId31"/>
    <sheet name="TP" sheetId="21" r:id="rId32"/>
    <sheet name="NgV" sheetId="24" r:id="rId33"/>
    <sheet name="GTVT" sheetId="34" r:id="rId34"/>
    <sheet name="KHCN" sheetId="38" r:id="rId35"/>
    <sheet name="XTTM" sheetId="30" r:id="rId36"/>
    <sheet name="VHTTDL" sheetId="66" r:id="rId37"/>
    <sheet name="GDĐT" sheetId="71" r:id="rId38"/>
    <sheet name="TCT" sheetId="32" r:id="rId39"/>
    <sheet name="NN&amp;PTNT" sheetId="62" r:id="rId40"/>
    <sheet name="LĐTBXH (17.9 ko ky lai)" sheetId="49" state="hidden" r:id="rId41"/>
    <sheet name="LĐTBXH" sheetId="70" r:id="rId42"/>
    <sheet name="TTXT2019" sheetId="29" state="hidden" r:id="rId43"/>
    <sheet name="CĐN" sheetId="50" state="hidden" r:id="rId44"/>
    <sheet name="CĐN (26.9)" sheetId="53" state="hidden" r:id="rId45"/>
    <sheet name="Sheet3" sheetId="69" r:id="rId46"/>
    <sheet name="sheet2" sheetId="2" state="hidden" r:id="rId47"/>
  </sheets>
  <definedNames>
    <definedName name="__IntlFixup" hidden="1">TRUE</definedName>
    <definedName name="_Fill" localSheetId="37" hidden="1">#REF!</definedName>
    <definedName name="_Fill" localSheetId="41" hidden="1">#REF!</definedName>
    <definedName name="_Fill" localSheetId="36" hidden="1">#REF!</definedName>
    <definedName name="_Fill" localSheetId="23" hidden="1">#REF!</definedName>
    <definedName name="_Fill" hidden="1">#REF!</definedName>
    <definedName name="_Key1" localSheetId="37" hidden="1">#REF!</definedName>
    <definedName name="_Key1" localSheetId="41" hidden="1">#REF!</definedName>
    <definedName name="_Key1" localSheetId="36" hidden="1">#REF!</definedName>
    <definedName name="_Key1" localSheetId="23" hidden="1">#REF!</definedName>
    <definedName name="_Key1" hidden="1">#REF!</definedName>
    <definedName name="_Key2" localSheetId="37" hidden="1">#REF!</definedName>
    <definedName name="_Key2" localSheetId="41" hidden="1">#REF!</definedName>
    <definedName name="_Key2" localSheetId="36" hidden="1">#REF!</definedName>
    <definedName name="_Key2" localSheetId="23" hidden="1">#REF!</definedName>
    <definedName name="_Key2" hidden="1">#REF!</definedName>
    <definedName name="_Order1" hidden="1">255</definedName>
    <definedName name="_Order2" hidden="1">255</definedName>
    <definedName name="_Sort" localSheetId="37" hidden="1">#REF!</definedName>
    <definedName name="_Sort" localSheetId="41" hidden="1">#REF!</definedName>
    <definedName name="_Sort" localSheetId="36" hidden="1">#REF!</definedName>
    <definedName name="_Sort" localSheetId="23" hidden="1">#REF!</definedName>
    <definedName name="_Sort" hidden="1">#REF!</definedName>
    <definedName name="a" hidden="1">{"'Sheet1'!$L$16"}</definedName>
    <definedName name="aa" localSheetId="37" hidden="1">#REF!</definedName>
    <definedName name="aa" localSheetId="41" hidden="1">#REF!</definedName>
    <definedName name="aa" localSheetId="36" hidden="1">#REF!</definedName>
    <definedName name="aa" localSheetId="23" hidden="1">#REF!</definedName>
    <definedName name="aa" hidden="1">#REF!</definedName>
    <definedName name="aaa" hidden="1">{"'Sheet1'!$L$16"}</definedName>
    <definedName name="aaaa" localSheetId="37" hidden="1">#REF!</definedName>
    <definedName name="aaaa" localSheetId="41" hidden="1">#REF!</definedName>
    <definedName name="aaaa" localSheetId="36" hidden="1">#REF!</definedName>
    <definedName name="aaaa" localSheetId="23" hidden="1">#REF!</definedName>
    <definedName name="aaaa" hidden="1">#REF!</definedName>
    <definedName name="aaaaa" hidden="1">{"'Sheet1'!$L$16"}</definedName>
    <definedName name="aaaaaa" hidden="1">{"'Sheet1'!$L$16"}</definedName>
    <definedName name="aaaaaaa" hidden="1">{"'Sheet1'!$L$16"}</definedName>
    <definedName name="abc" hidden="1">{#N/A,#N/A,FALSE,"Chi tiÆt"}</definedName>
    <definedName name="h" hidden="1">{"'Sheet1'!$L$16"}</definedName>
    <definedName name="hcm" hidden="1">{"'Sheet1'!$L$16"}</definedName>
    <definedName name="hh" hidden="1">{"'Sheet1'!$L$16"}</definedName>
    <definedName name="HTML_CodePage" hidden="1">950</definedName>
    <definedName name="HTML_Control" hidden="1">{"'Sheet1'!$L$16"}</definedName>
    <definedName name="HTML_Description" hidden="1">""</definedName>
    <definedName name="HTML_Email" hidden="1">""</definedName>
    <definedName name="HTML_Header" hidden="1">"Sheet1"</definedName>
    <definedName name="HTML_LastUpdate" hidden="1">"2000/9/14"</definedName>
    <definedName name="HTML_LineAfter" hidden="1">FALSE</definedName>
    <definedName name="HTML_LineBefore" hidden="1">FALSE</definedName>
    <definedName name="HTML_Name" hidden="1">"J.C.WONG"</definedName>
    <definedName name="HTML_OBDlg2" hidden="1">TRUE</definedName>
    <definedName name="HTML_OBDlg4" hidden="1">TRUE</definedName>
    <definedName name="HTML_OS" hidden="1">0</definedName>
    <definedName name="HTML_PathFile" hidden="1">"C:\2689\Q\國內\00q3961台化龍德PTA3建造\MyHTML.htm"</definedName>
    <definedName name="HTML_Title" hidden="1">"00Q3961-SUM"</definedName>
    <definedName name="huy" hidden="1">{"'Sheet1'!$L$16"}</definedName>
    <definedName name="_xlnm.Print_Area" localSheetId="39">'NN&amp;PTNT'!$A$1:$H$204</definedName>
    <definedName name="_xlnm.Print_Titles" localSheetId="7">BQLKKT!$24:$24</definedName>
    <definedName name="_xlnm.Print_Titles" localSheetId="13">CCB!$25:$25</definedName>
    <definedName name="_xlnm.Print_Titles" localSheetId="28">CDCD!$26:$26</definedName>
    <definedName name="_xlnm.Print_Titles" localSheetId="43">CĐN!$25:$26</definedName>
    <definedName name="_xlnm.Print_Titles" localSheetId="44">'CĐN (26.9)'!$25:$26</definedName>
    <definedName name="_xlnm.Print_Titles" localSheetId="27">CDYT!$26:$26</definedName>
    <definedName name="_xlnm.Print_Titles" localSheetId="16">CT!$27:$27</definedName>
    <definedName name="_xlnm.Print_Titles" localSheetId="15">CTĐ!$26:$26</definedName>
    <definedName name="_xlnm.Print_Titles" localSheetId="1">'danh muc (2)'!$3:$3</definedName>
    <definedName name="_xlnm.Print_Titles" localSheetId="37">GDĐT!$30:$30</definedName>
    <definedName name="_xlnm.Print_Titles" localSheetId="33">GTVT!$31:$31</definedName>
    <definedName name="_xlnm.Print_Titles" localSheetId="19">HĐND!$25:$25</definedName>
    <definedName name="_xlnm.Print_Titles" localSheetId="26">HTX!$26:$26</definedName>
    <definedName name="_xlnm.Print_Titles" localSheetId="34">KHCN!$27:$27</definedName>
    <definedName name="_xlnm.Print_Titles" localSheetId="6">KHĐT!$26:$26</definedName>
    <definedName name="_xlnm.Print_Titles" localSheetId="11">KHKT!$26:$26</definedName>
    <definedName name="_xlnm.Print_Titles" localSheetId="41">LĐTBXH!$31:$31</definedName>
    <definedName name="_xlnm.Print_Titles" localSheetId="40">'LĐTBXH (17.9 ko ky lai)'!$31:$33</definedName>
    <definedName name="_xlnm.Print_Titles" localSheetId="9">MTTQ!$26:$26</definedName>
    <definedName name="_xlnm.Print_Titles" localSheetId="14">ND!$26:$26</definedName>
    <definedName name="_xlnm.Print_Titles" localSheetId="32">NgV!$26:$26</definedName>
    <definedName name="_xlnm.Print_Titles" localSheetId="39">'NN&amp;PTNT'!$26:$26</definedName>
    <definedName name="_xlnm.Print_Titles" localSheetId="20">NV!$28:$28</definedName>
    <definedName name="_xlnm.Print_Titles" localSheetId="8">PN!$26:$26</definedName>
    <definedName name="_xlnm.Print_Titles" localSheetId="3">sheet1!$20:$22</definedName>
    <definedName name="_xlnm.Print_Titles" localSheetId="46">sheet2!$20:$22</definedName>
    <definedName name="_xlnm.Print_Titles" localSheetId="21">STC!$24:$24</definedName>
    <definedName name="_xlnm.Print_Titles" localSheetId="24">STNMT!$30:$30</definedName>
    <definedName name="_xlnm.Print_Titles" localSheetId="29">SXD!$26:$26</definedName>
    <definedName name="_xlnm.Print_Titles" localSheetId="18">TCHN!$25:$25</definedName>
    <definedName name="_xlnm.Print_Titles" localSheetId="38">TCT!$29:$29</definedName>
    <definedName name="_xlnm.Print_Titles" localSheetId="12">TĐ!$27:$27</definedName>
    <definedName name="_xlnm.Print_Titles" localSheetId="31">TP!$28:$28</definedName>
    <definedName name="_xlnm.Print_Titles" localSheetId="25">TTra!$26:$26</definedName>
    <definedName name="_xlnm.Print_Titles" localSheetId="17">TTTT!$26:$26</definedName>
    <definedName name="_xlnm.Print_Titles" localSheetId="42">TTXT2019!$27:$29</definedName>
    <definedName name="_xlnm.Print_Titles" localSheetId="10">VHNT!$26:$26</definedName>
    <definedName name="_xlnm.Print_Titles" localSheetId="36">VHTTDL!$27:$27</definedName>
    <definedName name="_xlnm.Print_Titles" localSheetId="5">'VP UBND'!$24:$24</definedName>
    <definedName name="_xlnm.Print_Titles" localSheetId="30">VQG!$26:$26</definedName>
    <definedName name="_xlnm.Print_Titles" localSheetId="35">XTTM!$27:$27</definedName>
    <definedName name="_xlnm.Print_Titles" localSheetId="22">YT!$27:$27</definedName>
    <definedName name="_xlnm.Print_Titles" localSheetId="23">'YT (2)'!$27:$27</definedName>
    <definedName name="sfdsfsd" hidden="1">{"'Sheet1'!$L$16"}</definedName>
    <definedName name="tp" hidden="1">{"'Sheet1'!$L$16"}</definedName>
    <definedName name="vinhlong" hidden="1">{"'Sheet1'!$L$16"}</definedName>
    <definedName name="wrn.chi._.tiÆt." hidden="1">{#N/A,#N/A,FALSE,"Chi tiÆt"}</definedName>
  </definedNames>
  <calcPr calcId="152511"/>
</workbook>
</file>

<file path=xl/calcChain.xml><?xml version="1.0" encoding="utf-8"?>
<calcChain xmlns="http://schemas.openxmlformats.org/spreadsheetml/2006/main">
  <c r="F97" i="72" l="1"/>
  <c r="F82" i="72"/>
  <c r="F98" i="72" l="1"/>
  <c r="F95" i="72"/>
  <c r="F94" i="72"/>
  <c r="G107" i="72"/>
  <c r="H107" i="72" s="1"/>
  <c r="H106" i="72" s="1"/>
  <c r="G106" i="72"/>
  <c r="E106" i="72"/>
  <c r="H100" i="72"/>
  <c r="H99" i="72" s="1"/>
  <c r="G100" i="72"/>
  <c r="F100" i="72"/>
  <c r="F99" i="72" s="1"/>
  <c r="G99" i="72"/>
  <c r="E99" i="72"/>
  <c r="G97" i="72"/>
  <c r="H97" i="72" s="1"/>
  <c r="E97" i="72"/>
  <c r="H96" i="72"/>
  <c r="G96" i="72"/>
  <c r="E95" i="72"/>
  <c r="E81" i="72" s="1"/>
  <c r="G94" i="72"/>
  <c r="H94" i="72" s="1"/>
  <c r="G93" i="72"/>
  <c r="H93" i="72" s="1"/>
  <c r="G92" i="72"/>
  <c r="H92" i="72" s="1"/>
  <c r="G91" i="72"/>
  <c r="H91" i="72" s="1"/>
  <c r="G90" i="72"/>
  <c r="H90" i="72" s="1"/>
  <c r="G89" i="72"/>
  <c r="H89" i="72" s="1"/>
  <c r="F89" i="72"/>
  <c r="E89" i="72"/>
  <c r="G88" i="72"/>
  <c r="H88" i="72" s="1"/>
  <c r="E88" i="72"/>
  <c r="H87" i="72"/>
  <c r="G87" i="72"/>
  <c r="H86" i="72"/>
  <c r="G86" i="72"/>
  <c r="H85" i="72"/>
  <c r="G85" i="72"/>
  <c r="F85" i="72"/>
  <c r="G84" i="72"/>
  <c r="H84" i="72" s="1"/>
  <c r="G83" i="72"/>
  <c r="H83" i="72" s="1"/>
  <c r="G82" i="72"/>
  <c r="H82" i="72" s="1"/>
  <c r="G77" i="72"/>
  <c r="H77" i="72" s="1"/>
  <c r="H76" i="72" s="1"/>
  <c r="F77" i="72"/>
  <c r="F76" i="72"/>
  <c r="E76" i="72"/>
  <c r="H75" i="72"/>
  <c r="G75" i="72"/>
  <c r="F74" i="72"/>
  <c r="G74" i="72" s="1"/>
  <c r="H74" i="72" s="1"/>
  <c r="G73" i="72"/>
  <c r="H73" i="72" s="1"/>
  <c r="G72" i="72"/>
  <c r="H72" i="72" s="1"/>
  <c r="H71" i="72" s="1"/>
  <c r="F71" i="72"/>
  <c r="F70" i="72"/>
  <c r="F69" i="72" s="1"/>
  <c r="E70" i="72"/>
  <c r="E69" i="72"/>
  <c r="H67" i="72"/>
  <c r="G67" i="72"/>
  <c r="H66" i="72"/>
  <c r="H65" i="72" s="1"/>
  <c r="G66" i="72"/>
  <c r="F66" i="72"/>
  <c r="F65" i="72" s="1"/>
  <c r="G65" i="72"/>
  <c r="E65" i="72"/>
  <c r="G64" i="72"/>
  <c r="H64" i="72" s="1"/>
  <c r="G63" i="72"/>
  <c r="H63" i="72" s="1"/>
  <c r="G62" i="72"/>
  <c r="F62" i="72"/>
  <c r="E62" i="72"/>
  <c r="G61" i="72"/>
  <c r="H61" i="72" s="1"/>
  <c r="F61" i="72"/>
  <c r="F56" i="72" s="1"/>
  <c r="F52" i="72" s="1"/>
  <c r="E61" i="72"/>
  <c r="G60" i="72"/>
  <c r="H60" i="72" s="1"/>
  <c r="G59" i="72"/>
  <c r="H59" i="72" s="1"/>
  <c r="G58" i="72"/>
  <c r="G57" i="72" s="1"/>
  <c r="G56" i="72" s="1"/>
  <c r="G52" i="72" s="1"/>
  <c r="F57" i="72"/>
  <c r="E57" i="72"/>
  <c r="E56" i="72"/>
  <c r="E55" i="72"/>
  <c r="H54" i="72"/>
  <c r="G54" i="72"/>
  <c r="F54" i="72"/>
  <c r="G53" i="72"/>
  <c r="G55" i="72" s="1"/>
  <c r="E52" i="72"/>
  <c r="G48" i="72"/>
  <c r="H48" i="72" s="1"/>
  <c r="F48" i="72"/>
  <c r="H47" i="72"/>
  <c r="G47" i="72"/>
  <c r="H46" i="72"/>
  <c r="G46" i="72"/>
  <c r="F46" i="72"/>
  <c r="G45" i="72"/>
  <c r="H45" i="72" s="1"/>
  <c r="G44" i="72"/>
  <c r="H44" i="72" s="1"/>
  <c r="H43" i="72" s="1"/>
  <c r="F44" i="72"/>
  <c r="F43" i="72"/>
  <c r="E43" i="72"/>
  <c r="H42" i="72"/>
  <c r="G42" i="72"/>
  <c r="F42" i="72"/>
  <c r="F40" i="72" s="1"/>
  <c r="F34" i="72" s="1"/>
  <c r="F30" i="72" s="1"/>
  <c r="F29" i="72" s="1"/>
  <c r="G41" i="72"/>
  <c r="H41" i="72" s="1"/>
  <c r="H40" i="72" s="1"/>
  <c r="G40" i="72"/>
  <c r="E40" i="72"/>
  <c r="E34" i="72" s="1"/>
  <c r="E30" i="72" s="1"/>
  <c r="E29" i="72" s="1"/>
  <c r="E28" i="72" s="1"/>
  <c r="G39" i="72"/>
  <c r="H39" i="72" s="1"/>
  <c r="F39" i="72"/>
  <c r="H38" i="72"/>
  <c r="G38" i="72"/>
  <c r="H37" i="72"/>
  <c r="G37" i="72"/>
  <c r="H36" i="72"/>
  <c r="G36" i="72"/>
  <c r="G35" i="72" s="1"/>
  <c r="G34" i="72" s="1"/>
  <c r="H35" i="72"/>
  <c r="H34" i="72" s="1"/>
  <c r="H30" i="72" s="1"/>
  <c r="F35" i="72"/>
  <c r="E35" i="72"/>
  <c r="E33" i="72"/>
  <c r="G32" i="72"/>
  <c r="H32" i="72" s="1"/>
  <c r="H33" i="72" s="1"/>
  <c r="F32" i="72"/>
  <c r="H31" i="72"/>
  <c r="G31" i="72"/>
  <c r="G33" i="72" s="1"/>
  <c r="F81" i="72" l="1"/>
  <c r="F28" i="72"/>
  <c r="H62" i="72"/>
  <c r="H70" i="72"/>
  <c r="H69" i="72" s="1"/>
  <c r="G71" i="72"/>
  <c r="G70" i="72" s="1"/>
  <c r="G43" i="72"/>
  <c r="G30" i="72" s="1"/>
  <c r="H53" i="72"/>
  <c r="H55" i="72" s="1"/>
  <c r="H58" i="72"/>
  <c r="H57" i="72" s="1"/>
  <c r="G76" i="72"/>
  <c r="G95" i="72"/>
  <c r="F41" i="20"/>
  <c r="H95" i="72" l="1"/>
  <c r="H81" i="72" s="1"/>
  <c r="G81" i="72"/>
  <c r="G69" i="72"/>
  <c r="G29" i="72" s="1"/>
  <c r="G28" i="72" s="1"/>
  <c r="H56" i="72"/>
  <c r="H52" i="72" s="1"/>
  <c r="H29" i="72" s="1"/>
  <c r="F73" i="71"/>
  <c r="H28" i="72" l="1"/>
  <c r="F102" i="61"/>
  <c r="F38" i="44" l="1"/>
  <c r="G116" i="61" l="1"/>
  <c r="H116" i="61" s="1"/>
  <c r="F116" i="61"/>
  <c r="E111" i="61"/>
  <c r="E102" i="61" s="1"/>
  <c r="E99" i="61" s="1"/>
  <c r="F106" i="61"/>
  <c r="G101" i="61"/>
  <c r="H101" i="61" s="1"/>
  <c r="G100" i="61"/>
  <c r="H100" i="61" s="1"/>
  <c r="F100" i="61"/>
  <c r="E86" i="61"/>
  <c r="G91" i="61"/>
  <c r="H91" i="61" s="1"/>
  <c r="F91" i="61"/>
  <c r="F86" i="61" s="1"/>
  <c r="H89" i="61"/>
  <c r="G89" i="61"/>
  <c r="G88" i="61"/>
  <c r="G82" i="61"/>
  <c r="H82" i="61" s="1"/>
  <c r="H81" i="61" s="1"/>
  <c r="F82" i="61"/>
  <c r="F81" i="61" s="1"/>
  <c r="E81" i="61"/>
  <c r="G80" i="61"/>
  <c r="H80" i="61" s="1"/>
  <c r="H79" i="61"/>
  <c r="F78" i="61"/>
  <c r="E78" i="61"/>
  <c r="F77" i="61"/>
  <c r="G77" i="61" s="1"/>
  <c r="H77" i="61" s="1"/>
  <c r="G76" i="61"/>
  <c r="H76" i="61" s="1"/>
  <c r="G75" i="61"/>
  <c r="H75" i="61" s="1"/>
  <c r="E75" i="61"/>
  <c r="E74" i="61" s="1"/>
  <c r="E73" i="61" s="1"/>
  <c r="E69" i="61" s="1"/>
  <c r="F74" i="61"/>
  <c r="E72" i="61"/>
  <c r="H71" i="61"/>
  <c r="G71" i="61"/>
  <c r="G70" i="61"/>
  <c r="G72" i="61" s="1"/>
  <c r="G67" i="61"/>
  <c r="H67" i="61" s="1"/>
  <c r="H66" i="61" s="1"/>
  <c r="F67" i="61"/>
  <c r="F66" i="61" s="1"/>
  <c r="E66" i="61"/>
  <c r="G65" i="61"/>
  <c r="H65" i="61" s="1"/>
  <c r="G64" i="61"/>
  <c r="F63" i="61"/>
  <c r="E63" i="61"/>
  <c r="F62" i="61"/>
  <c r="E62" i="61"/>
  <c r="G62" i="61" s="1"/>
  <c r="H62" i="61" s="1"/>
  <c r="G61" i="61"/>
  <c r="H61" i="61" s="1"/>
  <c r="G60" i="61"/>
  <c r="F59" i="61"/>
  <c r="F58" i="61" s="1"/>
  <c r="E59" i="61"/>
  <c r="F56" i="61"/>
  <c r="G56" i="61" s="1"/>
  <c r="H56" i="61" s="1"/>
  <c r="E56" i="61"/>
  <c r="G55" i="61"/>
  <c r="F53" i="61"/>
  <c r="E52" i="61"/>
  <c r="G49" i="61"/>
  <c r="H49" i="61" s="1"/>
  <c r="G46" i="61"/>
  <c r="H46" i="61" s="1"/>
  <c r="F45" i="61"/>
  <c r="G45" i="61" s="1"/>
  <c r="H45" i="61" s="1"/>
  <c r="E45" i="61"/>
  <c r="E43" i="61" s="1"/>
  <c r="G44" i="61"/>
  <c r="H44" i="61" s="1"/>
  <c r="F44" i="61"/>
  <c r="G42" i="61"/>
  <c r="H42" i="61" s="1"/>
  <c r="F41" i="61"/>
  <c r="G41" i="61" s="1"/>
  <c r="H41" i="61" s="1"/>
  <c r="G40" i="61"/>
  <c r="H40" i="61" s="1"/>
  <c r="G39" i="61"/>
  <c r="H39" i="61" s="1"/>
  <c r="F38" i="61"/>
  <c r="E38" i="61"/>
  <c r="E37" i="61"/>
  <c r="E36" i="61"/>
  <c r="G35" i="61"/>
  <c r="H35" i="61" s="1"/>
  <c r="G34" i="61"/>
  <c r="G66" i="61" l="1"/>
  <c r="F99" i="61"/>
  <c r="F73" i="61"/>
  <c r="F69" i="61" s="1"/>
  <c r="G86" i="61"/>
  <c r="E33" i="61"/>
  <c r="G63" i="61"/>
  <c r="H78" i="61"/>
  <c r="G36" i="61"/>
  <c r="G59" i="61"/>
  <c r="G58" i="61" s="1"/>
  <c r="G54" i="61" s="1"/>
  <c r="F43" i="61"/>
  <c r="F33" i="61" s="1"/>
  <c r="G81" i="61"/>
  <c r="F37" i="61"/>
  <c r="H43" i="61"/>
  <c r="E58" i="61"/>
  <c r="E54" i="61" s="1"/>
  <c r="H38" i="61"/>
  <c r="H37" i="61" s="1"/>
  <c r="H99" i="61"/>
  <c r="F54" i="61"/>
  <c r="H74" i="61"/>
  <c r="H73" i="61" s="1"/>
  <c r="H69" i="61" s="1"/>
  <c r="G57" i="61"/>
  <c r="H70" i="61"/>
  <c r="H72" i="61" s="1"/>
  <c r="G74" i="61"/>
  <c r="G78" i="61"/>
  <c r="E84" i="61"/>
  <c r="H34" i="61"/>
  <c r="H36" i="61" s="1"/>
  <c r="G38" i="61"/>
  <c r="G37" i="61" s="1"/>
  <c r="G43" i="61"/>
  <c r="H55" i="61"/>
  <c r="H57" i="61" s="1"/>
  <c r="H60" i="61"/>
  <c r="H59" i="61" s="1"/>
  <c r="H64" i="61"/>
  <c r="H63" i="61" s="1"/>
  <c r="F84" i="61"/>
  <c r="H88" i="61"/>
  <c r="G99" i="61"/>
  <c r="G84" i="61"/>
  <c r="G73" i="61" l="1"/>
  <c r="G69" i="61" s="1"/>
  <c r="E32" i="61"/>
  <c r="G33" i="61"/>
  <c r="G32" i="61" s="1"/>
  <c r="G31" i="61" s="1"/>
  <c r="H33" i="61"/>
  <c r="E31" i="61"/>
  <c r="F32" i="61"/>
  <c r="F31" i="61" s="1"/>
  <c r="H58" i="61"/>
  <c r="H54" i="61" s="1"/>
  <c r="H32" i="61" s="1"/>
  <c r="H84" i="61"/>
  <c r="H86" i="61"/>
  <c r="H31" i="61" l="1"/>
  <c r="F77" i="44"/>
  <c r="F86" i="71" l="1"/>
  <c r="F158" i="62" l="1"/>
  <c r="F192" i="62"/>
  <c r="G193" i="62"/>
  <c r="H193" i="62" s="1"/>
  <c r="H192" i="62" s="1"/>
  <c r="G192" i="62" l="1"/>
  <c r="E35" i="24"/>
  <c r="F57" i="24"/>
  <c r="F45" i="24"/>
  <c r="F47" i="24"/>
  <c r="G47" i="24" s="1"/>
  <c r="H47" i="24" s="1"/>
  <c r="F36" i="24"/>
  <c r="F38" i="24"/>
  <c r="G38" i="24" s="1"/>
  <c r="H38" i="24" s="1"/>
  <c r="F37" i="24"/>
  <c r="G37" i="24" s="1"/>
  <c r="G39" i="24"/>
  <c r="H39" i="24" s="1"/>
  <c r="G40" i="24"/>
  <c r="H40" i="24" s="1"/>
  <c r="G41" i="24"/>
  <c r="H41" i="24" s="1"/>
  <c r="G42" i="24"/>
  <c r="H42" i="24" s="1"/>
  <c r="G43" i="24"/>
  <c r="H43" i="24" s="1"/>
  <c r="G31" i="24"/>
  <c r="H31" i="24" s="1"/>
  <c r="F32" i="24"/>
  <c r="F30" i="24"/>
  <c r="F29" i="24" s="1"/>
  <c r="F28" i="24" l="1"/>
  <c r="G30" i="24"/>
  <c r="G29" i="24" s="1"/>
  <c r="F35" i="24"/>
  <c r="E97" i="70"/>
  <c r="F97" i="70"/>
  <c r="F95" i="70" s="1"/>
  <c r="G96" i="70"/>
  <c r="H96" i="70" s="1"/>
  <c r="E95" i="70"/>
  <c r="E75" i="70"/>
  <c r="E33" i="70" s="1"/>
  <c r="F33" i="70"/>
  <c r="G34" i="70"/>
  <c r="G75" i="70"/>
  <c r="F94" i="70"/>
  <c r="F91" i="70"/>
  <c r="G89" i="70"/>
  <c r="G88" i="70"/>
  <c r="G85" i="70"/>
  <c r="F86" i="70"/>
  <c r="G86" i="70" s="1"/>
  <c r="H30" i="24" l="1"/>
  <c r="H29" i="24" s="1"/>
  <c r="G97" i="70"/>
  <c r="G33" i="70"/>
  <c r="F84" i="70"/>
  <c r="G95" i="70"/>
  <c r="H97" i="70"/>
  <c r="H95" i="70" s="1"/>
  <c r="H34" i="70"/>
  <c r="G84" i="70"/>
  <c r="E192" i="62" l="1"/>
  <c r="E165" i="62"/>
  <c r="F166" i="62"/>
  <c r="F165" i="62" s="1"/>
  <c r="G162" i="62"/>
  <c r="H162" i="62" s="1"/>
  <c r="G159" i="62"/>
  <c r="G152" i="62"/>
  <c r="H152" i="62" s="1"/>
  <c r="G151" i="62"/>
  <c r="H151" i="62" s="1"/>
  <c r="G157" i="62"/>
  <c r="H157" i="62" s="1"/>
  <c r="G156" i="62"/>
  <c r="H156" i="62" s="1"/>
  <c r="F155" i="62"/>
  <c r="E155" i="62"/>
  <c r="G143" i="62"/>
  <c r="H143" i="62"/>
  <c r="F196" i="62"/>
  <c r="H196" i="62"/>
  <c r="E153" i="62"/>
  <c r="F153" i="62"/>
  <c r="G153" i="62" s="1"/>
  <c r="H153" i="62" s="1"/>
  <c r="F149" i="62"/>
  <c r="F143" i="62" s="1"/>
  <c r="E194" i="62"/>
  <c r="E126" i="62"/>
  <c r="G135" i="62"/>
  <c r="H135" i="62" s="1"/>
  <c r="F133" i="62"/>
  <c r="G133" i="62" s="1"/>
  <c r="H133" i="62" s="1"/>
  <c r="G128" i="62"/>
  <c r="H128" i="62" s="1"/>
  <c r="G129" i="62"/>
  <c r="H129" i="62" s="1"/>
  <c r="G130" i="62"/>
  <c r="H130" i="62" s="1"/>
  <c r="G131" i="62"/>
  <c r="H131" i="62" s="1"/>
  <c r="G132" i="62"/>
  <c r="H132" i="62" s="1"/>
  <c r="G134" i="62"/>
  <c r="H134" i="62" s="1"/>
  <c r="F127" i="62"/>
  <c r="G127" i="62" s="1"/>
  <c r="H127" i="62" s="1"/>
  <c r="G107" i="62"/>
  <c r="H107" i="62" s="1"/>
  <c r="E138" i="62"/>
  <c r="E141" i="62"/>
  <c r="G142" i="62"/>
  <c r="H142" i="62" s="1"/>
  <c r="F141" i="62"/>
  <c r="G141" i="62" s="1"/>
  <c r="H141" i="62" s="1"/>
  <c r="G140" i="62"/>
  <c r="H140" i="62" s="1"/>
  <c r="G139" i="62"/>
  <c r="H139" i="62" s="1"/>
  <c r="F138" i="62"/>
  <c r="G98" i="62"/>
  <c r="H98" i="62" s="1"/>
  <c r="G97" i="62"/>
  <c r="H97" i="62" s="1"/>
  <c r="E108" i="62"/>
  <c r="G113" i="62"/>
  <c r="H113" i="62" s="1"/>
  <c r="G110" i="62"/>
  <c r="H110" i="62" s="1"/>
  <c r="G111" i="62"/>
  <c r="H111" i="62" s="1"/>
  <c r="F109" i="62"/>
  <c r="G109" i="62" s="1"/>
  <c r="H109" i="62" s="1"/>
  <c r="E124" i="62"/>
  <c r="E122" i="62" s="1"/>
  <c r="E121" i="62"/>
  <c r="E118" i="62"/>
  <c r="G120" i="62"/>
  <c r="H120" i="62" s="1"/>
  <c r="G119" i="62"/>
  <c r="H119" i="62" s="1"/>
  <c r="F116" i="62"/>
  <c r="G116" i="62" s="1"/>
  <c r="H116" i="62" s="1"/>
  <c r="F115" i="62"/>
  <c r="G115" i="62" s="1"/>
  <c r="H115" i="62" s="1"/>
  <c r="G123" i="62"/>
  <c r="F121" i="62"/>
  <c r="G121" i="62" s="1"/>
  <c r="H121" i="62" s="1"/>
  <c r="F118" i="62"/>
  <c r="E85" i="62"/>
  <c r="F93" i="62"/>
  <c r="F90" i="62"/>
  <c r="G90" i="62" s="1"/>
  <c r="H90" i="62" s="1"/>
  <c r="F87" i="62"/>
  <c r="G87" i="62" s="1"/>
  <c r="H87" i="62" s="1"/>
  <c r="G105" i="62"/>
  <c r="H105" i="62" s="1"/>
  <c r="E104" i="62"/>
  <c r="E99" i="62" s="1"/>
  <c r="F103" i="62"/>
  <c r="G103" i="62" s="1"/>
  <c r="H103" i="62" s="1"/>
  <c r="G101" i="62"/>
  <c r="H101" i="62" s="1"/>
  <c r="G102" i="62"/>
  <c r="H102" i="62" s="1"/>
  <c r="F100" i="62"/>
  <c r="G88" i="62"/>
  <c r="H88" i="62" s="1"/>
  <c r="G89" i="62"/>
  <c r="H89" i="62" s="1"/>
  <c r="F86" i="62"/>
  <c r="E177" i="62"/>
  <c r="E180" i="62"/>
  <c r="E182" i="62"/>
  <c r="G81" i="62"/>
  <c r="H81" i="62" s="1"/>
  <c r="G84" i="62"/>
  <c r="H84" i="62" s="1"/>
  <c r="F83" i="62"/>
  <c r="G83" i="62" s="1"/>
  <c r="H83" i="62" s="1"/>
  <c r="G82" i="62"/>
  <c r="H82" i="62" s="1"/>
  <c r="F80" i="62"/>
  <c r="E79" i="62"/>
  <c r="G187" i="62"/>
  <c r="H187" i="62" s="1"/>
  <c r="G186" i="62"/>
  <c r="H186" i="62" s="1"/>
  <c r="G185" i="62"/>
  <c r="H185" i="62" s="1"/>
  <c r="F184" i="62"/>
  <c r="G184" i="62" s="1"/>
  <c r="H184" i="62" s="1"/>
  <c r="G188" i="62"/>
  <c r="H188" i="62" s="1"/>
  <c r="G189" i="62"/>
  <c r="H189" i="62" s="1"/>
  <c r="G191" i="62"/>
  <c r="H191" i="62" s="1"/>
  <c r="F183" i="62"/>
  <c r="F182" i="62" s="1"/>
  <c r="F180" i="62"/>
  <c r="G180" i="62" s="1"/>
  <c r="H180" i="62" s="1"/>
  <c r="G178" i="62"/>
  <c r="H178" i="62" s="1"/>
  <c r="G181" i="62"/>
  <c r="H181" i="62" s="1"/>
  <c r="G179" i="62"/>
  <c r="H179" i="62" s="1"/>
  <c r="F177" i="62"/>
  <c r="G77" i="62"/>
  <c r="H77" i="62" s="1"/>
  <c r="G76" i="62"/>
  <c r="H76" i="62" s="1"/>
  <c r="F75" i="62"/>
  <c r="E75" i="62"/>
  <c r="E66" i="62"/>
  <c r="E65" i="62" s="1"/>
  <c r="G73" i="62"/>
  <c r="G72" i="62" s="1"/>
  <c r="F74" i="62"/>
  <c r="F72" i="62" s="1"/>
  <c r="G71" i="62"/>
  <c r="H71" i="62" s="1"/>
  <c r="G69" i="62"/>
  <c r="H69" i="62" s="1"/>
  <c r="G68" i="62"/>
  <c r="H68" i="62" s="1"/>
  <c r="F70" i="62"/>
  <c r="G70" i="62" s="1"/>
  <c r="F67" i="62"/>
  <c r="E50" i="62"/>
  <c r="F59" i="62"/>
  <c r="F60" i="62"/>
  <c r="G60" i="62" s="1"/>
  <c r="G54" i="62"/>
  <c r="F54" i="62"/>
  <c r="F52" i="62"/>
  <c r="G52" i="62" s="1"/>
  <c r="G53" i="62"/>
  <c r="G55" i="62"/>
  <c r="G56" i="62"/>
  <c r="G57" i="62"/>
  <c r="G58" i="62"/>
  <c r="G51" i="62"/>
  <c r="G45" i="62"/>
  <c r="H45" i="62" s="1"/>
  <c r="G43" i="62"/>
  <c r="H43" i="62" s="1"/>
  <c r="G49" i="62"/>
  <c r="G48" i="62"/>
  <c r="G44" i="62"/>
  <c r="F46" i="62"/>
  <c r="H159" i="62" l="1"/>
  <c r="H158" i="62" s="1"/>
  <c r="G158" i="62"/>
  <c r="H155" i="62"/>
  <c r="G155" i="62"/>
  <c r="F150" i="62"/>
  <c r="G196" i="62"/>
  <c r="E117" i="62"/>
  <c r="E114" i="62" s="1"/>
  <c r="F125" i="62"/>
  <c r="G125" i="62" s="1"/>
  <c r="H125" i="62" s="1"/>
  <c r="F106" i="62"/>
  <c r="G106" i="62" s="1"/>
  <c r="H106" i="62" s="1"/>
  <c r="F126" i="62"/>
  <c r="G126" i="62"/>
  <c r="E96" i="62"/>
  <c r="G138" i="62"/>
  <c r="G137" i="62" s="1"/>
  <c r="G136" i="62" s="1"/>
  <c r="H108" i="62"/>
  <c r="E137" i="62"/>
  <c r="E136" i="62" s="1"/>
  <c r="G108" i="62"/>
  <c r="F108" i="62"/>
  <c r="F137" i="62"/>
  <c r="F136" i="62" s="1"/>
  <c r="H138" i="62"/>
  <c r="F85" i="62"/>
  <c r="G118" i="62"/>
  <c r="H123" i="62"/>
  <c r="H118" i="62"/>
  <c r="G86" i="62"/>
  <c r="H104" i="62"/>
  <c r="E78" i="62"/>
  <c r="G100" i="62"/>
  <c r="G104" i="62"/>
  <c r="H100" i="62"/>
  <c r="G183" i="62"/>
  <c r="E176" i="62"/>
  <c r="E175" i="62" s="1"/>
  <c r="E174" i="62" s="1"/>
  <c r="H67" i="62"/>
  <c r="H177" i="62"/>
  <c r="H176" i="62" s="1"/>
  <c r="G80" i="62"/>
  <c r="G79" i="62" s="1"/>
  <c r="H80" i="62"/>
  <c r="H79" i="62" s="1"/>
  <c r="F79" i="62"/>
  <c r="H73" i="62"/>
  <c r="H72" i="62" s="1"/>
  <c r="F176" i="62"/>
  <c r="F175" i="62" s="1"/>
  <c r="F66" i="62"/>
  <c r="F65" i="62" s="1"/>
  <c r="G177" i="62"/>
  <c r="G176" i="62" s="1"/>
  <c r="G67" i="62"/>
  <c r="G66" i="62" s="1"/>
  <c r="G65" i="62" s="1"/>
  <c r="H70" i="62"/>
  <c r="G75" i="62"/>
  <c r="H75" i="62"/>
  <c r="G50" i="62"/>
  <c r="F50" i="62"/>
  <c r="G134" i="71"/>
  <c r="H134" i="71"/>
  <c r="F134" i="71"/>
  <c r="H150" i="62" l="1"/>
  <c r="G150" i="62"/>
  <c r="F104" i="62"/>
  <c r="F99" i="62" s="1"/>
  <c r="F96" i="62" s="1"/>
  <c r="F78" i="62"/>
  <c r="G99" i="62"/>
  <c r="G96" i="62" s="1"/>
  <c r="H99" i="62"/>
  <c r="H96" i="62" s="1"/>
  <c r="F124" i="62"/>
  <c r="F174" i="62"/>
  <c r="H137" i="62"/>
  <c r="H136" i="62" s="1"/>
  <c r="H66" i="62"/>
  <c r="H65" i="62" s="1"/>
  <c r="H86" i="62"/>
  <c r="H85" i="62" s="1"/>
  <c r="H78" i="62" s="1"/>
  <c r="G85" i="62"/>
  <c r="G78" i="62" s="1"/>
  <c r="H183" i="62"/>
  <c r="H182" i="62" s="1"/>
  <c r="H175" i="62" s="1"/>
  <c r="H174" i="62" s="1"/>
  <c r="G182" i="62"/>
  <c r="G175" i="62" s="1"/>
  <c r="G174" i="62" s="1"/>
  <c r="F32" i="32"/>
  <c r="E32" i="32"/>
  <c r="E75" i="32"/>
  <c r="G76" i="32"/>
  <c r="G75" i="32" s="1"/>
  <c r="E62" i="32"/>
  <c r="E42" i="32" s="1"/>
  <c r="F78" i="32"/>
  <c r="F75" i="32" s="1"/>
  <c r="H62" i="32"/>
  <c r="F63" i="32"/>
  <c r="G67" i="32"/>
  <c r="G62" i="32" s="1"/>
  <c r="F67" i="32"/>
  <c r="F43" i="32"/>
  <c r="F38" i="32"/>
  <c r="F35" i="32"/>
  <c r="G35" i="32" s="1"/>
  <c r="G40" i="32"/>
  <c r="G34" i="32"/>
  <c r="G33" i="32"/>
  <c r="G32" i="32" s="1"/>
  <c r="F37" i="32"/>
  <c r="G36" i="32"/>
  <c r="H36" i="32" s="1"/>
  <c r="F122" i="62" l="1"/>
  <c r="F117" i="62" s="1"/>
  <c r="F114" i="62" s="1"/>
  <c r="F64" i="62" s="1"/>
  <c r="G124" i="62"/>
  <c r="E41" i="32"/>
  <c r="F62" i="32"/>
  <c r="F31" i="32"/>
  <c r="G37" i="32"/>
  <c r="H124" i="62" l="1"/>
  <c r="H122" i="62" s="1"/>
  <c r="H117" i="62" s="1"/>
  <c r="G122" i="62"/>
  <c r="G117" i="62" s="1"/>
  <c r="G114" i="62" s="1"/>
  <c r="F93" i="71"/>
  <c r="E48" i="71"/>
  <c r="F56" i="71"/>
  <c r="F50" i="71"/>
  <c r="F131" i="71"/>
  <c r="F103" i="71" s="1"/>
  <c r="G102" i="71"/>
  <c r="H102" i="71" s="1"/>
  <c r="G72" i="71"/>
  <c r="H72" i="71" s="1"/>
  <c r="G71" i="71"/>
  <c r="H71" i="71" s="1"/>
  <c r="G70" i="71"/>
  <c r="H70" i="71" s="1"/>
  <c r="G68" i="71"/>
  <c r="H68" i="71" s="1"/>
  <c r="G67" i="71"/>
  <c r="H67" i="71" s="1"/>
  <c r="G62" i="71"/>
  <c r="H62" i="71" s="1"/>
  <c r="G61" i="71"/>
  <c r="H61" i="71" s="1"/>
  <c r="G65" i="71"/>
  <c r="G64" i="71"/>
  <c r="H64" i="71" s="1"/>
  <c r="G55" i="71"/>
  <c r="H55" i="71" s="1"/>
  <c r="G58" i="71"/>
  <c r="G57" i="71"/>
  <c r="H57" i="71" s="1"/>
  <c r="G52" i="71"/>
  <c r="H52" i="71" s="1"/>
  <c r="G51" i="71"/>
  <c r="H51" i="71" s="1"/>
  <c r="F54" i="71"/>
  <c r="G54" i="71" s="1"/>
  <c r="H54" i="71" s="1"/>
  <c r="G79" i="71"/>
  <c r="H79" i="71" s="1"/>
  <c r="G80" i="71"/>
  <c r="H80" i="71" s="1"/>
  <c r="F74" i="71"/>
  <c r="G114" i="71"/>
  <c r="H114" i="71" s="1"/>
  <c r="G88" i="71"/>
  <c r="H88" i="71" s="1"/>
  <c r="G87" i="71"/>
  <c r="H87" i="71" s="1"/>
  <c r="H86" i="71"/>
  <c r="G85" i="71"/>
  <c r="H85" i="71" s="1"/>
  <c r="G84" i="71"/>
  <c r="H84" i="71" s="1"/>
  <c r="G83" i="71"/>
  <c r="H83" i="71" s="1"/>
  <c r="G82" i="71"/>
  <c r="H82" i="71" s="1"/>
  <c r="E75" i="71"/>
  <c r="G74" i="71"/>
  <c r="F69" i="71"/>
  <c r="E68" i="71"/>
  <c r="E66" i="71" s="1"/>
  <c r="F66" i="71"/>
  <c r="F59" i="71" s="1"/>
  <c r="G63" i="71"/>
  <c r="H63" i="71" s="1"/>
  <c r="F60" i="71"/>
  <c r="E60" i="71"/>
  <c r="E58" i="71"/>
  <c r="E56" i="71" s="1"/>
  <c r="E54" i="71"/>
  <c r="G53" i="71"/>
  <c r="H53" i="71" s="1"/>
  <c r="E50" i="71"/>
  <c r="F46" i="71"/>
  <c r="E45" i="71"/>
  <c r="E40" i="71" s="1"/>
  <c r="G44" i="71"/>
  <c r="H44" i="71" s="1"/>
  <c r="F44" i="71"/>
  <c r="G43" i="71"/>
  <c r="H43" i="71" s="1"/>
  <c r="F43" i="71"/>
  <c r="G42" i="71"/>
  <c r="H42" i="71" s="1"/>
  <c r="F42" i="71"/>
  <c r="G41" i="71"/>
  <c r="H41" i="71" s="1"/>
  <c r="F41" i="71"/>
  <c r="G39" i="71"/>
  <c r="H39" i="71" s="1"/>
  <c r="F38" i="71"/>
  <c r="G38" i="71" s="1"/>
  <c r="H38" i="71" s="1"/>
  <c r="G37" i="71"/>
  <c r="H37" i="71" s="1"/>
  <c r="G36" i="71"/>
  <c r="H36" i="71" s="1"/>
  <c r="G35" i="71"/>
  <c r="F34" i="71"/>
  <c r="E34" i="71"/>
  <c r="E33" i="71" s="1"/>
  <c r="G73" i="71" l="1"/>
  <c r="F49" i="71"/>
  <c r="F33" i="71"/>
  <c r="H60" i="71"/>
  <c r="G69" i="71"/>
  <c r="G34" i="71"/>
  <c r="G33" i="71" s="1"/>
  <c r="F40" i="71"/>
  <c r="H69" i="71"/>
  <c r="E32" i="71"/>
  <c r="E31" i="71" s="1"/>
  <c r="G60" i="71"/>
  <c r="H50" i="71"/>
  <c r="H40" i="71"/>
  <c r="H35" i="71"/>
  <c r="H34" i="71" s="1"/>
  <c r="H33" i="71" s="1"/>
  <c r="G40" i="71"/>
  <c r="H65" i="71"/>
  <c r="G50" i="71"/>
  <c r="H74" i="71"/>
  <c r="H73" i="71" s="1"/>
  <c r="E77" i="70"/>
  <c r="F82" i="70"/>
  <c r="G82" i="70" s="1"/>
  <c r="G83" i="70"/>
  <c r="H83" i="70" s="1"/>
  <c r="G81" i="70"/>
  <c r="G80" i="70"/>
  <c r="G79" i="70"/>
  <c r="H79" i="70" s="1"/>
  <c r="F78" i="70"/>
  <c r="G74" i="70"/>
  <c r="H74" i="70" s="1"/>
  <c r="G73" i="70"/>
  <c r="H73" i="70" s="1"/>
  <c r="F72" i="70"/>
  <c r="G61" i="70"/>
  <c r="H61" i="70" s="1"/>
  <c r="G60" i="70"/>
  <c r="H60" i="70" s="1"/>
  <c r="G59" i="70"/>
  <c r="F58" i="70"/>
  <c r="G47" i="70"/>
  <c r="H47" i="70" s="1"/>
  <c r="G46" i="70"/>
  <c r="H46" i="70" s="1"/>
  <c r="F45" i="70"/>
  <c r="F44" i="70"/>
  <c r="G44" i="70" s="1"/>
  <c r="H44" i="70" s="1"/>
  <c r="F57" i="70"/>
  <c r="F55" i="70" s="1"/>
  <c r="F71" i="70"/>
  <c r="F69" i="70" s="1"/>
  <c r="G66" i="70"/>
  <c r="H66" i="70" s="1"/>
  <c r="G70" i="70"/>
  <c r="E69" i="70"/>
  <c r="E63" i="70" s="1"/>
  <c r="F68" i="70"/>
  <c r="G68" i="70" s="1"/>
  <c r="H68" i="70" s="1"/>
  <c r="G67" i="70"/>
  <c r="H67" i="70" s="1"/>
  <c r="F65" i="70"/>
  <c r="G52" i="70"/>
  <c r="H52" i="70" s="1"/>
  <c r="G56" i="70"/>
  <c r="E55" i="70"/>
  <c r="F54" i="70"/>
  <c r="G54" i="70" s="1"/>
  <c r="H54" i="70" s="1"/>
  <c r="E54" i="70"/>
  <c r="G53" i="70"/>
  <c r="H53" i="70" s="1"/>
  <c r="F51" i="70"/>
  <c r="G43" i="70"/>
  <c r="H43" i="70" s="1"/>
  <c r="F41" i="70"/>
  <c r="G41" i="70" s="1"/>
  <c r="F38" i="70"/>
  <c r="G40" i="70"/>
  <c r="H40" i="70" s="1"/>
  <c r="G39" i="70"/>
  <c r="E42" i="70"/>
  <c r="E41" i="70"/>
  <c r="H89" i="70"/>
  <c r="E88" i="70"/>
  <c r="H88" i="70" s="1"/>
  <c r="H86" i="70"/>
  <c r="H85" i="70"/>
  <c r="H75" i="70"/>
  <c r="H33" i="70" s="1"/>
  <c r="E72" i="70"/>
  <c r="E64" i="70"/>
  <c r="G64" i="70" s="1"/>
  <c r="H64" i="70" s="1"/>
  <c r="E58" i="70"/>
  <c r="G50" i="70"/>
  <c r="H50" i="70" s="1"/>
  <c r="E45" i="70"/>
  <c r="G37" i="70"/>
  <c r="H37" i="70" s="1"/>
  <c r="F48" i="71" l="1"/>
  <c r="F77" i="70"/>
  <c r="G78" i="70"/>
  <c r="G57" i="70"/>
  <c r="H57" i="70" s="1"/>
  <c r="G58" i="70"/>
  <c r="H84" i="70"/>
  <c r="G38" i="70"/>
  <c r="G71" i="70"/>
  <c r="H71" i="70" s="1"/>
  <c r="H72" i="70"/>
  <c r="G72" i="70"/>
  <c r="H80" i="70"/>
  <c r="F32" i="71"/>
  <c r="H32" i="71"/>
  <c r="G32" i="71"/>
  <c r="H58" i="71"/>
  <c r="H56" i="71" s="1"/>
  <c r="H49" i="71" s="1"/>
  <c r="G56" i="71"/>
  <c r="G49" i="71" s="1"/>
  <c r="G66" i="71"/>
  <c r="G59" i="71" s="1"/>
  <c r="H66" i="71"/>
  <c r="H59" i="71" s="1"/>
  <c r="G77" i="70"/>
  <c r="H82" i="70"/>
  <c r="H59" i="70"/>
  <c r="H58" i="70" s="1"/>
  <c r="G45" i="70"/>
  <c r="H45" i="70"/>
  <c r="F42" i="70"/>
  <c r="F36" i="70" s="1"/>
  <c r="F35" i="70" s="1"/>
  <c r="H42" i="70"/>
  <c r="E84" i="70"/>
  <c r="E76" i="70" s="1"/>
  <c r="E32" i="70" s="1"/>
  <c r="E36" i="70"/>
  <c r="H39" i="70"/>
  <c r="H38" i="70" s="1"/>
  <c r="E49" i="70"/>
  <c r="E48" i="70" s="1"/>
  <c r="F76" i="70"/>
  <c r="F32" i="70" s="1"/>
  <c r="G42" i="70"/>
  <c r="F49" i="70"/>
  <c r="F48" i="70" s="1"/>
  <c r="G65" i="70"/>
  <c r="F63" i="70"/>
  <c r="F62" i="70" s="1"/>
  <c r="H65" i="70"/>
  <c r="H70" i="70"/>
  <c r="H69" i="70" s="1"/>
  <c r="G51" i="70"/>
  <c r="H51" i="70"/>
  <c r="H56" i="70"/>
  <c r="H41" i="70"/>
  <c r="E62" i="70"/>
  <c r="H81" i="70"/>
  <c r="F31" i="71" l="1"/>
  <c r="G69" i="70"/>
  <c r="G63" i="70" s="1"/>
  <c r="G62" i="70" s="1"/>
  <c r="G55" i="70"/>
  <c r="G49" i="70" s="1"/>
  <c r="G48" i="70" s="1"/>
  <c r="H55" i="70"/>
  <c r="H49" i="70" s="1"/>
  <c r="H48" i="70" s="1"/>
  <c r="G36" i="70"/>
  <c r="G35" i="70" s="1"/>
  <c r="G48" i="71"/>
  <c r="G31" i="71" s="1"/>
  <c r="H48" i="71"/>
  <c r="H31" i="71" s="1"/>
  <c r="H78" i="70"/>
  <c r="H36" i="70"/>
  <c r="H35" i="70" s="1"/>
  <c r="H63" i="70"/>
  <c r="H62" i="70" s="1"/>
  <c r="G76" i="70"/>
  <c r="G32" i="70" s="1"/>
  <c r="E35" i="70"/>
  <c r="H77" i="70" l="1"/>
  <c r="H76" i="70" s="1"/>
  <c r="H32" i="70" s="1"/>
  <c r="E89" i="66" l="1"/>
  <c r="E85" i="66" s="1"/>
  <c r="G85" i="66"/>
  <c r="G83" i="66"/>
  <c r="G66" i="66" l="1"/>
  <c r="H83" i="66"/>
  <c r="F65" i="66"/>
  <c r="G82" i="66"/>
  <c r="F81" i="66"/>
  <c r="F80" i="66" s="1"/>
  <c r="F75" i="66"/>
  <c r="G78" i="66"/>
  <c r="H78" i="66" s="1"/>
  <c r="G77" i="66"/>
  <c r="G76" i="66"/>
  <c r="H76" i="66" s="1"/>
  <c r="F79" i="66"/>
  <c r="G79" i="66" s="1"/>
  <c r="H79" i="66" s="1"/>
  <c r="G73" i="66"/>
  <c r="G72" i="66"/>
  <c r="F63" i="66"/>
  <c r="F56" i="66"/>
  <c r="F54" i="66" s="1"/>
  <c r="G75" i="12"/>
  <c r="H75" i="12" s="1"/>
  <c r="G74" i="12"/>
  <c r="H74" i="12" s="1"/>
  <c r="G69" i="12"/>
  <c r="H69" i="12" s="1"/>
  <c r="F68" i="12"/>
  <c r="H33" i="12"/>
  <c r="G33" i="12"/>
  <c r="F29" i="12"/>
  <c r="E56" i="66"/>
  <c r="E55" i="66"/>
  <c r="F57" i="66"/>
  <c r="G55" i="66"/>
  <c r="H55" i="66" s="1"/>
  <c r="G53" i="66"/>
  <c r="E42" i="66"/>
  <c r="G44" i="66"/>
  <c r="G43" i="66"/>
  <c r="H43" i="66" s="1"/>
  <c r="F46" i="66"/>
  <c r="G46" i="66" s="1"/>
  <c r="F44" i="66"/>
  <c r="F50" i="66" l="1"/>
  <c r="F62" i="66" s="1"/>
  <c r="G75" i="66"/>
  <c r="F74" i="66"/>
  <c r="F71" i="66" s="1"/>
  <c r="H77" i="66"/>
  <c r="H75" i="66" s="1"/>
  <c r="G81" i="66"/>
  <c r="G80" i="66" s="1"/>
  <c r="F42" i="66"/>
  <c r="H44" i="66"/>
  <c r="G56" i="66"/>
  <c r="G54" i="66" s="1"/>
  <c r="H46" i="66"/>
  <c r="G42" i="66"/>
  <c r="G74" i="66" l="1"/>
  <c r="H42" i="66"/>
  <c r="G40" i="66" l="1"/>
  <c r="F38" i="66"/>
  <c r="G38" i="66" s="1"/>
  <c r="G37" i="66"/>
  <c r="H37" i="66" s="1"/>
  <c r="G36" i="66"/>
  <c r="H36" i="66" s="1"/>
  <c r="G35" i="66"/>
  <c r="H35" i="66" s="1"/>
  <c r="G45" i="30" l="1"/>
  <c r="H45" i="30" s="1"/>
  <c r="G46" i="30"/>
  <c r="H46" i="30" s="1"/>
  <c r="G47" i="30"/>
  <c r="H47" i="30" s="1"/>
  <c r="E58" i="30"/>
  <c r="F30" i="30"/>
  <c r="E30" i="30"/>
  <c r="F34" i="30"/>
  <c r="G34" i="30" s="1"/>
  <c r="H34" i="30" s="1"/>
  <c r="F33" i="30"/>
  <c r="G33" i="30" s="1"/>
  <c r="H33" i="30" s="1"/>
  <c r="G31" i="30"/>
  <c r="H31" i="30" s="1"/>
  <c r="G32" i="30"/>
  <c r="H32" i="30" s="1"/>
  <c r="F62" i="30"/>
  <c r="G61" i="30"/>
  <c r="H61" i="30" s="1"/>
  <c r="G60" i="30"/>
  <c r="H60" i="30" s="1"/>
  <c r="G59" i="30"/>
  <c r="H59" i="30" s="1"/>
  <c r="F59" i="30"/>
  <c r="F58" i="30" s="1"/>
  <c r="E53" i="30"/>
  <c r="F44" i="30"/>
  <c r="F55" i="30" s="1"/>
  <c r="G50" i="30"/>
  <c r="H50" i="30" s="1"/>
  <c r="G52" i="30"/>
  <c r="H52" i="30" s="1"/>
  <c r="G51" i="30"/>
  <c r="H51" i="30" s="1"/>
  <c r="F53" i="30"/>
  <c r="G53" i="30" s="1"/>
  <c r="F57" i="30"/>
  <c r="G57" i="30" s="1"/>
  <c r="H57" i="30" s="1"/>
  <c r="G56" i="30"/>
  <c r="H56" i="30" s="1"/>
  <c r="E54" i="30"/>
  <c r="H58" i="30" l="1"/>
  <c r="G44" i="30"/>
  <c r="G58" i="30"/>
  <c r="H30" i="30"/>
  <c r="G30" i="30"/>
  <c r="F54" i="30"/>
  <c r="G55" i="30"/>
  <c r="H55" i="30" l="1"/>
  <c r="G54" i="30"/>
  <c r="F49" i="30" l="1"/>
  <c r="F48" i="30" s="1"/>
  <c r="F43" i="30" s="1"/>
  <c r="E49" i="30"/>
  <c r="E48" i="30" s="1"/>
  <c r="E43" i="30" s="1"/>
  <c r="F67" i="38"/>
  <c r="G67" i="38" s="1"/>
  <c r="H67" i="38" s="1"/>
  <c r="G66" i="38"/>
  <c r="H66" i="38" s="1"/>
  <c r="F65" i="38"/>
  <c r="F64" i="38" s="1"/>
  <c r="F59" i="38"/>
  <c r="F35" i="38"/>
  <c r="G35" i="38" s="1"/>
  <c r="H35" i="38" s="1"/>
  <c r="F46" i="38"/>
  <c r="F47" i="38"/>
  <c r="F44" i="38"/>
  <c r="G45" i="38"/>
  <c r="G50" i="38"/>
  <c r="G40" i="38"/>
  <c r="G41" i="38"/>
  <c r="G37" i="38"/>
  <c r="G36" i="38"/>
  <c r="G93" i="34" l="1"/>
  <c r="H93" i="34" s="1"/>
  <c r="G92" i="34"/>
  <c r="H92" i="34" s="1"/>
  <c r="E46" i="34"/>
  <c r="G49" i="34" l="1"/>
  <c r="H49" i="34" s="1"/>
  <c r="F49" i="34"/>
  <c r="F48" i="34"/>
  <c r="G48" i="34" s="1"/>
  <c r="H48" i="34" s="1"/>
  <c r="G51" i="34"/>
  <c r="H51" i="34" s="1"/>
  <c r="G52" i="34"/>
  <c r="H52" i="34" s="1"/>
  <c r="F47" i="34"/>
  <c r="G47" i="34" s="1"/>
  <c r="F39" i="34"/>
  <c r="G39" i="34" s="1"/>
  <c r="H39" i="34" s="1"/>
  <c r="E38" i="34"/>
  <c r="G37" i="34"/>
  <c r="H37" i="34" s="1"/>
  <c r="F36" i="34"/>
  <c r="E36" i="34"/>
  <c r="E91" i="34"/>
  <c r="F91" i="34" s="1"/>
  <c r="G91" i="34" s="1"/>
  <c r="H91" i="34" s="1"/>
  <c r="G90" i="34"/>
  <c r="H90" i="34" s="1"/>
  <c r="F89" i="34"/>
  <c r="G89" i="34" s="1"/>
  <c r="H89" i="34" s="1"/>
  <c r="F88" i="34"/>
  <c r="F85" i="34"/>
  <c r="F84" i="34"/>
  <c r="F81" i="34"/>
  <c r="E77" i="34"/>
  <c r="E76" i="34" s="1"/>
  <c r="G80" i="34"/>
  <c r="H80" i="34" s="1"/>
  <c r="G79" i="34"/>
  <c r="H79" i="34" s="1"/>
  <c r="F78" i="34"/>
  <c r="G78" i="34" s="1"/>
  <c r="G64" i="34"/>
  <c r="H64" i="34" s="1"/>
  <c r="E69" i="34"/>
  <c r="F74" i="34"/>
  <c r="F69" i="34" s="1"/>
  <c r="G70" i="34"/>
  <c r="G69" i="34" s="1"/>
  <c r="F61" i="34"/>
  <c r="G61" i="34" s="1"/>
  <c r="H61" i="34" s="1"/>
  <c r="F66" i="34"/>
  <c r="F63" i="34" s="1"/>
  <c r="G66" i="34"/>
  <c r="H66" i="34"/>
  <c r="E66" i="34"/>
  <c r="E63" i="34" s="1"/>
  <c r="G62" i="34"/>
  <c r="H62" i="34" s="1"/>
  <c r="G41" i="34"/>
  <c r="H41" i="34" s="1"/>
  <c r="G40" i="34"/>
  <c r="H40" i="34" s="1"/>
  <c r="G36" i="34"/>
  <c r="H36" i="34" s="1"/>
  <c r="G35" i="34"/>
  <c r="H35" i="34" s="1"/>
  <c r="G45" i="34"/>
  <c r="H45" i="34" s="1"/>
  <c r="G44" i="34"/>
  <c r="H44" i="34" s="1"/>
  <c r="F43" i="34"/>
  <c r="E43" i="34"/>
  <c r="F42" i="34"/>
  <c r="G42" i="34" s="1"/>
  <c r="H42" i="34" s="1"/>
  <c r="G63" i="34" l="1"/>
  <c r="G60" i="34" s="1"/>
  <c r="E60" i="34"/>
  <c r="E34" i="34"/>
  <c r="E33" i="34" s="1"/>
  <c r="G46" i="34"/>
  <c r="H63" i="34"/>
  <c r="H60" i="34" s="1"/>
  <c r="F77" i="34"/>
  <c r="F76" i="34" s="1"/>
  <c r="F38" i="34"/>
  <c r="F34" i="34" s="1"/>
  <c r="F60" i="34"/>
  <c r="F46" i="34"/>
  <c r="G77" i="34"/>
  <c r="G76" i="34" s="1"/>
  <c r="H78" i="34"/>
  <c r="H77" i="34" s="1"/>
  <c r="H76" i="34" s="1"/>
  <c r="H43" i="34"/>
  <c r="H70" i="34"/>
  <c r="H69" i="34" s="1"/>
  <c r="E87" i="34"/>
  <c r="E83" i="34" s="1"/>
  <c r="E75" i="34" s="1"/>
  <c r="E59" i="34" s="1"/>
  <c r="E32" i="34" s="1"/>
  <c r="H47" i="34"/>
  <c r="H46" i="34" s="1"/>
  <c r="H38" i="34"/>
  <c r="H34" i="34" s="1"/>
  <c r="G38" i="34"/>
  <c r="F87" i="34"/>
  <c r="F83" i="34" s="1"/>
  <c r="F75" i="34" s="1"/>
  <c r="H87" i="34"/>
  <c r="H83" i="34" s="1"/>
  <c r="G87" i="34"/>
  <c r="G83" i="34" s="1"/>
  <c r="G43" i="34"/>
  <c r="H33" i="34" l="1"/>
  <c r="F33" i="34"/>
  <c r="F59" i="34"/>
  <c r="G34" i="34"/>
  <c r="G33" i="34" s="1"/>
  <c r="H75" i="34"/>
  <c r="H59" i="34" s="1"/>
  <c r="H32" i="34" s="1"/>
  <c r="G75" i="34"/>
  <c r="G59" i="34" s="1"/>
  <c r="F32" i="34" l="1"/>
  <c r="G32" i="34"/>
  <c r="F53" i="21"/>
  <c r="H56" i="21"/>
  <c r="G56" i="21"/>
  <c r="F56" i="21"/>
  <c r="E56" i="21"/>
  <c r="E34" i="21"/>
  <c r="E35" i="21" s="1"/>
  <c r="G35" i="21"/>
  <c r="H35" i="21" s="1"/>
  <c r="G51" i="21"/>
  <c r="F46" i="21"/>
  <c r="F47" i="21"/>
  <c r="G39" i="21"/>
  <c r="H39" i="21" s="1"/>
  <c r="G37" i="21"/>
  <c r="E41" i="21"/>
  <c r="E31" i="21" s="1"/>
  <c r="F41" i="21"/>
  <c r="G43" i="21"/>
  <c r="G42" i="21"/>
  <c r="F40" i="21"/>
  <c r="G40" i="21" s="1"/>
  <c r="H40" i="21" s="1"/>
  <c r="F33" i="21"/>
  <c r="G33" i="21" s="1"/>
  <c r="F59" i="21"/>
  <c r="F34" i="21" l="1"/>
  <c r="G34" i="21" s="1"/>
  <c r="H34" i="21" s="1"/>
  <c r="F45" i="21"/>
  <c r="E68" i="21"/>
  <c r="F77" i="21"/>
  <c r="F73" i="21"/>
  <c r="G69" i="21"/>
  <c r="G70" i="21"/>
  <c r="G71" i="21"/>
  <c r="G74" i="21"/>
  <c r="G75" i="21"/>
  <c r="F66" i="21"/>
  <c r="G65" i="21"/>
  <c r="H65" i="21" s="1"/>
  <c r="G64" i="21"/>
  <c r="G63" i="21"/>
  <c r="H63" i="21" s="1"/>
  <c r="F62" i="21"/>
  <c r="F68" i="21" l="1"/>
  <c r="G68" i="21"/>
  <c r="F61" i="21"/>
  <c r="F60" i="21" s="1"/>
  <c r="G62" i="21"/>
  <c r="G67" i="21" l="1"/>
  <c r="G66" i="21"/>
  <c r="G54" i="57" l="1"/>
  <c r="F62" i="57"/>
  <c r="E52" i="57"/>
  <c r="G53" i="57"/>
  <c r="F60" i="57"/>
  <c r="F51" i="57"/>
  <c r="F50" i="57" s="1"/>
  <c r="F47" i="57"/>
  <c r="F44" i="57"/>
  <c r="E34" i="57"/>
  <c r="D30" i="57"/>
  <c r="D31" i="57"/>
  <c r="F33" i="57"/>
  <c r="G33" i="57" s="1"/>
  <c r="G32" i="57"/>
  <c r="G38" i="57"/>
  <c r="F37" i="57"/>
  <c r="F36" i="57" s="1"/>
  <c r="F29" i="57"/>
  <c r="G30" i="57"/>
  <c r="G31" i="57"/>
  <c r="G41" i="57"/>
  <c r="F39" i="57"/>
  <c r="G39" i="57" s="1"/>
  <c r="H39" i="57" s="1"/>
  <c r="F42" i="57" l="1"/>
  <c r="F40" i="57" s="1"/>
  <c r="F35" i="57"/>
  <c r="G36" i="57"/>
  <c r="H36" i="57" s="1"/>
  <c r="G37" i="57"/>
  <c r="H37" i="57" s="1"/>
  <c r="H38" i="57"/>
  <c r="G29" i="57"/>
  <c r="G42" i="57" l="1"/>
  <c r="G40" i="57" s="1"/>
  <c r="F34" i="57"/>
  <c r="G35" i="57"/>
  <c r="H35" i="57"/>
  <c r="F67" i="42" l="1"/>
  <c r="F54" i="42"/>
  <c r="F50" i="42"/>
  <c r="F46" i="42"/>
  <c r="F44" i="42"/>
  <c r="F43" i="42"/>
  <c r="F31" i="42"/>
  <c r="F40" i="42" s="1"/>
  <c r="F38" i="42" s="1"/>
  <c r="G71" i="42"/>
  <c r="H71" i="42"/>
  <c r="F73" i="42"/>
  <c r="F77" i="42" s="1"/>
  <c r="F76" i="42" s="1"/>
  <c r="F75" i="42"/>
  <c r="F88" i="42"/>
  <c r="F80" i="42" s="1"/>
  <c r="F83" i="42"/>
  <c r="F84" i="42" s="1"/>
  <c r="F81" i="42"/>
  <c r="F82" i="42" s="1"/>
  <c r="F42" i="42" l="1"/>
  <c r="F79" i="42"/>
  <c r="F71" i="42" s="1"/>
  <c r="F85" i="42"/>
  <c r="G30" i="46" l="1"/>
  <c r="H30" i="46" s="1"/>
  <c r="G29" i="46"/>
  <c r="H29" i="46" s="1"/>
  <c r="F72" i="46"/>
  <c r="G72" i="46" s="1"/>
  <c r="G32" i="46"/>
  <c r="H32" i="46" s="1"/>
  <c r="G50" i="46"/>
  <c r="E68" i="46"/>
  <c r="G66" i="42" l="1"/>
  <c r="H66" i="42" s="1"/>
  <c r="F65" i="42"/>
  <c r="G39" i="42"/>
  <c r="F37" i="42"/>
  <c r="G37" i="42" s="1"/>
  <c r="F33" i="42"/>
  <c r="E33" i="42"/>
  <c r="G36" i="42"/>
  <c r="H36" i="42" s="1"/>
  <c r="G35" i="42"/>
  <c r="H35" i="42" s="1"/>
  <c r="G34" i="42"/>
  <c r="H34" i="42" s="1"/>
  <c r="F32" i="42" l="1"/>
  <c r="H33" i="42"/>
  <c r="G33" i="42"/>
  <c r="F69" i="46"/>
  <c r="F71" i="46"/>
  <c r="C40" i="45"/>
  <c r="C33" i="45"/>
  <c r="C37" i="45"/>
  <c r="G47" i="45"/>
  <c r="H47" i="45" s="1"/>
  <c r="G46" i="45"/>
  <c r="H46" i="45" s="1"/>
  <c r="G45" i="45"/>
  <c r="H45" i="45" s="1"/>
  <c r="F44" i="45"/>
  <c r="G43" i="45"/>
  <c r="H43" i="45" s="1"/>
  <c r="H40" i="45" s="1"/>
  <c r="F43" i="45"/>
  <c r="F42" i="45"/>
  <c r="F41" i="45"/>
  <c r="G39" i="45"/>
  <c r="H39" i="45" s="1"/>
  <c r="G38" i="45"/>
  <c r="H38" i="45" s="1"/>
  <c r="H37" i="45" s="1"/>
  <c r="F39" i="45"/>
  <c r="F38" i="45"/>
  <c r="F37" i="45" s="1"/>
  <c r="F36" i="45"/>
  <c r="G36" i="45" s="1"/>
  <c r="H36" i="45" s="1"/>
  <c r="F35" i="45"/>
  <c r="G35" i="45" s="1"/>
  <c r="F34" i="45"/>
  <c r="F68" i="46" l="1"/>
  <c r="F40" i="45"/>
  <c r="G37" i="45"/>
  <c r="H44" i="45"/>
  <c r="G44" i="45"/>
  <c r="G40" i="45"/>
  <c r="G33" i="45"/>
  <c r="F33" i="45"/>
  <c r="F32" i="45" s="1"/>
  <c r="F31" i="45" s="1"/>
  <c r="F47" i="18" l="1"/>
  <c r="G40" i="18"/>
  <c r="H40" i="18" s="1"/>
  <c r="F45" i="18" l="1"/>
  <c r="F39" i="18"/>
  <c r="F38" i="18"/>
  <c r="F37" i="18"/>
  <c r="F36" i="18" s="1"/>
  <c r="F33" i="18"/>
  <c r="F30" i="18"/>
  <c r="F32" i="18"/>
  <c r="F43" i="48" l="1"/>
  <c r="E34" i="48"/>
  <c r="G41" i="48"/>
  <c r="G40" i="48"/>
  <c r="H40" i="48" s="1"/>
  <c r="G38" i="48"/>
  <c r="H38" i="48" s="1"/>
  <c r="F39" i="48"/>
  <c r="F36" i="48"/>
  <c r="F35" i="48"/>
  <c r="F32" i="48"/>
  <c r="F34" i="48" l="1"/>
  <c r="F85" i="56"/>
  <c r="F89" i="56"/>
  <c r="F81" i="56" s="1"/>
  <c r="F100" i="56" l="1"/>
  <c r="F99" i="56" l="1"/>
  <c r="F46" i="56"/>
  <c r="F77" i="56"/>
  <c r="F76" i="56" s="1"/>
  <c r="E70" i="56"/>
  <c r="G75" i="56"/>
  <c r="F74" i="56"/>
  <c r="G74" i="56" s="1"/>
  <c r="G73" i="56"/>
  <c r="H73" i="56" s="1"/>
  <c r="G72" i="56"/>
  <c r="H72" i="56" s="1"/>
  <c r="F71" i="56"/>
  <c r="F70" i="56" s="1"/>
  <c r="E65" i="56"/>
  <c r="F66" i="56"/>
  <c r="F65" i="56" s="1"/>
  <c r="G60" i="56"/>
  <c r="H60" i="56" s="1"/>
  <c r="G58" i="56"/>
  <c r="H58" i="56" s="1"/>
  <c r="F57" i="56"/>
  <c r="G59" i="56"/>
  <c r="H59" i="56" s="1"/>
  <c r="F61" i="56"/>
  <c r="F54" i="56"/>
  <c r="E43" i="56"/>
  <c r="G45" i="56"/>
  <c r="F48" i="56"/>
  <c r="G47" i="56"/>
  <c r="F44" i="56"/>
  <c r="G36" i="56"/>
  <c r="H36" i="56" s="1"/>
  <c r="G31" i="56"/>
  <c r="F32" i="56"/>
  <c r="G32" i="56" s="1"/>
  <c r="F42" i="56"/>
  <c r="F35" i="56"/>
  <c r="E35" i="56"/>
  <c r="E57" i="56"/>
  <c r="F62" i="56"/>
  <c r="E62" i="56"/>
  <c r="F39" i="56"/>
  <c r="G37" i="56"/>
  <c r="H37" i="56" s="1"/>
  <c r="G38" i="56"/>
  <c r="H38" i="56" s="1"/>
  <c r="H35" i="56" l="1"/>
  <c r="F69" i="56"/>
  <c r="F43" i="56"/>
  <c r="G35" i="56"/>
  <c r="G71" i="56"/>
  <c r="G70" i="56" s="1"/>
  <c r="G57" i="56"/>
  <c r="F56" i="56"/>
  <c r="F52" i="56" s="1"/>
  <c r="F40" i="56" l="1"/>
  <c r="F34" i="56" s="1"/>
  <c r="E40" i="56"/>
  <c r="F30" i="56" l="1"/>
  <c r="F29" i="56" s="1"/>
  <c r="F28" i="56" s="1"/>
  <c r="F46" i="58"/>
  <c r="G51" i="58"/>
  <c r="G47" i="58"/>
  <c r="F43" i="58"/>
  <c r="F42" i="58"/>
  <c r="G40" i="58"/>
  <c r="G39" i="58"/>
  <c r="F38" i="58"/>
  <c r="F36" i="58"/>
  <c r="F32" i="58"/>
  <c r="F28" i="58"/>
  <c r="G32" i="58"/>
  <c r="G31" i="58"/>
  <c r="H31" i="58" s="1"/>
  <c r="G30" i="58"/>
  <c r="H30" i="58" s="1"/>
  <c r="G29" i="58"/>
  <c r="H29" i="58" s="1"/>
  <c r="E27" i="58"/>
  <c r="G57" i="44"/>
  <c r="F56" i="44"/>
  <c r="G54" i="44"/>
  <c r="H54" i="44" s="1"/>
  <c r="F55" i="44"/>
  <c r="G55" i="44" s="1"/>
  <c r="H55" i="44" s="1"/>
  <c r="F53" i="44"/>
  <c r="G37" i="44"/>
  <c r="G41" i="44"/>
  <c r="G42" i="44"/>
  <c r="F40" i="44"/>
  <c r="E40" i="44"/>
  <c r="F32" i="44"/>
  <c r="F35" i="44" s="1"/>
  <c r="F39" i="44" s="1"/>
  <c r="G39" i="44" s="1"/>
  <c r="E32" i="44"/>
  <c r="F48" i="44"/>
  <c r="F49" i="44"/>
  <c r="F44" i="44"/>
  <c r="G44" i="44" s="1"/>
  <c r="H44" i="44" s="1"/>
  <c r="G45" i="44"/>
  <c r="F85" i="44"/>
  <c r="G85" i="44"/>
  <c r="H85" i="44"/>
  <c r="G81" i="44"/>
  <c r="F52" i="44" l="1"/>
  <c r="F34" i="58"/>
  <c r="G53" i="44"/>
  <c r="H53" i="44" s="1"/>
  <c r="G40" i="44"/>
  <c r="F27" i="58"/>
  <c r="F26" i="58" s="1"/>
  <c r="G28" i="58"/>
  <c r="H28" i="58" s="1"/>
  <c r="F36" i="44"/>
  <c r="G38" i="44"/>
  <c r="G36" i="44" s="1"/>
  <c r="F34" i="44"/>
  <c r="F43" i="44"/>
  <c r="F30" i="44" l="1"/>
  <c r="G27" i="58"/>
  <c r="F84" i="44"/>
  <c r="F83" i="44"/>
  <c r="F82" i="44"/>
  <c r="F70" i="44"/>
  <c r="G73" i="44"/>
  <c r="F68" i="44"/>
  <c r="F67" i="44"/>
  <c r="F66" i="44"/>
  <c r="F65" i="44"/>
  <c r="G63" i="44"/>
  <c r="F61" i="44"/>
  <c r="F51" i="44"/>
  <c r="E52" i="44"/>
  <c r="H37" i="44"/>
  <c r="F79" i="44" l="1"/>
  <c r="G63" i="20"/>
  <c r="H63" i="20" s="1"/>
  <c r="G36" i="20"/>
  <c r="H36" i="20" s="1"/>
  <c r="F35" i="20"/>
  <c r="G31" i="20"/>
  <c r="H31" i="20" s="1"/>
  <c r="G30" i="20"/>
  <c r="F39" i="7"/>
  <c r="F38" i="7"/>
  <c r="F37" i="7"/>
  <c r="F36" i="7"/>
  <c r="G33" i="7"/>
  <c r="F32" i="7"/>
  <c r="G32" i="7" s="1"/>
  <c r="F28" i="7"/>
  <c r="F33" i="20"/>
  <c r="F32" i="20"/>
  <c r="F29" i="20" s="1"/>
  <c r="F34" i="7" l="1"/>
  <c r="F26" i="7" s="1"/>
  <c r="G32" i="20"/>
  <c r="F27" i="7"/>
  <c r="F28" i="20"/>
  <c r="F27" i="20" s="1"/>
  <c r="G61" i="17" l="1"/>
  <c r="H61" i="17" s="1"/>
  <c r="E109" i="17"/>
  <c r="G113" i="17"/>
  <c r="E86" i="17"/>
  <c r="G115" i="17"/>
  <c r="H115" i="17" s="1"/>
  <c r="G116" i="17"/>
  <c r="H116" i="17" s="1"/>
  <c r="F116" i="17"/>
  <c r="F114" i="17"/>
  <c r="F111" i="17"/>
  <c r="F110" i="17"/>
  <c r="F102" i="17"/>
  <c r="G102" i="17"/>
  <c r="H102" i="17"/>
  <c r="E102" i="17"/>
  <c r="F91" i="17"/>
  <c r="F90" i="17"/>
  <c r="F89" i="17"/>
  <c r="F88" i="17"/>
  <c r="F87" i="17"/>
  <c r="G75" i="17"/>
  <c r="F79" i="17"/>
  <c r="G79" i="17" s="1"/>
  <c r="H79" i="17" s="1"/>
  <c r="F78" i="17"/>
  <c r="G78" i="17" s="1"/>
  <c r="G82" i="17"/>
  <c r="H82" i="17" s="1"/>
  <c r="F76" i="17"/>
  <c r="F77" i="17" s="1"/>
  <c r="F81" i="17" s="1"/>
  <c r="E42" i="17"/>
  <c r="H67" i="17"/>
  <c r="G67" i="17"/>
  <c r="E67" i="17"/>
  <c r="F67" i="17"/>
  <c r="G66" i="17"/>
  <c r="H66" i="17" s="1"/>
  <c r="F65" i="17"/>
  <c r="G60" i="17"/>
  <c r="H60" i="17" s="1"/>
  <c r="F57" i="17"/>
  <c r="F55" i="17"/>
  <c r="F48" i="17"/>
  <c r="G47" i="17"/>
  <c r="F46" i="17"/>
  <c r="F45" i="17"/>
  <c r="F44" i="17"/>
  <c r="F38" i="17"/>
  <c r="G35" i="17"/>
  <c r="H35" i="17" s="1"/>
  <c r="G34" i="17"/>
  <c r="F37" i="17"/>
  <c r="F36" i="17"/>
  <c r="F33" i="17" s="1"/>
  <c r="E33" i="17"/>
  <c r="F42" i="17" l="1"/>
  <c r="E85" i="17"/>
  <c r="F109" i="17"/>
  <c r="F86" i="17"/>
  <c r="F41" i="17"/>
  <c r="G81" i="17"/>
  <c r="G80" i="17" s="1"/>
  <c r="F80" i="17"/>
  <c r="G76" i="17"/>
  <c r="F32" i="17"/>
  <c r="F83" i="17"/>
  <c r="G83" i="17" s="1"/>
  <c r="H83" i="17" s="1"/>
  <c r="F82" i="15"/>
  <c r="F85" i="17" l="1"/>
  <c r="G74" i="17"/>
  <c r="H81" i="17"/>
  <c r="H80" i="17" s="1"/>
  <c r="F74" i="17"/>
  <c r="F28" i="17"/>
  <c r="F69" i="15"/>
  <c r="F75" i="15" s="1"/>
  <c r="G75" i="15" s="1"/>
  <c r="E74" i="15"/>
  <c r="E72" i="15"/>
  <c r="E70" i="15" s="1"/>
  <c r="G76" i="15"/>
  <c r="F72" i="15"/>
  <c r="G63" i="15"/>
  <c r="E62" i="15"/>
  <c r="E59" i="15"/>
  <c r="F33" i="15"/>
  <c r="F54" i="15"/>
  <c r="F57" i="15"/>
  <c r="F73" i="17" l="1"/>
  <c r="F27" i="17" s="1"/>
  <c r="G74" i="15"/>
  <c r="F74" i="15"/>
  <c r="F73" i="15"/>
  <c r="F70" i="15" s="1"/>
  <c r="H63" i="15"/>
  <c r="F52" i="15"/>
  <c r="F49" i="15" l="1"/>
  <c r="F64" i="15"/>
  <c r="F62" i="15" s="1"/>
  <c r="G48" i="15"/>
  <c r="F45" i="15"/>
  <c r="G38" i="15"/>
  <c r="G37" i="15"/>
  <c r="H37" i="15" s="1"/>
  <c r="G36" i="15"/>
  <c r="G41" i="15"/>
  <c r="E40" i="15"/>
  <c r="E34" i="15" s="1"/>
  <c r="F40" i="15"/>
  <c r="F39" i="15"/>
  <c r="F35" i="15"/>
  <c r="F44" i="15" l="1"/>
  <c r="F34" i="15"/>
  <c r="F77" i="15" l="1"/>
  <c r="H59" i="15"/>
  <c r="F51" i="14"/>
  <c r="F50" i="14" s="1"/>
  <c r="F47" i="14"/>
  <c r="E36" i="14"/>
  <c r="G42" i="14"/>
  <c r="F41" i="14"/>
  <c r="G39" i="14"/>
  <c r="F40" i="14"/>
  <c r="F38" i="14"/>
  <c r="F30" i="14"/>
  <c r="G31" i="14"/>
  <c r="H31" i="14" s="1"/>
  <c r="F32" i="14"/>
  <c r="G34" i="14"/>
  <c r="F33" i="14"/>
  <c r="G33" i="14" s="1"/>
  <c r="E29" i="14"/>
  <c r="E28" i="14" s="1"/>
  <c r="F36" i="14" l="1"/>
  <c r="F35" i="14" s="1"/>
  <c r="F27" i="14" s="1"/>
  <c r="F29" i="14"/>
  <c r="F28" i="14" s="1"/>
  <c r="G32" i="14"/>
  <c r="H32" i="14" s="1"/>
  <c r="F43" i="15"/>
  <c r="F29" i="15" s="1"/>
  <c r="F66" i="15"/>
  <c r="G30" i="14"/>
  <c r="H30" i="14" s="1"/>
  <c r="H29" i="14" s="1"/>
  <c r="F28" i="15" l="1"/>
  <c r="G29" i="14"/>
  <c r="F34" i="37" l="1"/>
  <c r="F32" i="37" s="1"/>
  <c r="G32" i="37" s="1"/>
  <c r="H32" i="37" s="1"/>
  <c r="G29" i="37"/>
  <c r="H29" i="37" s="1"/>
  <c r="G40" i="36" l="1"/>
  <c r="G37" i="36"/>
  <c r="H37" i="36" s="1"/>
  <c r="G36" i="36"/>
  <c r="F39" i="36"/>
  <c r="G35" i="36"/>
  <c r="F33" i="36"/>
  <c r="F32" i="36"/>
  <c r="G30" i="36"/>
  <c r="F29" i="36"/>
  <c r="G29" i="36" s="1"/>
  <c r="F27" i="36" l="1"/>
  <c r="F31" i="36"/>
  <c r="E75" i="11"/>
  <c r="E72" i="11" s="1"/>
  <c r="F77" i="11"/>
  <c r="G77" i="11" s="1"/>
  <c r="G76" i="11"/>
  <c r="H76" i="11" s="1"/>
  <c r="F48" i="11"/>
  <c r="F44" i="11"/>
  <c r="F42" i="11"/>
  <c r="F41" i="11"/>
  <c r="E37" i="11"/>
  <c r="F78" i="11"/>
  <c r="E78" i="11"/>
  <c r="G73" i="11"/>
  <c r="F74" i="11"/>
  <c r="G74" i="11" s="1"/>
  <c r="E64" i="11"/>
  <c r="F34" i="11"/>
  <c r="G34" i="11" s="1"/>
  <c r="G35" i="11"/>
  <c r="G31" i="11"/>
  <c r="H31" i="11" s="1"/>
  <c r="E36" i="11" l="1"/>
  <c r="F37" i="11"/>
  <c r="G37" i="11" s="1"/>
  <c r="G75" i="11"/>
  <c r="G72" i="11" s="1"/>
  <c r="F75" i="11"/>
  <c r="F72" i="11"/>
  <c r="E36" i="5"/>
  <c r="H47" i="5"/>
  <c r="F46" i="5"/>
  <c r="F45" i="5" s="1"/>
  <c r="G40" i="5"/>
  <c r="H40" i="5" s="1"/>
  <c r="F38" i="5"/>
  <c r="F41" i="5"/>
  <c r="F39" i="5"/>
  <c r="F51" i="5"/>
  <c r="F50" i="5" s="1"/>
  <c r="F37" i="5"/>
  <c r="G45" i="5"/>
  <c r="H45" i="5"/>
  <c r="E45" i="5"/>
  <c r="E47" i="5"/>
  <c r="G47" i="5" s="1"/>
  <c r="E50" i="5"/>
  <c r="F29" i="5"/>
  <c r="F36" i="11" l="1"/>
  <c r="F36" i="5"/>
  <c r="F35" i="5" s="1"/>
  <c r="E35" i="5"/>
  <c r="H37" i="11"/>
  <c r="H36" i="11" s="1"/>
  <c r="G36" i="11"/>
  <c r="G42" i="10"/>
  <c r="H42" i="10" s="1"/>
  <c r="E36" i="10"/>
  <c r="F53" i="10"/>
  <c r="G41" i="10"/>
  <c r="F39" i="10"/>
  <c r="F40" i="10"/>
  <c r="G30" i="10"/>
  <c r="F29" i="10"/>
  <c r="F36" i="10" l="1"/>
  <c r="F62" i="35"/>
  <c r="E62" i="35"/>
  <c r="E35" i="35"/>
  <c r="E34" i="35" s="1"/>
  <c r="F29" i="35" l="1"/>
  <c r="F37" i="35"/>
  <c r="F35" i="35" s="1"/>
  <c r="F34" i="35" s="1"/>
  <c r="F32" i="35"/>
  <c r="G31" i="35"/>
  <c r="H31" i="35" s="1"/>
  <c r="G30" i="35"/>
  <c r="H30" i="35" s="1"/>
  <c r="E29" i="35"/>
  <c r="E28" i="35" s="1"/>
  <c r="E27" i="35" s="1"/>
  <c r="H29" i="35" l="1"/>
  <c r="G34" i="35"/>
  <c r="F28" i="35"/>
  <c r="F27" i="35" s="1"/>
  <c r="H34" i="35"/>
  <c r="G29" i="35"/>
  <c r="F34" i="12" l="1"/>
  <c r="F33" i="12" s="1"/>
  <c r="G30" i="8" l="1"/>
  <c r="G28" i="8"/>
  <c r="H28" i="8" s="1"/>
  <c r="G29" i="8"/>
  <c r="H29" i="8" s="1"/>
  <c r="E36" i="8"/>
  <c r="G36" i="8" s="1"/>
  <c r="F35" i="8"/>
  <c r="F34" i="8"/>
  <c r="F33" i="8" l="1"/>
  <c r="G36" i="13"/>
  <c r="H36" i="13" s="1"/>
  <c r="E42" i="13"/>
  <c r="F39" i="13"/>
  <c r="G40" i="13"/>
  <c r="G39" i="13" s="1"/>
  <c r="E39" i="13"/>
  <c r="F42" i="13"/>
  <c r="G47" i="13"/>
  <c r="H47" i="13" s="1"/>
  <c r="E34" i="13"/>
  <c r="F34" i="13"/>
  <c r="G35" i="13"/>
  <c r="H61" i="4"/>
  <c r="G61" i="4"/>
  <c r="F61" i="4"/>
  <c r="E61" i="4"/>
  <c r="E59" i="4"/>
  <c r="F60" i="4"/>
  <c r="F59" i="4" s="1"/>
  <c r="G52" i="4"/>
  <c r="H52" i="4" s="1"/>
  <c r="F51" i="4"/>
  <c r="F57" i="4"/>
  <c r="F38" i="4"/>
  <c r="F42" i="4"/>
  <c r="G31" i="4"/>
  <c r="H31" i="4" s="1"/>
  <c r="G29" i="4"/>
  <c r="H29" i="4" s="1"/>
  <c r="E58" i="4" l="1"/>
  <c r="F58" i="4"/>
  <c r="H40" i="13"/>
  <c r="H39" i="13" s="1"/>
  <c r="F35" i="4"/>
  <c r="G35" i="4" s="1"/>
  <c r="H35" i="4" s="1"/>
  <c r="F26" i="36"/>
  <c r="F70" i="11"/>
  <c r="F30" i="11" l="1"/>
  <c r="F29" i="11" s="1"/>
  <c r="G31" i="5"/>
  <c r="H31" i="5" s="1"/>
  <c r="F33" i="5"/>
  <c r="F28" i="5" s="1"/>
  <c r="G32" i="5"/>
  <c r="H32" i="5" s="1"/>
  <c r="G30" i="5"/>
  <c r="H30" i="5" s="1"/>
  <c r="E29" i="5"/>
  <c r="F28" i="11" l="1"/>
  <c r="F27" i="5"/>
  <c r="H29" i="5"/>
  <c r="G29" i="5"/>
  <c r="F52" i="10"/>
  <c r="G31" i="10"/>
  <c r="F33" i="10"/>
  <c r="G32" i="10"/>
  <c r="H32" i="10" s="1"/>
  <c r="H30" i="10"/>
  <c r="E29" i="10"/>
  <c r="G29" i="10" l="1"/>
  <c r="H31" i="10"/>
  <c r="H29" i="10" s="1"/>
  <c r="F35" i="10"/>
  <c r="F28" i="10" l="1"/>
  <c r="F27" i="10" s="1"/>
  <c r="G31" i="37"/>
  <c r="F30" i="37"/>
  <c r="G30" i="37" s="1"/>
  <c r="F28" i="37" l="1"/>
  <c r="F27" i="37" s="1"/>
  <c r="F63" i="12" l="1"/>
  <c r="G63" i="12"/>
  <c r="H63" i="12"/>
  <c r="E63" i="12"/>
  <c r="F30" i="12"/>
  <c r="G57" i="13" l="1"/>
  <c r="H57" i="13" s="1"/>
  <c r="G58" i="13"/>
  <c r="E56" i="13"/>
  <c r="F56" i="13"/>
  <c r="G35" i="2" l="1"/>
  <c r="F35" i="2"/>
  <c r="E35" i="2"/>
  <c r="G31" i="2"/>
  <c r="F31" i="2"/>
  <c r="E31" i="2"/>
  <c r="G26" i="2"/>
  <c r="G30" i="2" s="1"/>
  <c r="G28" i="2" s="1"/>
  <c r="F26" i="2"/>
  <c r="F30" i="2" s="1"/>
  <c r="F28" i="2" s="1"/>
  <c r="F27" i="2" s="1"/>
  <c r="E26" i="2"/>
  <c r="E30" i="2" s="1"/>
  <c r="E28" i="2" s="1"/>
  <c r="E196" i="62"/>
  <c r="G166" i="62"/>
  <c r="E161" i="62"/>
  <c r="E158" i="62" s="1"/>
  <c r="H126" i="62"/>
  <c r="H114" i="62" s="1"/>
  <c r="H60" i="62"/>
  <c r="H57" i="62"/>
  <c r="H56" i="62"/>
  <c r="H55" i="62"/>
  <c r="H54" i="62"/>
  <c r="H53" i="62"/>
  <c r="H52" i="62"/>
  <c r="H51" i="62"/>
  <c r="H49" i="62"/>
  <c r="H48" i="62"/>
  <c r="G47" i="62"/>
  <c r="F47" i="62"/>
  <c r="E47" i="62"/>
  <c r="E41" i="62" s="1"/>
  <c r="E38" i="62" s="1"/>
  <c r="G46" i="62"/>
  <c r="H46" i="62" s="1"/>
  <c r="H44" i="62"/>
  <c r="G42" i="62"/>
  <c r="F42" i="62"/>
  <c r="G40" i="62"/>
  <c r="H40" i="62" s="1"/>
  <c r="G39" i="62"/>
  <c r="H39" i="62" s="1"/>
  <c r="E36" i="62"/>
  <c r="G35" i="62"/>
  <c r="H35" i="62" s="1"/>
  <c r="G34" i="62"/>
  <c r="E32" i="62"/>
  <c r="G31" i="62"/>
  <c r="H31" i="62" s="1"/>
  <c r="G29" i="62"/>
  <c r="F56" i="32"/>
  <c r="F50" i="32"/>
  <c r="H43" i="32"/>
  <c r="G43" i="32"/>
  <c r="H40" i="32"/>
  <c r="G38" i="32"/>
  <c r="E38" i="32"/>
  <c r="E31" i="32" s="1"/>
  <c r="H37" i="32"/>
  <c r="H34" i="32"/>
  <c r="E35" i="32"/>
  <c r="H35" i="32" s="1"/>
  <c r="G48" i="53"/>
  <c r="F48" i="53"/>
  <c r="E48" i="53"/>
  <c r="F47" i="53"/>
  <c r="G47" i="53" s="1"/>
  <c r="E47" i="53"/>
  <c r="E46" i="53"/>
  <c r="E44" i="53"/>
  <c r="F44" i="53" s="1"/>
  <c r="E43" i="53"/>
  <c r="F43" i="53" s="1"/>
  <c r="G43" i="53" s="1"/>
  <c r="G38" i="53" s="1"/>
  <c r="E42" i="53"/>
  <c r="E41" i="53"/>
  <c r="F41" i="53" s="1"/>
  <c r="E40" i="53"/>
  <c r="E39" i="53"/>
  <c r="F35" i="53"/>
  <c r="G35" i="53" s="1"/>
  <c r="F34" i="53"/>
  <c r="G34" i="53" s="1"/>
  <c r="E33" i="53"/>
  <c r="F33" i="53" s="1"/>
  <c r="G33" i="53" s="1"/>
  <c r="F32" i="53"/>
  <c r="G32" i="53" s="1"/>
  <c r="F31" i="53"/>
  <c r="G31" i="53" s="1"/>
  <c r="F30" i="53"/>
  <c r="E29" i="53"/>
  <c r="G48" i="50"/>
  <c r="F48" i="50"/>
  <c r="E48" i="50"/>
  <c r="E47" i="50"/>
  <c r="F47" i="50" s="1"/>
  <c r="G47" i="50" s="1"/>
  <c r="E46" i="50"/>
  <c r="F44" i="50"/>
  <c r="E44" i="50"/>
  <c r="E43" i="50"/>
  <c r="F43" i="50" s="1"/>
  <c r="G43" i="50" s="1"/>
  <c r="G38" i="50" s="1"/>
  <c r="E42" i="50"/>
  <c r="F41" i="50"/>
  <c r="E41" i="50"/>
  <c r="E40" i="50"/>
  <c r="E39" i="50"/>
  <c r="F35" i="50"/>
  <c r="G35" i="50" s="1"/>
  <c r="F34" i="50"/>
  <c r="G34" i="50" s="1"/>
  <c r="E33" i="50"/>
  <c r="F33" i="50" s="1"/>
  <c r="G33" i="50" s="1"/>
  <c r="F32" i="50"/>
  <c r="G32" i="50" s="1"/>
  <c r="F31" i="50"/>
  <c r="G31" i="50" s="1"/>
  <c r="F30" i="50"/>
  <c r="G30" i="50" s="1"/>
  <c r="E29" i="50"/>
  <c r="E66" i="38"/>
  <c r="E64" i="38" s="1"/>
  <c r="G65" i="38"/>
  <c r="G64" i="38" s="1"/>
  <c r="G63" i="38"/>
  <c r="H63" i="38" s="1"/>
  <c r="F62" i="38"/>
  <c r="E62" i="38"/>
  <c r="G62" i="38" s="1"/>
  <c r="H62" i="38" s="1"/>
  <c r="G61" i="38"/>
  <c r="H61" i="38" s="1"/>
  <c r="G60" i="38"/>
  <c r="H60" i="38" s="1"/>
  <c r="G59" i="38"/>
  <c r="F58" i="38"/>
  <c r="E58" i="38"/>
  <c r="H50" i="38"/>
  <c r="G48" i="38"/>
  <c r="H48" i="38" s="1"/>
  <c r="G47" i="38"/>
  <c r="H47" i="38" s="1"/>
  <c r="H46" i="38"/>
  <c r="G46" i="38"/>
  <c r="H45" i="38"/>
  <c r="G44" i="38"/>
  <c r="F43" i="38"/>
  <c r="F42" i="38" s="1"/>
  <c r="E43" i="38"/>
  <c r="E42" i="38" s="1"/>
  <c r="H41" i="38"/>
  <c r="H40" i="38"/>
  <c r="G39" i="38"/>
  <c r="F39" i="38"/>
  <c r="E39" i="38"/>
  <c r="F38" i="38"/>
  <c r="E38" i="38"/>
  <c r="G38" i="38" s="1"/>
  <c r="H38" i="38" s="1"/>
  <c r="H37" i="38"/>
  <c r="H36" i="38"/>
  <c r="G34" i="38"/>
  <c r="E35" i="38"/>
  <c r="E34" i="38" s="1"/>
  <c r="F34" i="38"/>
  <c r="G32" i="38"/>
  <c r="H32" i="38" s="1"/>
  <c r="G31" i="38"/>
  <c r="H31" i="38" s="1"/>
  <c r="F51" i="29"/>
  <c r="G51" i="29" s="1"/>
  <c r="F50" i="29"/>
  <c r="G50" i="29" s="1"/>
  <c r="F49" i="29"/>
  <c r="G49" i="29" s="1"/>
  <c r="F48" i="29"/>
  <c r="G48" i="29" s="1"/>
  <c r="F47" i="29"/>
  <c r="G47" i="29" s="1"/>
  <c r="F46" i="29"/>
  <c r="G46" i="29" s="1"/>
  <c r="F45" i="29"/>
  <c r="G45" i="29" s="1"/>
  <c r="F44" i="29"/>
  <c r="G44" i="29" s="1"/>
  <c r="F43" i="29"/>
  <c r="G43" i="29" s="1"/>
  <c r="F42" i="29"/>
  <c r="G42" i="29" s="1"/>
  <c r="E41" i="29"/>
  <c r="F41" i="29" s="1"/>
  <c r="G40" i="29"/>
  <c r="F40" i="29"/>
  <c r="E38" i="29"/>
  <c r="E37" i="29"/>
  <c r="F37" i="29" s="1"/>
  <c r="G37" i="29" s="1"/>
  <c r="F36" i="29"/>
  <c r="G36" i="29" s="1"/>
  <c r="E35" i="29"/>
  <c r="F35" i="29" s="1"/>
  <c r="G35" i="29" s="1"/>
  <c r="E34" i="29"/>
  <c r="H54" i="30"/>
  <c r="H53" i="30"/>
  <c r="G49" i="30"/>
  <c r="G48" i="30" s="1"/>
  <c r="G43" i="30" s="1"/>
  <c r="E45" i="30"/>
  <c r="H44" i="30"/>
  <c r="E35" i="30"/>
  <c r="E29" i="30" s="1"/>
  <c r="E28" i="30" s="1"/>
  <c r="E33" i="30"/>
  <c r="H29" i="30"/>
  <c r="G29" i="30"/>
  <c r="F29" i="30"/>
  <c r="F28" i="30" s="1"/>
  <c r="H75" i="21"/>
  <c r="H74" i="21"/>
  <c r="H71" i="21"/>
  <c r="H70" i="21"/>
  <c r="E60" i="21"/>
  <c r="H67" i="21"/>
  <c r="H66" i="21"/>
  <c r="H64" i="21"/>
  <c r="G61" i="21"/>
  <c r="H58" i="21"/>
  <c r="G58" i="21"/>
  <c r="F58" i="21"/>
  <c r="F44" i="21" s="1"/>
  <c r="E58" i="21"/>
  <c r="E52" i="21"/>
  <c r="E45" i="21" s="1"/>
  <c r="H51" i="21"/>
  <c r="G50" i="21"/>
  <c r="H50" i="21" s="1"/>
  <c r="G49" i="21"/>
  <c r="H49" i="21" s="1"/>
  <c r="G48" i="21"/>
  <c r="H48" i="21" s="1"/>
  <c r="G47" i="21"/>
  <c r="H47" i="21" s="1"/>
  <c r="G46" i="21"/>
  <c r="H43" i="21"/>
  <c r="H42" i="21"/>
  <c r="G38" i="21"/>
  <c r="H37" i="21"/>
  <c r="F36" i="21"/>
  <c r="F31" i="21" s="1"/>
  <c r="G60" i="24"/>
  <c r="H60" i="24" s="1"/>
  <c r="E59" i="24"/>
  <c r="E57" i="24" s="1"/>
  <c r="G58" i="24"/>
  <c r="G56" i="24"/>
  <c r="G55" i="24" s="1"/>
  <c r="E55" i="24"/>
  <c r="E34" i="24" s="1"/>
  <c r="H37" i="24"/>
  <c r="G36" i="24"/>
  <c r="G35" i="24" s="1"/>
  <c r="G33" i="24"/>
  <c r="H33" i="24" s="1"/>
  <c r="E32" i="24"/>
  <c r="E28" i="24" s="1"/>
  <c r="E76" i="57"/>
  <c r="E68" i="57"/>
  <c r="E64" i="57"/>
  <c r="G61" i="57"/>
  <c r="H61" i="57" s="1"/>
  <c r="G60" i="57"/>
  <c r="H60" i="57" s="1"/>
  <c r="H54" i="57"/>
  <c r="H53" i="57"/>
  <c r="G52" i="57"/>
  <c r="H52" i="57" s="1"/>
  <c r="G51" i="57"/>
  <c r="H51" i="57" s="1"/>
  <c r="E50" i="57"/>
  <c r="E48" i="57"/>
  <c r="F48" i="57" s="1"/>
  <c r="G47" i="57"/>
  <c r="H47" i="57" s="1"/>
  <c r="G46" i="57"/>
  <c r="H46" i="57" s="1"/>
  <c r="G45" i="57"/>
  <c r="H45" i="57" s="1"/>
  <c r="E44" i="57"/>
  <c r="H42" i="57"/>
  <c r="H41" i="57"/>
  <c r="H33" i="57"/>
  <c r="E33" i="57"/>
  <c r="H32" i="57"/>
  <c r="H31" i="57"/>
  <c r="E29" i="57"/>
  <c r="H41" i="48"/>
  <c r="G39" i="48"/>
  <c r="H39" i="48" s="1"/>
  <c r="G37" i="48"/>
  <c r="H37" i="48" s="1"/>
  <c r="G36" i="48"/>
  <c r="H36" i="48" s="1"/>
  <c r="G35" i="48"/>
  <c r="G33" i="48"/>
  <c r="H33" i="48" s="1"/>
  <c r="E32" i="48"/>
  <c r="G32" i="48" s="1"/>
  <c r="H32" i="48" s="1"/>
  <c r="G31" i="48"/>
  <c r="G30" i="48"/>
  <c r="H30" i="48" s="1"/>
  <c r="F29" i="48"/>
  <c r="F28" i="48" s="1"/>
  <c r="E29" i="48"/>
  <c r="E28" i="48" s="1"/>
  <c r="H72" i="46"/>
  <c r="G71" i="46"/>
  <c r="H71" i="46" s="1"/>
  <c r="G70" i="46"/>
  <c r="H70" i="46" s="1"/>
  <c r="G69" i="46"/>
  <c r="E67" i="46"/>
  <c r="G67" i="46" s="1"/>
  <c r="H67" i="46" s="1"/>
  <c r="E66" i="46"/>
  <c r="E65" i="46"/>
  <c r="G65" i="46" s="1"/>
  <c r="E64" i="46"/>
  <c r="E63" i="46"/>
  <c r="G63" i="46" s="1"/>
  <c r="E62" i="46"/>
  <c r="H61" i="46"/>
  <c r="F61" i="46"/>
  <c r="F60" i="46" s="1"/>
  <c r="C61" i="46"/>
  <c r="C60" i="46" s="1"/>
  <c r="E59" i="46"/>
  <c r="G59" i="46" s="1"/>
  <c r="H59" i="46" s="1"/>
  <c r="E58" i="46"/>
  <c r="G58" i="46" s="1"/>
  <c r="H58" i="46" s="1"/>
  <c r="E57" i="46"/>
  <c r="G57" i="46" s="1"/>
  <c r="H57" i="46" s="1"/>
  <c r="E56" i="46"/>
  <c r="G56" i="46" s="1"/>
  <c r="H56" i="46" s="1"/>
  <c r="E55" i="46"/>
  <c r="G55" i="46" s="1"/>
  <c r="H55" i="46" s="1"/>
  <c r="E54" i="46"/>
  <c r="G54" i="46" s="1"/>
  <c r="H54" i="46" s="1"/>
  <c r="E53" i="46"/>
  <c r="G53" i="46" s="1"/>
  <c r="H53" i="46" s="1"/>
  <c r="E52" i="46"/>
  <c r="G52" i="46" s="1"/>
  <c r="H52" i="46" s="1"/>
  <c r="E51" i="46"/>
  <c r="G51" i="46" s="1"/>
  <c r="H51" i="46" s="1"/>
  <c r="H50" i="46"/>
  <c r="H31" i="46" s="1"/>
  <c r="E49" i="46"/>
  <c r="G49" i="46" s="1"/>
  <c r="E48" i="46"/>
  <c r="E47" i="46"/>
  <c r="G47" i="46" s="1"/>
  <c r="E46" i="46"/>
  <c r="E45" i="46"/>
  <c r="E44" i="46"/>
  <c r="G44" i="46" s="1"/>
  <c r="E43" i="46"/>
  <c r="E42" i="46"/>
  <c r="G42" i="46" s="1"/>
  <c r="E41" i="46"/>
  <c r="E40" i="46"/>
  <c r="G40" i="46" s="1"/>
  <c r="E39" i="46"/>
  <c r="E38" i="46"/>
  <c r="G38" i="46" s="1"/>
  <c r="E37" i="46"/>
  <c r="E36" i="46"/>
  <c r="G36" i="46" s="1"/>
  <c r="E35" i="46"/>
  <c r="E34" i="46"/>
  <c r="G34" i="46" s="1"/>
  <c r="E33" i="46"/>
  <c r="F31" i="46"/>
  <c r="F27" i="46" s="1"/>
  <c r="E31" i="46"/>
  <c r="E27" i="46" s="1"/>
  <c r="G28" i="46"/>
  <c r="F28" i="46"/>
  <c r="E28" i="46"/>
  <c r="H52" i="45"/>
  <c r="G52" i="45"/>
  <c r="E52" i="45"/>
  <c r="G51" i="45"/>
  <c r="H51" i="45" s="1"/>
  <c r="H50" i="45" s="1"/>
  <c r="E50" i="45"/>
  <c r="E44" i="45"/>
  <c r="E27" i="45" s="1"/>
  <c r="G32" i="45"/>
  <c r="H33" i="45"/>
  <c r="G30" i="45"/>
  <c r="H30" i="45" s="1"/>
  <c r="G29" i="45"/>
  <c r="F28" i="45"/>
  <c r="E28" i="45"/>
  <c r="F27" i="45"/>
  <c r="H85" i="66"/>
  <c r="H82" i="66"/>
  <c r="E80" i="66"/>
  <c r="E74" i="66" s="1"/>
  <c r="C76" i="66"/>
  <c r="H73" i="66"/>
  <c r="H72" i="66"/>
  <c r="H66" i="66"/>
  <c r="H64" i="66"/>
  <c r="G64" i="66"/>
  <c r="F64" i="66"/>
  <c r="E64" i="66"/>
  <c r="G63" i="66"/>
  <c r="H63" i="66" s="1"/>
  <c r="E61" i="66"/>
  <c r="G59" i="66"/>
  <c r="H59" i="66" s="1"/>
  <c r="G58" i="66"/>
  <c r="H58" i="66" s="1"/>
  <c r="E57" i="66"/>
  <c r="H56" i="66"/>
  <c r="H54" i="66" s="1"/>
  <c r="E54" i="66"/>
  <c r="H53" i="66"/>
  <c r="H40" i="66"/>
  <c r="H39" i="66" s="1"/>
  <c r="G39" i="66"/>
  <c r="F39" i="66"/>
  <c r="E39" i="66"/>
  <c r="E30" i="66" s="1"/>
  <c r="E29" i="66" s="1"/>
  <c r="H38" i="66"/>
  <c r="H34" i="66"/>
  <c r="F34" i="66"/>
  <c r="G33" i="66"/>
  <c r="H33" i="66" s="1"/>
  <c r="G32" i="66"/>
  <c r="H32" i="66" s="1"/>
  <c r="G31" i="66"/>
  <c r="H31" i="66" s="1"/>
  <c r="H50" i="18"/>
  <c r="G50" i="18"/>
  <c r="E50" i="18"/>
  <c r="G47" i="18"/>
  <c r="F46" i="18"/>
  <c r="E46" i="18"/>
  <c r="G45" i="18"/>
  <c r="G44" i="18" s="1"/>
  <c r="F44" i="18"/>
  <c r="E44" i="18"/>
  <c r="E40" i="18"/>
  <c r="E36" i="18" s="1"/>
  <c r="G39" i="18"/>
  <c r="H39" i="18" s="1"/>
  <c r="G38" i="18"/>
  <c r="H38" i="18" s="1"/>
  <c r="G37" i="18"/>
  <c r="G34" i="18"/>
  <c r="H34" i="18" s="1"/>
  <c r="E33" i="18"/>
  <c r="G33" i="18" s="1"/>
  <c r="H33" i="18" s="1"/>
  <c r="G32" i="18"/>
  <c r="G30" i="18"/>
  <c r="H30" i="18" s="1"/>
  <c r="F29" i="18"/>
  <c r="F28" i="18" s="1"/>
  <c r="E29" i="18"/>
  <c r="F110" i="49"/>
  <c r="G110" i="49" s="1"/>
  <c r="F106" i="49"/>
  <c r="G106" i="49" s="1"/>
  <c r="E105" i="49"/>
  <c r="F105" i="49" s="1"/>
  <c r="F104" i="49"/>
  <c r="G104" i="49" s="1"/>
  <c r="F103" i="49"/>
  <c r="G103" i="49" s="1"/>
  <c r="F102" i="49"/>
  <c r="G102" i="49" s="1"/>
  <c r="E101" i="49"/>
  <c r="E100" i="49"/>
  <c r="F100" i="49" s="1"/>
  <c r="G99" i="49"/>
  <c r="F99" i="49"/>
  <c r="F98" i="49"/>
  <c r="G98" i="49" s="1"/>
  <c r="F97" i="49"/>
  <c r="F96" i="49" s="1"/>
  <c r="E96" i="49"/>
  <c r="E95" i="49" s="1"/>
  <c r="E94" i="49" s="1"/>
  <c r="F92" i="49"/>
  <c r="G92" i="49" s="1"/>
  <c r="F90" i="49"/>
  <c r="G90" i="49" s="1"/>
  <c r="E89" i="49"/>
  <c r="E86" i="49" s="1"/>
  <c r="F88" i="49"/>
  <c r="G88" i="49" s="1"/>
  <c r="E87" i="49"/>
  <c r="E85" i="49"/>
  <c r="F84" i="49"/>
  <c r="E82" i="49"/>
  <c r="F81" i="49"/>
  <c r="E79" i="49"/>
  <c r="F79" i="49" s="1"/>
  <c r="G79" i="49" s="1"/>
  <c r="F74" i="49"/>
  <c r="G74" i="49" s="1"/>
  <c r="E73" i="49"/>
  <c r="F73" i="49" s="1"/>
  <c r="F72" i="49"/>
  <c r="G72" i="49" s="1"/>
  <c r="E70" i="49"/>
  <c r="E69" i="49"/>
  <c r="F68" i="49"/>
  <c r="E66" i="49"/>
  <c r="F65" i="49"/>
  <c r="F63" i="49"/>
  <c r="G63" i="49" s="1"/>
  <c r="F59" i="49"/>
  <c r="G59" i="49" s="1"/>
  <c r="E58" i="49"/>
  <c r="F57" i="49"/>
  <c r="G57" i="49" s="1"/>
  <c r="E57" i="49"/>
  <c r="G54" i="49"/>
  <c r="F54" i="49"/>
  <c r="G53" i="49"/>
  <c r="F53" i="49"/>
  <c r="F52" i="49"/>
  <c r="E52" i="49"/>
  <c r="F51" i="49"/>
  <c r="G51" i="49" s="1"/>
  <c r="E51" i="49"/>
  <c r="G50" i="49"/>
  <c r="G49" i="49" s="1"/>
  <c r="F50" i="49"/>
  <c r="F49" i="49" s="1"/>
  <c r="E49" i="49"/>
  <c r="F48" i="49"/>
  <c r="G48" i="49" s="1"/>
  <c r="F43" i="49"/>
  <c r="E43" i="49"/>
  <c r="G42" i="49"/>
  <c r="F42" i="49"/>
  <c r="G41" i="49"/>
  <c r="F41" i="49"/>
  <c r="E39" i="49"/>
  <c r="F38" i="49"/>
  <c r="G38" i="49" s="1"/>
  <c r="F36" i="49"/>
  <c r="G70" i="42"/>
  <c r="E68" i="42"/>
  <c r="E67" i="42" s="1"/>
  <c r="E65" i="42"/>
  <c r="G65" i="42" s="1"/>
  <c r="G64" i="42"/>
  <c r="H64" i="42" s="1"/>
  <c r="F63" i="42"/>
  <c r="F62" i="42" s="1"/>
  <c r="E61" i="42"/>
  <c r="H58" i="42"/>
  <c r="G58" i="42"/>
  <c r="F58" i="42"/>
  <c r="E58" i="42"/>
  <c r="G57" i="42"/>
  <c r="G56" i="42" s="1"/>
  <c r="F56" i="42"/>
  <c r="E56" i="42"/>
  <c r="E53" i="42"/>
  <c r="E42" i="42" s="1"/>
  <c r="G50" i="42"/>
  <c r="H50" i="42" s="1"/>
  <c r="G43" i="42"/>
  <c r="H39" i="42"/>
  <c r="H37" i="42"/>
  <c r="E31" i="42"/>
  <c r="E40" i="42" s="1"/>
  <c r="G30" i="42"/>
  <c r="H30" i="42" s="1"/>
  <c r="G29" i="42"/>
  <c r="G107" i="56"/>
  <c r="H107" i="56" s="1"/>
  <c r="H106" i="56" s="1"/>
  <c r="E106" i="56"/>
  <c r="G100" i="56"/>
  <c r="G99" i="56" s="1"/>
  <c r="E99" i="56"/>
  <c r="E97" i="56"/>
  <c r="G97" i="56" s="1"/>
  <c r="H97" i="56" s="1"/>
  <c r="G96" i="56"/>
  <c r="H96" i="56" s="1"/>
  <c r="E95" i="56"/>
  <c r="G95" i="56" s="1"/>
  <c r="H95" i="56" s="1"/>
  <c r="G94" i="56"/>
  <c r="H94" i="56" s="1"/>
  <c r="G93" i="56"/>
  <c r="H93" i="56" s="1"/>
  <c r="G92" i="56"/>
  <c r="H92" i="56" s="1"/>
  <c r="G91" i="56"/>
  <c r="H91" i="56" s="1"/>
  <c r="G90" i="56"/>
  <c r="H90" i="56" s="1"/>
  <c r="E89" i="56"/>
  <c r="E88" i="56"/>
  <c r="G88" i="56" s="1"/>
  <c r="H88" i="56" s="1"/>
  <c r="G87" i="56"/>
  <c r="H87" i="56" s="1"/>
  <c r="G86" i="56"/>
  <c r="H86" i="56" s="1"/>
  <c r="G85" i="56"/>
  <c r="H85" i="56" s="1"/>
  <c r="G84" i="56"/>
  <c r="H84" i="56" s="1"/>
  <c r="G83" i="56"/>
  <c r="H83" i="56" s="1"/>
  <c r="G82" i="56"/>
  <c r="G77" i="56"/>
  <c r="E76" i="56"/>
  <c r="H75" i="56"/>
  <c r="H71" i="56"/>
  <c r="G67" i="56"/>
  <c r="H67" i="56" s="1"/>
  <c r="G66" i="56"/>
  <c r="E61" i="56"/>
  <c r="G64" i="56"/>
  <c r="H64" i="56" s="1"/>
  <c r="G63" i="56"/>
  <c r="E55" i="56"/>
  <c r="G54" i="56"/>
  <c r="H54" i="56" s="1"/>
  <c r="G53" i="56"/>
  <c r="H53" i="56" s="1"/>
  <c r="G48" i="56"/>
  <c r="H48" i="56" s="1"/>
  <c r="H47" i="56"/>
  <c r="G46" i="56"/>
  <c r="H46" i="56" s="1"/>
  <c r="H45" i="56"/>
  <c r="G44" i="56"/>
  <c r="G42" i="56"/>
  <c r="H42" i="56" s="1"/>
  <c r="G41" i="56"/>
  <c r="E33" i="56"/>
  <c r="H32" i="56"/>
  <c r="G56" i="58"/>
  <c r="H56" i="58" s="1"/>
  <c r="E55" i="58"/>
  <c r="G55" i="58" s="1"/>
  <c r="H55" i="58" s="1"/>
  <c r="G54" i="58"/>
  <c r="H54" i="58" s="1"/>
  <c r="G53" i="58"/>
  <c r="H53" i="58" s="1"/>
  <c r="H51" i="58"/>
  <c r="H47" i="58"/>
  <c r="E45" i="58"/>
  <c r="E34" i="58" s="1"/>
  <c r="E26" i="58" s="1"/>
  <c r="G42" i="58"/>
  <c r="H42" i="58" s="1"/>
  <c r="G41" i="58"/>
  <c r="H41" i="58" s="1"/>
  <c r="H40" i="58"/>
  <c r="H39" i="58"/>
  <c r="G38" i="58"/>
  <c r="H38" i="58" s="1"/>
  <c r="G37" i="58"/>
  <c r="G36" i="58"/>
  <c r="H36" i="58" s="1"/>
  <c r="G35" i="58"/>
  <c r="H32" i="58"/>
  <c r="H33" i="58"/>
  <c r="E85" i="44"/>
  <c r="G84" i="44"/>
  <c r="H84" i="44" s="1"/>
  <c r="G83" i="44"/>
  <c r="H83" i="44" s="1"/>
  <c r="G82" i="44"/>
  <c r="H82" i="44" s="1"/>
  <c r="H81" i="44"/>
  <c r="G80" i="44"/>
  <c r="E79" i="44"/>
  <c r="H73" i="44"/>
  <c r="E71" i="44"/>
  <c r="G70" i="44"/>
  <c r="H70" i="44" s="1"/>
  <c r="G67" i="44"/>
  <c r="H67" i="44" s="1"/>
  <c r="G66" i="44"/>
  <c r="H66" i="44" s="1"/>
  <c r="G65" i="44"/>
  <c r="H65" i="44" s="1"/>
  <c r="G64" i="44"/>
  <c r="H64" i="44" s="1"/>
  <c r="H63" i="44"/>
  <c r="G61" i="44"/>
  <c r="H61" i="44" s="1"/>
  <c r="G60" i="44"/>
  <c r="H57" i="44"/>
  <c r="E47" i="44"/>
  <c r="E43" i="44" s="1"/>
  <c r="G46" i="44"/>
  <c r="H39" i="44"/>
  <c r="H41" i="44"/>
  <c r="E37" i="44"/>
  <c r="E36" i="44" s="1"/>
  <c r="E30" i="44" s="1"/>
  <c r="G35" i="44"/>
  <c r="H35" i="44" s="1"/>
  <c r="H34" i="44"/>
  <c r="G34" i="44"/>
  <c r="E34" i="44"/>
  <c r="E63" i="20"/>
  <c r="G62" i="20"/>
  <c r="G61" i="20" s="1"/>
  <c r="E61" i="20"/>
  <c r="E36" i="20"/>
  <c r="G34" i="20"/>
  <c r="H34" i="20" s="1"/>
  <c r="H32" i="20"/>
  <c r="G29" i="20"/>
  <c r="E43" i="7"/>
  <c r="E40" i="7"/>
  <c r="G40" i="7" s="1"/>
  <c r="H40" i="7" s="1"/>
  <c r="G39" i="7"/>
  <c r="H39" i="7" s="1"/>
  <c r="G38" i="7"/>
  <c r="H38" i="7" s="1"/>
  <c r="G37" i="7"/>
  <c r="H37" i="7" s="1"/>
  <c r="G36" i="7"/>
  <c r="H36" i="7" s="1"/>
  <c r="G35" i="7"/>
  <c r="H35" i="7" s="1"/>
  <c r="H33" i="7"/>
  <c r="H32" i="7"/>
  <c r="G31" i="7"/>
  <c r="H31" i="7" s="1"/>
  <c r="G29" i="7"/>
  <c r="H29" i="7" s="1"/>
  <c r="E27" i="7"/>
  <c r="G120" i="17"/>
  <c r="H120" i="17" s="1"/>
  <c r="H119" i="17" s="1"/>
  <c r="E119" i="17"/>
  <c r="E61" i="17"/>
  <c r="E41" i="17" s="1"/>
  <c r="G53" i="17"/>
  <c r="H53" i="17" s="1"/>
  <c r="G52" i="17"/>
  <c r="H52" i="17" s="1"/>
  <c r="G50" i="17"/>
  <c r="H50" i="17" s="1"/>
  <c r="G58" i="17"/>
  <c r="H58" i="17" s="1"/>
  <c r="G48" i="17"/>
  <c r="H48" i="17" s="1"/>
  <c r="H47" i="17"/>
  <c r="G46" i="17"/>
  <c r="H46" i="17" s="1"/>
  <c r="G45" i="17"/>
  <c r="H45" i="17" s="1"/>
  <c r="G44" i="17"/>
  <c r="H44" i="17" s="1"/>
  <c r="G43" i="17"/>
  <c r="G40" i="17"/>
  <c r="H40" i="17" s="1"/>
  <c r="G39" i="17"/>
  <c r="H39" i="17" s="1"/>
  <c r="E38" i="17"/>
  <c r="E32" i="17" s="1"/>
  <c r="G37" i="17"/>
  <c r="H37" i="17" s="1"/>
  <c r="G36" i="17"/>
  <c r="H36" i="17" s="1"/>
  <c r="G30" i="17"/>
  <c r="H30" i="17" s="1"/>
  <c r="G29" i="17"/>
  <c r="H29" i="17" s="1"/>
  <c r="G114" i="17"/>
  <c r="H114" i="17" s="1"/>
  <c r="H113" i="17"/>
  <c r="G111" i="17"/>
  <c r="G110" i="17"/>
  <c r="G91" i="17"/>
  <c r="H91" i="17" s="1"/>
  <c r="G90" i="17"/>
  <c r="H90" i="17" s="1"/>
  <c r="G89" i="17"/>
  <c r="H89" i="17" s="1"/>
  <c r="G88" i="17"/>
  <c r="H88" i="17" s="1"/>
  <c r="G87" i="17"/>
  <c r="H78" i="17"/>
  <c r="H74" i="17" s="1"/>
  <c r="E81" i="17"/>
  <c r="H76" i="17"/>
  <c r="H75" i="17"/>
  <c r="E77" i="15"/>
  <c r="H76" i="15"/>
  <c r="H75" i="15"/>
  <c r="G72" i="15"/>
  <c r="H72" i="15" s="1"/>
  <c r="G71" i="15"/>
  <c r="G69" i="15"/>
  <c r="G68" i="15"/>
  <c r="H68" i="15" s="1"/>
  <c r="G59" i="15"/>
  <c r="G64" i="15"/>
  <c r="G62" i="15" s="1"/>
  <c r="E56" i="15"/>
  <c r="E44" i="15" s="1"/>
  <c r="H48" i="15"/>
  <c r="G47" i="15"/>
  <c r="H47" i="15" s="1"/>
  <c r="G46" i="15"/>
  <c r="H46" i="15" s="1"/>
  <c r="G45" i="15"/>
  <c r="G42" i="15"/>
  <c r="H42" i="15" s="1"/>
  <c r="H41" i="15"/>
  <c r="G39" i="15"/>
  <c r="H39" i="15" s="1"/>
  <c r="H38" i="15"/>
  <c r="G35" i="15"/>
  <c r="E33" i="15"/>
  <c r="G32" i="15"/>
  <c r="H32" i="15" s="1"/>
  <c r="G31" i="15"/>
  <c r="H31" i="15" s="1"/>
  <c r="H59" i="14"/>
  <c r="G59" i="14"/>
  <c r="E59" i="14"/>
  <c r="G58" i="14"/>
  <c r="E57" i="14"/>
  <c r="G51" i="14"/>
  <c r="E50" i="14"/>
  <c r="E35" i="14" s="1"/>
  <c r="E27" i="14" s="1"/>
  <c r="H42" i="14"/>
  <c r="G41" i="14"/>
  <c r="H41" i="14" s="1"/>
  <c r="G40" i="14"/>
  <c r="H40" i="14" s="1"/>
  <c r="H39" i="14"/>
  <c r="G38" i="14"/>
  <c r="H38" i="14" s="1"/>
  <c r="G37" i="14"/>
  <c r="H34" i="14"/>
  <c r="H33" i="14"/>
  <c r="G33" i="35"/>
  <c r="H33" i="35" s="1"/>
  <c r="G32" i="35"/>
  <c r="H52" i="36"/>
  <c r="G52" i="36"/>
  <c r="E52" i="36"/>
  <c r="G51" i="36"/>
  <c r="G50" i="36" s="1"/>
  <c r="E50" i="36"/>
  <c r="G44" i="36"/>
  <c r="E43" i="36"/>
  <c r="H40" i="36"/>
  <c r="E38" i="36"/>
  <c r="E31" i="36" s="1"/>
  <c r="H36" i="36"/>
  <c r="H35" i="36"/>
  <c r="G33" i="36"/>
  <c r="H33" i="36" s="1"/>
  <c r="G32" i="36"/>
  <c r="H32" i="36" s="1"/>
  <c r="G31" i="36"/>
  <c r="H30" i="36"/>
  <c r="H29" i="36"/>
  <c r="G28" i="36"/>
  <c r="H28" i="36" s="1"/>
  <c r="E27" i="36"/>
  <c r="E26" i="36" s="1"/>
  <c r="G79" i="11"/>
  <c r="G78" i="11" s="1"/>
  <c r="H77" i="11"/>
  <c r="H75" i="11" s="1"/>
  <c r="H74" i="11"/>
  <c r="G71" i="11"/>
  <c r="H71" i="11" s="1"/>
  <c r="H35" i="11"/>
  <c r="H34" i="11"/>
  <c r="E30" i="11"/>
  <c r="E29" i="11" s="1"/>
  <c r="G51" i="5"/>
  <c r="G50" i="5" s="1"/>
  <c r="G39" i="5"/>
  <c r="G36" i="5" s="1"/>
  <c r="E33" i="5"/>
  <c r="H54" i="10"/>
  <c r="G54" i="10"/>
  <c r="E54" i="10"/>
  <c r="G53" i="10"/>
  <c r="H53" i="10" s="1"/>
  <c r="H52" i="10" s="1"/>
  <c r="E52" i="10"/>
  <c r="H41" i="10"/>
  <c r="G40" i="10"/>
  <c r="H40" i="10" s="1"/>
  <c r="G39" i="10"/>
  <c r="H39" i="10" s="1"/>
  <c r="G38" i="10"/>
  <c r="H38" i="10" s="1"/>
  <c r="G37" i="10"/>
  <c r="G34" i="10"/>
  <c r="H34" i="10" s="1"/>
  <c r="E33" i="10"/>
  <c r="G33" i="10" s="1"/>
  <c r="H33" i="37"/>
  <c r="G33" i="37"/>
  <c r="E33" i="37"/>
  <c r="H31" i="37"/>
  <c r="E28" i="37"/>
  <c r="E27" i="37" s="1"/>
  <c r="G71" i="12"/>
  <c r="H71" i="12" s="1"/>
  <c r="G70" i="12"/>
  <c r="H70" i="12" s="1"/>
  <c r="H68" i="12"/>
  <c r="G68" i="12"/>
  <c r="E68" i="12"/>
  <c r="H65" i="12"/>
  <c r="G66" i="12"/>
  <c r="H66" i="12" s="1"/>
  <c r="F65" i="12"/>
  <c r="E65" i="12"/>
  <c r="E61" i="12"/>
  <c r="E33" i="12" s="1"/>
  <c r="G31" i="12"/>
  <c r="H31" i="12" s="1"/>
  <c r="G30" i="12"/>
  <c r="G29" i="12"/>
  <c r="H29" i="12" s="1"/>
  <c r="F28" i="12"/>
  <c r="E28" i="12"/>
  <c r="E37" i="8"/>
  <c r="E33" i="8" s="1"/>
  <c r="H36" i="8"/>
  <c r="G35" i="8"/>
  <c r="H35" i="8" s="1"/>
  <c r="G34" i="8"/>
  <c r="G32" i="8"/>
  <c r="H32" i="8" s="1"/>
  <c r="F31" i="8"/>
  <c r="E31" i="8"/>
  <c r="G31" i="8" s="1"/>
  <c r="H31" i="8" s="1"/>
  <c r="H30" i="8"/>
  <c r="G27" i="8"/>
  <c r="F27" i="8"/>
  <c r="E27" i="8"/>
  <c r="E26" i="8" s="1"/>
  <c r="F26" i="8"/>
  <c r="F25" i="8" s="1"/>
  <c r="H61" i="13"/>
  <c r="G61" i="13"/>
  <c r="F61" i="13"/>
  <c r="E61" i="13"/>
  <c r="G60" i="13"/>
  <c r="H60" i="13" s="1"/>
  <c r="F59" i="13"/>
  <c r="F55" i="13" s="1"/>
  <c r="F54" i="13" s="1"/>
  <c r="E59" i="13"/>
  <c r="E55" i="13" s="1"/>
  <c r="E54" i="13" s="1"/>
  <c r="G56" i="13"/>
  <c r="G53" i="13"/>
  <c r="H53" i="13" s="1"/>
  <c r="G46" i="13"/>
  <c r="H46" i="13" s="1"/>
  <c r="G45" i="13"/>
  <c r="H45" i="13" s="1"/>
  <c r="G43" i="13"/>
  <c r="H43" i="13" s="1"/>
  <c r="F38" i="13"/>
  <c r="F29" i="13" s="1"/>
  <c r="F28" i="13" s="1"/>
  <c r="G38" i="13"/>
  <c r="H38" i="13" s="1"/>
  <c r="G37" i="13"/>
  <c r="G32" i="13"/>
  <c r="H32" i="13" s="1"/>
  <c r="G30" i="13"/>
  <c r="H30" i="13" s="1"/>
  <c r="G60" i="4"/>
  <c r="G59" i="4" s="1"/>
  <c r="G58" i="4" s="1"/>
  <c r="G57" i="4"/>
  <c r="H57" i="4" s="1"/>
  <c r="G56" i="4"/>
  <c r="G54" i="4" s="1"/>
  <c r="F54" i="4"/>
  <c r="E54" i="4"/>
  <c r="F53" i="4"/>
  <c r="E53" i="4"/>
  <c r="E51" i="4"/>
  <c r="G51" i="4" s="1"/>
  <c r="H51" i="4" s="1"/>
  <c r="G50" i="4"/>
  <c r="H50" i="4" s="1"/>
  <c r="G34" i="4"/>
  <c r="H34" i="4" s="1"/>
  <c r="F33" i="4"/>
  <c r="E33" i="4"/>
  <c r="E27" i="4" s="1"/>
  <c r="E26" i="4" s="1"/>
  <c r="G32" i="4"/>
  <c r="F30" i="4"/>
  <c r="G30" i="4" s="1"/>
  <c r="H30" i="4" s="1"/>
  <c r="O96" i="41"/>
  <c r="N96" i="41"/>
  <c r="L96" i="41"/>
  <c r="K96" i="41"/>
  <c r="N95" i="41"/>
  <c r="O95" i="41" s="1"/>
  <c r="K95" i="41"/>
  <c r="L95" i="41" s="1"/>
  <c r="N94" i="41"/>
  <c r="O94" i="41" s="1"/>
  <c r="K94" i="41"/>
  <c r="L94" i="41" s="1"/>
  <c r="N93" i="41"/>
  <c r="O93" i="41" s="1"/>
  <c r="K93" i="41"/>
  <c r="L93" i="41" s="1"/>
  <c r="N92" i="41"/>
  <c r="O92" i="41" s="1"/>
  <c r="K92" i="41"/>
  <c r="L92" i="41" s="1"/>
  <c r="N91" i="41"/>
  <c r="O91" i="41" s="1"/>
  <c r="K91" i="41"/>
  <c r="L91" i="41" s="1"/>
  <c r="N90" i="41"/>
  <c r="O90" i="41" s="1"/>
  <c r="K90" i="41"/>
  <c r="L90" i="41" s="1"/>
  <c r="N89" i="41"/>
  <c r="O89" i="41" s="1"/>
  <c r="K89" i="41"/>
  <c r="L89" i="41" s="1"/>
  <c r="N88" i="41"/>
  <c r="O88" i="41" s="1"/>
  <c r="K88" i="41"/>
  <c r="L88" i="41" s="1"/>
  <c r="N87" i="41"/>
  <c r="O87" i="41" s="1"/>
  <c r="K87" i="41"/>
  <c r="L87" i="41" s="1"/>
  <c r="O86" i="41"/>
  <c r="N86" i="41"/>
  <c r="L86" i="41"/>
  <c r="K86" i="41"/>
  <c r="N85" i="41"/>
  <c r="O85" i="41" s="1"/>
  <c r="P85" i="41" s="1"/>
  <c r="K85" i="41"/>
  <c r="L85" i="41" s="1"/>
  <c r="O84" i="41"/>
  <c r="N84" i="41"/>
  <c r="L84" i="41"/>
  <c r="K84" i="41"/>
  <c r="N83" i="41"/>
  <c r="O83" i="41" s="1"/>
  <c r="K83" i="41"/>
  <c r="L83" i="41" s="1"/>
  <c r="O82" i="41"/>
  <c r="N82" i="41"/>
  <c r="L82" i="41"/>
  <c r="K82" i="41"/>
  <c r="N81" i="41"/>
  <c r="O81" i="41" s="1"/>
  <c r="K81" i="41"/>
  <c r="L81" i="41" s="1"/>
  <c r="O80" i="41"/>
  <c r="N80" i="41"/>
  <c r="L80" i="41"/>
  <c r="K80" i="41"/>
  <c r="N79" i="41"/>
  <c r="O79" i="41" s="1"/>
  <c r="K79" i="41"/>
  <c r="L79" i="41" s="1"/>
  <c r="P79" i="41" s="1"/>
  <c r="N78" i="41"/>
  <c r="O78" i="41" s="1"/>
  <c r="K78" i="41"/>
  <c r="L78" i="41" s="1"/>
  <c r="N77" i="41"/>
  <c r="O77" i="41" s="1"/>
  <c r="K77" i="41"/>
  <c r="L77" i="41" s="1"/>
  <c r="N76" i="41"/>
  <c r="O76" i="41" s="1"/>
  <c r="K76" i="41"/>
  <c r="L76" i="41" s="1"/>
  <c r="N75" i="41"/>
  <c r="O75" i="41" s="1"/>
  <c r="K75" i="41"/>
  <c r="L75" i="41" s="1"/>
  <c r="P75" i="41" s="1"/>
  <c r="N74" i="41"/>
  <c r="O74" i="41" s="1"/>
  <c r="K74" i="41"/>
  <c r="L74" i="41" s="1"/>
  <c r="N73" i="41"/>
  <c r="O73" i="41" s="1"/>
  <c r="K73" i="41"/>
  <c r="L73" i="41" s="1"/>
  <c r="P73" i="41" s="1"/>
  <c r="N72" i="41"/>
  <c r="O72" i="41" s="1"/>
  <c r="K72" i="41"/>
  <c r="L72" i="41" s="1"/>
  <c r="N71" i="41"/>
  <c r="O71" i="41" s="1"/>
  <c r="K71" i="41"/>
  <c r="L71" i="41" s="1"/>
  <c r="P71" i="41" s="1"/>
  <c r="N70" i="41"/>
  <c r="O70" i="41" s="1"/>
  <c r="K70" i="41"/>
  <c r="L70" i="41" s="1"/>
  <c r="N69" i="41"/>
  <c r="O69" i="41" s="1"/>
  <c r="K69" i="41"/>
  <c r="L69" i="41" s="1"/>
  <c r="N68" i="41"/>
  <c r="O68" i="41" s="1"/>
  <c r="K68" i="41"/>
  <c r="L68" i="41" s="1"/>
  <c r="N67" i="41"/>
  <c r="O67" i="41" s="1"/>
  <c r="K67" i="41"/>
  <c r="L67" i="41" s="1"/>
  <c r="N66" i="41"/>
  <c r="O66" i="41" s="1"/>
  <c r="K66" i="41"/>
  <c r="L66" i="41" s="1"/>
  <c r="N65" i="41"/>
  <c r="O65" i="41" s="1"/>
  <c r="K65" i="41"/>
  <c r="L65" i="41" s="1"/>
  <c r="N64" i="41"/>
  <c r="O64" i="41" s="1"/>
  <c r="K64" i="41"/>
  <c r="L64" i="41" s="1"/>
  <c r="N63" i="41"/>
  <c r="O63" i="41" s="1"/>
  <c r="K63" i="41"/>
  <c r="L63" i="41" s="1"/>
  <c r="P63" i="41" s="1"/>
  <c r="N62" i="41"/>
  <c r="O62" i="41" s="1"/>
  <c r="K62" i="41"/>
  <c r="L62" i="41" s="1"/>
  <c r="N61" i="41"/>
  <c r="O61" i="41" s="1"/>
  <c r="K61" i="41"/>
  <c r="L61" i="41" s="1"/>
  <c r="N60" i="41"/>
  <c r="O60" i="41" s="1"/>
  <c r="K60" i="41"/>
  <c r="L60" i="41" s="1"/>
  <c r="N59" i="41"/>
  <c r="O59" i="41" s="1"/>
  <c r="K59" i="41"/>
  <c r="L59" i="41" s="1"/>
  <c r="P59" i="41" s="1"/>
  <c r="N58" i="41"/>
  <c r="O58" i="41" s="1"/>
  <c r="K58" i="41"/>
  <c r="L58" i="41" s="1"/>
  <c r="N57" i="41"/>
  <c r="O57" i="41" s="1"/>
  <c r="K57" i="41"/>
  <c r="L57" i="41" s="1"/>
  <c r="P57" i="41" s="1"/>
  <c r="N56" i="41"/>
  <c r="O56" i="41" s="1"/>
  <c r="K56" i="41"/>
  <c r="L56" i="41" s="1"/>
  <c r="N55" i="41"/>
  <c r="O55" i="41" s="1"/>
  <c r="K55" i="41"/>
  <c r="L55" i="41" s="1"/>
  <c r="P55" i="41" s="1"/>
  <c r="N54" i="41"/>
  <c r="O54" i="41" s="1"/>
  <c r="K54" i="41"/>
  <c r="L54" i="41" s="1"/>
  <c r="N53" i="41"/>
  <c r="O53" i="41" s="1"/>
  <c r="P53" i="41" s="1"/>
  <c r="K53" i="41"/>
  <c r="L53" i="41" s="1"/>
  <c r="N52" i="41"/>
  <c r="O52" i="41" s="1"/>
  <c r="L52" i="41"/>
  <c r="K52" i="41"/>
  <c r="N51" i="41"/>
  <c r="O51" i="41" s="1"/>
  <c r="K51" i="41"/>
  <c r="L51" i="41" s="1"/>
  <c r="O50" i="41"/>
  <c r="N50" i="41"/>
  <c r="K50" i="41"/>
  <c r="L50" i="41" s="1"/>
  <c r="P50" i="41" s="1"/>
  <c r="N49" i="41"/>
  <c r="O49" i="41" s="1"/>
  <c r="K49" i="41"/>
  <c r="L49" i="41" s="1"/>
  <c r="N48" i="41"/>
  <c r="O48" i="41" s="1"/>
  <c r="L48" i="41"/>
  <c r="K48" i="41"/>
  <c r="N47" i="41"/>
  <c r="O47" i="41" s="1"/>
  <c r="K47" i="41"/>
  <c r="L47" i="41" s="1"/>
  <c r="P47" i="41" s="1"/>
  <c r="N46" i="41"/>
  <c r="O46" i="41" s="1"/>
  <c r="K46" i="41"/>
  <c r="L46" i="41" s="1"/>
  <c r="N45" i="41"/>
  <c r="O45" i="41" s="1"/>
  <c r="K45" i="41"/>
  <c r="L45" i="41" s="1"/>
  <c r="N44" i="41"/>
  <c r="O44" i="41" s="1"/>
  <c r="K44" i="41"/>
  <c r="L44" i="41" s="1"/>
  <c r="N43" i="41"/>
  <c r="O43" i="41" s="1"/>
  <c r="K43" i="41"/>
  <c r="L43" i="41" s="1"/>
  <c r="N42" i="41"/>
  <c r="O42" i="41" s="1"/>
  <c r="K42" i="41"/>
  <c r="L42" i="41" s="1"/>
  <c r="P42" i="41" s="1"/>
  <c r="N41" i="41"/>
  <c r="O41" i="41" s="1"/>
  <c r="K41" i="41"/>
  <c r="L41" i="41" s="1"/>
  <c r="N40" i="41"/>
  <c r="O40" i="41" s="1"/>
  <c r="K40" i="41"/>
  <c r="L40" i="41" s="1"/>
  <c r="N39" i="41"/>
  <c r="O39" i="41" s="1"/>
  <c r="K39" i="41"/>
  <c r="L39" i="41" s="1"/>
  <c r="N38" i="41"/>
  <c r="O38" i="41" s="1"/>
  <c r="L38" i="41"/>
  <c r="K38" i="41"/>
  <c r="N37" i="41"/>
  <c r="O37" i="41" s="1"/>
  <c r="K37" i="41"/>
  <c r="L37" i="41" s="1"/>
  <c r="O36" i="41"/>
  <c r="N36" i="41"/>
  <c r="K36" i="41"/>
  <c r="L36" i="41" s="1"/>
  <c r="P36" i="41" s="1"/>
  <c r="N35" i="41"/>
  <c r="O35" i="41" s="1"/>
  <c r="K35" i="41"/>
  <c r="L35" i="41" s="1"/>
  <c r="N34" i="41"/>
  <c r="O34" i="41" s="1"/>
  <c r="L34" i="41"/>
  <c r="K34" i="41"/>
  <c r="N33" i="41"/>
  <c r="O33" i="41" s="1"/>
  <c r="K33" i="41"/>
  <c r="L33" i="41" s="1"/>
  <c r="O32" i="41"/>
  <c r="N32" i="41"/>
  <c r="L32" i="41"/>
  <c r="K32" i="41"/>
  <c r="N31" i="41"/>
  <c r="O31" i="41" s="1"/>
  <c r="K31" i="41"/>
  <c r="L31" i="41" s="1"/>
  <c r="N30" i="41"/>
  <c r="O30" i="41" s="1"/>
  <c r="K30" i="41"/>
  <c r="L30" i="41" s="1"/>
  <c r="N29" i="41"/>
  <c r="O29" i="41" s="1"/>
  <c r="K29" i="41"/>
  <c r="L29" i="41" s="1"/>
  <c r="N28" i="41"/>
  <c r="O28" i="41" s="1"/>
  <c r="K28" i="41"/>
  <c r="L28" i="41" s="1"/>
  <c r="N27" i="41"/>
  <c r="O27" i="41" s="1"/>
  <c r="K27" i="41"/>
  <c r="L27" i="41" s="1"/>
  <c r="N26" i="41"/>
  <c r="O26" i="41" s="1"/>
  <c r="K26" i="41"/>
  <c r="L26" i="41" s="1"/>
  <c r="N25" i="41"/>
  <c r="O25" i="41" s="1"/>
  <c r="K25" i="41"/>
  <c r="L25" i="41" s="1"/>
  <c r="N24" i="41"/>
  <c r="O24" i="41" s="1"/>
  <c r="K24" i="41"/>
  <c r="L24" i="41" s="1"/>
  <c r="N23" i="41"/>
  <c r="O23" i="41" s="1"/>
  <c r="K23" i="41"/>
  <c r="L23" i="41" s="1"/>
  <c r="N22" i="41"/>
  <c r="O22" i="41" s="1"/>
  <c r="K22" i="41"/>
  <c r="L22" i="41" s="1"/>
  <c r="N21" i="41"/>
  <c r="O21" i="41" s="1"/>
  <c r="K21" i="41"/>
  <c r="L21" i="41" s="1"/>
  <c r="N20" i="41"/>
  <c r="O20" i="41" s="1"/>
  <c r="K20" i="41"/>
  <c r="L20" i="41" s="1"/>
  <c r="N19" i="41"/>
  <c r="O19" i="41" s="1"/>
  <c r="K19" i="41"/>
  <c r="L19" i="41" s="1"/>
  <c r="N18" i="41"/>
  <c r="O18" i="41" s="1"/>
  <c r="K18" i="41"/>
  <c r="L18" i="41" s="1"/>
  <c r="N17" i="41"/>
  <c r="O17" i="41" s="1"/>
  <c r="K17" i="41"/>
  <c r="L17" i="41" s="1"/>
  <c r="N16" i="41"/>
  <c r="O16" i="41" s="1"/>
  <c r="K16" i="41"/>
  <c r="L16" i="41" s="1"/>
  <c r="P16" i="41" s="1"/>
  <c r="N15" i="41"/>
  <c r="O15" i="41" s="1"/>
  <c r="K15" i="41"/>
  <c r="L15" i="41" s="1"/>
  <c r="P15" i="41" s="1"/>
  <c r="N14" i="41"/>
  <c r="O14" i="41" s="1"/>
  <c r="K14" i="41"/>
  <c r="L14" i="41" s="1"/>
  <c r="P14" i="41" s="1"/>
  <c r="N13" i="41"/>
  <c r="O13" i="41" s="1"/>
  <c r="K13" i="41"/>
  <c r="L13" i="41" s="1"/>
  <c r="P13" i="41" s="1"/>
  <c r="N12" i="41"/>
  <c r="O12" i="41" s="1"/>
  <c r="K12" i="41"/>
  <c r="L12" i="41" s="1"/>
  <c r="P12" i="41" s="1"/>
  <c r="N11" i="41"/>
  <c r="O11" i="41" s="1"/>
  <c r="K11" i="41"/>
  <c r="L11" i="41" s="1"/>
  <c r="P11" i="41" s="1"/>
  <c r="N10" i="41"/>
  <c r="O10" i="41" s="1"/>
  <c r="K10" i="41"/>
  <c r="L10" i="41" s="1"/>
  <c r="P10" i="41" s="1"/>
  <c r="N9" i="41"/>
  <c r="O9" i="41" s="1"/>
  <c r="K9" i="41"/>
  <c r="L9" i="41" s="1"/>
  <c r="P9" i="41" s="1"/>
  <c r="N8" i="41"/>
  <c r="O8" i="41" s="1"/>
  <c r="K8" i="41"/>
  <c r="L8" i="41" s="1"/>
  <c r="P8" i="41" s="1"/>
  <c r="N7" i="41"/>
  <c r="O7" i="41" s="1"/>
  <c r="K7" i="41"/>
  <c r="M7" i="41" s="1"/>
  <c r="N6" i="41"/>
  <c r="O6" i="41" s="1"/>
  <c r="K6" i="41"/>
  <c r="L6" i="41" s="1"/>
  <c r="N5" i="41"/>
  <c r="O5" i="41" s="1"/>
  <c r="K5" i="41"/>
  <c r="M5" i="41" s="1"/>
  <c r="G41" i="1"/>
  <c r="F41" i="1"/>
  <c r="E41" i="1"/>
  <c r="G36" i="1"/>
  <c r="F36" i="1"/>
  <c r="E36" i="1"/>
  <c r="G27" i="1"/>
  <c r="G34" i="1" s="1"/>
  <c r="G33" i="1" s="1"/>
  <c r="G30" i="1" s="1"/>
  <c r="G29" i="1" s="1"/>
  <c r="G28" i="1" s="1"/>
  <c r="F27" i="1"/>
  <c r="F34" i="1" s="1"/>
  <c r="F33" i="1" s="1"/>
  <c r="F30" i="1" s="1"/>
  <c r="F29" i="1" s="1"/>
  <c r="F28" i="1" s="1"/>
  <c r="E27" i="1"/>
  <c r="E34" i="1" s="1"/>
  <c r="E33" i="1" s="1"/>
  <c r="E30" i="1" s="1"/>
  <c r="E29" i="1" s="1"/>
  <c r="B4" i="9"/>
  <c r="B3" i="9"/>
  <c r="B2" i="9"/>
  <c r="P6" i="41" l="1"/>
  <c r="P18" i="41"/>
  <c r="P68" i="41"/>
  <c r="P26" i="41"/>
  <c r="P28" i="41"/>
  <c r="P44" i="41"/>
  <c r="P87" i="41"/>
  <c r="P89" i="41"/>
  <c r="P91" i="41"/>
  <c r="P95" i="41"/>
  <c r="G33" i="8"/>
  <c r="G52" i="10"/>
  <c r="H51" i="5"/>
  <c r="H50" i="5" s="1"/>
  <c r="G65" i="56"/>
  <c r="G97" i="49"/>
  <c r="G96" i="49" s="1"/>
  <c r="E39" i="29"/>
  <c r="E38" i="50"/>
  <c r="G27" i="2"/>
  <c r="P17" i="41"/>
  <c r="P37" i="41"/>
  <c r="P82" i="41"/>
  <c r="E25" i="8"/>
  <c r="F70" i="49"/>
  <c r="G28" i="30"/>
  <c r="F38" i="29"/>
  <c r="F29" i="53"/>
  <c r="P21" i="41"/>
  <c r="P23" i="41"/>
  <c r="P25" i="41"/>
  <c r="P27" i="41"/>
  <c r="P31" i="41"/>
  <c r="P39" i="41"/>
  <c r="P41" i="41"/>
  <c r="P43" i="41"/>
  <c r="P69" i="41"/>
  <c r="P90" i="41"/>
  <c r="P92" i="41"/>
  <c r="G35" i="5"/>
  <c r="E71" i="49"/>
  <c r="E44" i="21"/>
  <c r="E30" i="21" s="1"/>
  <c r="E29" i="21" s="1"/>
  <c r="P58" i="41"/>
  <c r="P60" i="41"/>
  <c r="P74" i="41"/>
  <c r="P76" i="41"/>
  <c r="G29" i="50"/>
  <c r="P19" i="41"/>
  <c r="P29" i="41"/>
  <c r="P33" i="41"/>
  <c r="P51" i="41"/>
  <c r="P61" i="41"/>
  <c r="P65" i="41"/>
  <c r="P83" i="41"/>
  <c r="P93" i="41"/>
  <c r="G31" i="42"/>
  <c r="F47" i="49"/>
  <c r="F29" i="50"/>
  <c r="E38" i="53"/>
  <c r="E28" i="1"/>
  <c r="L5" i="41"/>
  <c r="F5" i="41" s="1"/>
  <c r="P35" i="41"/>
  <c r="P45" i="41"/>
  <c r="P49" i="41"/>
  <c r="P67" i="41"/>
  <c r="P77" i="41"/>
  <c r="P81" i="41"/>
  <c r="E34" i="7"/>
  <c r="G106" i="56"/>
  <c r="F89" i="49"/>
  <c r="F87" i="49" s="1"/>
  <c r="E61" i="46"/>
  <c r="E60" i="46" s="1"/>
  <c r="F57" i="38"/>
  <c r="F56" i="38" s="1"/>
  <c r="G30" i="53"/>
  <c r="G29" i="53" s="1"/>
  <c r="P20" i="41"/>
  <c r="P34" i="41"/>
  <c r="P52" i="41"/>
  <c r="P66" i="41"/>
  <c r="P84" i="41"/>
  <c r="G59" i="13"/>
  <c r="H59" i="13" s="1"/>
  <c r="G52" i="49"/>
  <c r="G29" i="18"/>
  <c r="F38" i="50"/>
  <c r="E27" i="24"/>
  <c r="G32" i="24"/>
  <c r="G57" i="24"/>
  <c r="H56" i="24"/>
  <c r="H55" i="24" s="1"/>
  <c r="H58" i="24"/>
  <c r="H57" i="24" s="1"/>
  <c r="F34" i="24"/>
  <c r="F27" i="24" s="1"/>
  <c r="P5" i="41"/>
  <c r="G43" i="36"/>
  <c r="H44" i="36"/>
  <c r="H43" i="36" s="1"/>
  <c r="G68" i="49"/>
  <c r="G81" i="49"/>
  <c r="F80" i="49"/>
  <c r="H47" i="18"/>
  <c r="H46" i="18" s="1"/>
  <c r="G46" i="18"/>
  <c r="H46" i="21"/>
  <c r="H45" i="21" s="1"/>
  <c r="G45" i="21"/>
  <c r="G44" i="21" s="1"/>
  <c r="F38" i="53"/>
  <c r="E27" i="2"/>
  <c r="L7" i="41"/>
  <c r="P7" i="41" s="1"/>
  <c r="G33" i="5"/>
  <c r="H33" i="5" s="1"/>
  <c r="H28" i="5" s="1"/>
  <c r="E28" i="5"/>
  <c r="G50" i="14"/>
  <c r="H51" i="14"/>
  <c r="H50" i="14" s="1"/>
  <c r="G47" i="49"/>
  <c r="G65" i="49"/>
  <c r="G105" i="49"/>
  <c r="G101" i="49" s="1"/>
  <c r="F101" i="49"/>
  <c r="H36" i="24"/>
  <c r="G34" i="24"/>
  <c r="F34" i="29"/>
  <c r="E33" i="29"/>
  <c r="E32" i="29" s="1"/>
  <c r="P24" i="41"/>
  <c r="P32" i="41"/>
  <c r="P40" i="41"/>
  <c r="P48" i="41"/>
  <c r="P56" i="41"/>
  <c r="P64" i="41"/>
  <c r="P72" i="41"/>
  <c r="P80" i="41"/>
  <c r="P88" i="41"/>
  <c r="P96" i="41"/>
  <c r="G26" i="8"/>
  <c r="H37" i="10"/>
  <c r="H36" i="10" s="1"/>
  <c r="H35" i="10" s="1"/>
  <c r="G36" i="10"/>
  <c r="G35" i="10" s="1"/>
  <c r="G43" i="49"/>
  <c r="E55" i="49"/>
  <c r="F58" i="49"/>
  <c r="G71" i="49"/>
  <c r="G73" i="49"/>
  <c r="G70" i="49" s="1"/>
  <c r="F71" i="49"/>
  <c r="F39" i="29"/>
  <c r="G41" i="29"/>
  <c r="G39" i="29" s="1"/>
  <c r="P22" i="41"/>
  <c r="P30" i="41"/>
  <c r="P38" i="41"/>
  <c r="P46" i="41"/>
  <c r="P54" i="41"/>
  <c r="P62" i="41"/>
  <c r="P70" i="41"/>
  <c r="P78" i="41"/>
  <c r="P86" i="41"/>
  <c r="P94" i="41"/>
  <c r="E47" i="49"/>
  <c r="E46" i="49" s="1"/>
  <c r="E56" i="49"/>
  <c r="F56" i="49" s="1"/>
  <c r="G56" i="49" s="1"/>
  <c r="G84" i="49"/>
  <c r="G95" i="49"/>
  <c r="G100" i="49"/>
  <c r="F95" i="49"/>
  <c r="H58" i="14"/>
  <c r="H57" i="14" s="1"/>
  <c r="G57" i="14"/>
  <c r="H69" i="15"/>
  <c r="G73" i="15"/>
  <c r="G70" i="15" s="1"/>
  <c r="F66" i="49"/>
  <c r="G66" i="49" s="1"/>
  <c r="E64" i="49"/>
  <c r="E62" i="49" s="1"/>
  <c r="E61" i="49" s="1"/>
  <c r="F69" i="49"/>
  <c r="G69" i="49" s="1"/>
  <c r="E67" i="49"/>
  <c r="E28" i="18"/>
  <c r="H38" i="21"/>
  <c r="H36" i="21" s="1"/>
  <c r="G36" i="21"/>
  <c r="F46" i="50"/>
  <c r="E45" i="50"/>
  <c r="E37" i="50" s="1"/>
  <c r="E36" i="50" s="1"/>
  <c r="E28" i="50" s="1"/>
  <c r="F46" i="53"/>
  <c r="E45" i="53"/>
  <c r="H37" i="14"/>
  <c r="H36" i="14" s="1"/>
  <c r="H35" i="14" s="1"/>
  <c r="G36" i="14"/>
  <c r="G35" i="14" s="1"/>
  <c r="G89" i="56"/>
  <c r="E81" i="56"/>
  <c r="F39" i="49"/>
  <c r="G36" i="49"/>
  <c r="G39" i="49" s="1"/>
  <c r="E80" i="49"/>
  <c r="F82" i="49"/>
  <c r="G82" i="49" s="1"/>
  <c r="E83" i="49"/>
  <c r="F85" i="49"/>
  <c r="G85" i="49" s="1"/>
  <c r="F30" i="21"/>
  <c r="F29" i="21" s="1"/>
  <c r="G28" i="35"/>
  <c r="G27" i="35" s="1"/>
  <c r="E28" i="17"/>
  <c r="H35" i="58"/>
  <c r="G34" i="58"/>
  <c r="G26" i="58" s="1"/>
  <c r="G28" i="18"/>
  <c r="G36" i="18"/>
  <c r="G35" i="18" s="1"/>
  <c r="E35" i="18"/>
  <c r="F43" i="57"/>
  <c r="F27" i="57" s="1"/>
  <c r="E33" i="38"/>
  <c r="E29" i="38" s="1"/>
  <c r="G43" i="38"/>
  <c r="G42" i="38" s="1"/>
  <c r="E57" i="38"/>
  <c r="E56" i="38" s="1"/>
  <c r="G40" i="56"/>
  <c r="F35" i="18"/>
  <c r="F27" i="18" s="1"/>
  <c r="F42" i="32"/>
  <c r="F41" i="32" s="1"/>
  <c r="H166" i="62"/>
  <c r="H165" i="62" s="1"/>
  <c r="H64" i="62" s="1"/>
  <c r="G165" i="62"/>
  <c r="G64" i="62" s="1"/>
  <c r="E150" i="62"/>
  <c r="E64" i="62" s="1"/>
  <c r="E37" i="62" s="1"/>
  <c r="G36" i="62"/>
  <c r="G32" i="62"/>
  <c r="H47" i="62"/>
  <c r="H29" i="62"/>
  <c r="H32" i="62" s="1"/>
  <c r="H50" i="62"/>
  <c r="H34" i="62"/>
  <c r="H36" i="62" s="1"/>
  <c r="E27" i="62"/>
  <c r="G41" i="62"/>
  <c r="F41" i="62"/>
  <c r="F38" i="62" s="1"/>
  <c r="F37" i="62" s="1"/>
  <c r="H42" i="62"/>
  <c r="H76" i="32"/>
  <c r="G56" i="32"/>
  <c r="F30" i="32"/>
  <c r="H56" i="32"/>
  <c r="G50" i="32"/>
  <c r="H50" i="32"/>
  <c r="H33" i="32"/>
  <c r="H32" i="32" s="1"/>
  <c r="G31" i="32"/>
  <c r="H39" i="32"/>
  <c r="H38" i="32" s="1"/>
  <c r="H31" i="32" s="1"/>
  <c r="E50" i="66"/>
  <c r="E49" i="66" s="1"/>
  <c r="E71" i="66"/>
  <c r="G57" i="66"/>
  <c r="G50" i="66" s="1"/>
  <c r="H81" i="66"/>
  <c r="H80" i="66" s="1"/>
  <c r="H74" i="66" s="1"/>
  <c r="H57" i="66"/>
  <c r="H50" i="66" s="1"/>
  <c r="F30" i="66"/>
  <c r="F29" i="66" s="1"/>
  <c r="G34" i="66"/>
  <c r="G30" i="66" s="1"/>
  <c r="G29" i="66" s="1"/>
  <c r="H30" i="66"/>
  <c r="H29" i="66" s="1"/>
  <c r="H49" i="30"/>
  <c r="H48" i="30" s="1"/>
  <c r="H43" i="30" s="1"/>
  <c r="H28" i="30" s="1"/>
  <c r="G58" i="38"/>
  <c r="G57" i="38" s="1"/>
  <c r="G56" i="38" s="1"/>
  <c r="H65" i="38"/>
  <c r="H64" i="38" s="1"/>
  <c r="F33" i="38"/>
  <c r="F29" i="38" s="1"/>
  <c r="F28" i="38" s="1"/>
  <c r="H59" i="38"/>
  <c r="H58" i="38" s="1"/>
  <c r="H57" i="38" s="1"/>
  <c r="G33" i="38"/>
  <c r="G29" i="38" s="1"/>
  <c r="G28" i="38" s="1"/>
  <c r="H44" i="38"/>
  <c r="H43" i="38" s="1"/>
  <c r="H42" i="38" s="1"/>
  <c r="H39" i="38"/>
  <c r="H34" i="38"/>
  <c r="H41" i="21"/>
  <c r="H33" i="21"/>
  <c r="G41" i="21"/>
  <c r="H44" i="21"/>
  <c r="G60" i="21"/>
  <c r="H69" i="21"/>
  <c r="H68" i="21" s="1"/>
  <c r="G50" i="57"/>
  <c r="E62" i="57"/>
  <c r="E43" i="57" s="1"/>
  <c r="E27" i="57" s="1"/>
  <c r="H40" i="57"/>
  <c r="H44" i="57"/>
  <c r="G44" i="57"/>
  <c r="H30" i="57"/>
  <c r="H29" i="57" s="1"/>
  <c r="G48" i="57"/>
  <c r="H48" i="57" s="1"/>
  <c r="H70" i="42"/>
  <c r="H67" i="42" s="1"/>
  <c r="G67" i="42"/>
  <c r="H43" i="42"/>
  <c r="H42" i="42" s="1"/>
  <c r="G42" i="42"/>
  <c r="G41" i="42" s="1"/>
  <c r="F41" i="42"/>
  <c r="F28" i="42" s="1"/>
  <c r="F27" i="42" s="1"/>
  <c r="E41" i="42"/>
  <c r="H57" i="42"/>
  <c r="H56" i="42" s="1"/>
  <c r="G63" i="42"/>
  <c r="H65" i="42"/>
  <c r="H63" i="42" s="1"/>
  <c r="E38" i="42"/>
  <c r="E32" i="42" s="1"/>
  <c r="G40" i="42"/>
  <c r="H29" i="42"/>
  <c r="H31" i="42" s="1"/>
  <c r="E63" i="42"/>
  <c r="E62" i="42" s="1"/>
  <c r="G29" i="48"/>
  <c r="G28" i="48" s="1"/>
  <c r="G34" i="48"/>
  <c r="G68" i="46"/>
  <c r="H60" i="46"/>
  <c r="G61" i="46"/>
  <c r="G60" i="46" s="1"/>
  <c r="G31" i="46"/>
  <c r="H69" i="46"/>
  <c r="H68" i="46" s="1"/>
  <c r="H27" i="46" s="1"/>
  <c r="H28" i="46"/>
  <c r="G28" i="45"/>
  <c r="H29" i="45"/>
  <c r="H28" i="45" s="1"/>
  <c r="G50" i="45"/>
  <c r="G31" i="45"/>
  <c r="H32" i="45"/>
  <c r="H31" i="45" s="1"/>
  <c r="H45" i="18"/>
  <c r="H44" i="18" s="1"/>
  <c r="H32" i="18"/>
  <c r="H29" i="18" s="1"/>
  <c r="H28" i="18" s="1"/>
  <c r="H37" i="18"/>
  <c r="H36" i="18" s="1"/>
  <c r="E27" i="48"/>
  <c r="H35" i="48"/>
  <c r="H31" i="48"/>
  <c r="H29" i="48" s="1"/>
  <c r="H28" i="48" s="1"/>
  <c r="F27" i="48"/>
  <c r="G43" i="56"/>
  <c r="H77" i="56"/>
  <c r="H76" i="56" s="1"/>
  <c r="G76" i="56"/>
  <c r="H100" i="56"/>
  <c r="H99" i="56" s="1"/>
  <c r="H74" i="56"/>
  <c r="H70" i="56" s="1"/>
  <c r="H69" i="56" s="1"/>
  <c r="E69" i="56"/>
  <c r="G61" i="56"/>
  <c r="H61" i="56" s="1"/>
  <c r="E56" i="56"/>
  <c r="E52" i="56" s="1"/>
  <c r="H63" i="56"/>
  <c r="H62" i="56" s="1"/>
  <c r="G62" i="56"/>
  <c r="H41" i="56"/>
  <c r="H40" i="56" s="1"/>
  <c r="G33" i="56"/>
  <c r="G39" i="56"/>
  <c r="H39" i="56" s="1"/>
  <c r="E34" i="56"/>
  <c r="E30" i="56" s="1"/>
  <c r="G55" i="56"/>
  <c r="H66" i="56"/>
  <c r="H65" i="56" s="1"/>
  <c r="H55" i="56"/>
  <c r="H82" i="56"/>
  <c r="H57" i="56"/>
  <c r="H31" i="56"/>
  <c r="H33" i="56" s="1"/>
  <c r="H44" i="56"/>
  <c r="H43" i="56" s="1"/>
  <c r="H27" i="58"/>
  <c r="E57" i="58"/>
  <c r="H37" i="58"/>
  <c r="H46" i="44"/>
  <c r="G43" i="44"/>
  <c r="G30" i="44" s="1"/>
  <c r="G52" i="44"/>
  <c r="G71" i="44"/>
  <c r="H71" i="44" s="1"/>
  <c r="F71" i="44"/>
  <c r="F59" i="44" s="1"/>
  <c r="F58" i="44" s="1"/>
  <c r="F50" i="44" s="1"/>
  <c r="F29" i="44" s="1"/>
  <c r="G56" i="44"/>
  <c r="H56" i="44" s="1"/>
  <c r="E51" i="44"/>
  <c r="H80" i="44"/>
  <c r="H79" i="44" s="1"/>
  <c r="G79" i="44"/>
  <c r="H42" i="44"/>
  <c r="H40" i="44" s="1"/>
  <c r="E59" i="44"/>
  <c r="E58" i="44" s="1"/>
  <c r="H38" i="44"/>
  <c r="H45" i="44"/>
  <c r="H43" i="44" s="1"/>
  <c r="H52" i="44"/>
  <c r="H60" i="44"/>
  <c r="E26" i="7"/>
  <c r="E35" i="20"/>
  <c r="E28" i="20"/>
  <c r="E27" i="20" s="1"/>
  <c r="G35" i="20"/>
  <c r="H30" i="20"/>
  <c r="H29" i="20" s="1"/>
  <c r="G33" i="20"/>
  <c r="H33" i="20" s="1"/>
  <c r="H62" i="20"/>
  <c r="H61" i="20" s="1"/>
  <c r="H28" i="7"/>
  <c r="H27" i="7" s="1"/>
  <c r="G34" i="7"/>
  <c r="G28" i="7"/>
  <c r="G27" i="7" s="1"/>
  <c r="H34" i="7"/>
  <c r="G86" i="17"/>
  <c r="H110" i="17"/>
  <c r="G109" i="17"/>
  <c r="E80" i="17"/>
  <c r="E84" i="17"/>
  <c r="E74" i="17" s="1"/>
  <c r="E73" i="17" s="1"/>
  <c r="E27" i="17" s="1"/>
  <c r="H43" i="17"/>
  <c r="H42" i="17" s="1"/>
  <c r="G42" i="17"/>
  <c r="G41" i="17" s="1"/>
  <c r="G33" i="17"/>
  <c r="G38" i="17"/>
  <c r="E77" i="17"/>
  <c r="H77" i="17"/>
  <c r="H31" i="17"/>
  <c r="H38" i="17"/>
  <c r="G31" i="17"/>
  <c r="G77" i="17"/>
  <c r="H111" i="17"/>
  <c r="G119" i="17"/>
  <c r="H34" i="17"/>
  <c r="H33" i="17" s="1"/>
  <c r="H87" i="17"/>
  <c r="H86" i="17" s="1"/>
  <c r="H73" i="15"/>
  <c r="H74" i="15"/>
  <c r="G44" i="15"/>
  <c r="H64" i="15"/>
  <c r="H62" i="15" s="1"/>
  <c r="E43" i="15"/>
  <c r="E29" i="15" s="1"/>
  <c r="H45" i="15"/>
  <c r="H44" i="15" s="1"/>
  <c r="H33" i="15"/>
  <c r="H40" i="15"/>
  <c r="E66" i="15"/>
  <c r="G33" i="15"/>
  <c r="H77" i="15"/>
  <c r="G77" i="15"/>
  <c r="G40" i="15"/>
  <c r="G34" i="15" s="1"/>
  <c r="H36" i="15"/>
  <c r="H35" i="15" s="1"/>
  <c r="H71" i="15"/>
  <c r="H28" i="14"/>
  <c r="G28" i="14"/>
  <c r="H31" i="36"/>
  <c r="H79" i="11"/>
  <c r="H78" i="11" s="1"/>
  <c r="E27" i="5"/>
  <c r="E35" i="10"/>
  <c r="E28" i="10"/>
  <c r="H32" i="35"/>
  <c r="H28" i="35" s="1"/>
  <c r="H27" i="35" s="1"/>
  <c r="F32" i="12"/>
  <c r="F27" i="12" s="1"/>
  <c r="E32" i="12"/>
  <c r="E27" i="12" s="1"/>
  <c r="H34" i="8"/>
  <c r="H33" i="8" s="1"/>
  <c r="H27" i="8"/>
  <c r="H26" i="8" s="1"/>
  <c r="G25" i="8"/>
  <c r="G42" i="13"/>
  <c r="E29" i="13"/>
  <c r="E28" i="13" s="1"/>
  <c r="E27" i="13" s="1"/>
  <c r="H42" i="13"/>
  <c r="H37" i="13"/>
  <c r="G34" i="13"/>
  <c r="G29" i="13" s="1"/>
  <c r="G28" i="13" s="1"/>
  <c r="F27" i="13"/>
  <c r="G53" i="4"/>
  <c r="E49" i="4"/>
  <c r="E48" i="4" s="1"/>
  <c r="E25" i="4" s="1"/>
  <c r="F49" i="4"/>
  <c r="F48" i="4" s="1"/>
  <c r="G33" i="4"/>
  <c r="H33" i="4" s="1"/>
  <c r="H56" i="4"/>
  <c r="H54" i="4" s="1"/>
  <c r="F28" i="4"/>
  <c r="F27" i="4" s="1"/>
  <c r="G28" i="4"/>
  <c r="H60" i="4"/>
  <c r="H59" i="4" s="1"/>
  <c r="H58" i="4" s="1"/>
  <c r="H32" i="4"/>
  <c r="H28" i="4" s="1"/>
  <c r="H27" i="36"/>
  <c r="H26" i="36" s="1"/>
  <c r="G27" i="36"/>
  <c r="G26" i="36" s="1"/>
  <c r="H51" i="36"/>
  <c r="H50" i="36" s="1"/>
  <c r="G30" i="11"/>
  <c r="G29" i="11" s="1"/>
  <c r="H30" i="11"/>
  <c r="H29" i="11" s="1"/>
  <c r="G70" i="11"/>
  <c r="E70" i="11"/>
  <c r="E28" i="11" s="1"/>
  <c r="H73" i="11"/>
  <c r="H72" i="11" s="1"/>
  <c r="H39" i="5"/>
  <c r="H36" i="5" s="1"/>
  <c r="H35" i="5" s="1"/>
  <c r="H33" i="10"/>
  <c r="H28" i="10" s="1"/>
  <c r="G28" i="10"/>
  <c r="H30" i="37"/>
  <c r="H28" i="37" s="1"/>
  <c r="H27" i="37" s="1"/>
  <c r="G28" i="37"/>
  <c r="G27" i="37" s="1"/>
  <c r="G65" i="12"/>
  <c r="G32" i="12" s="1"/>
  <c r="H32" i="12"/>
  <c r="G28" i="12"/>
  <c r="H30" i="12"/>
  <c r="H28" i="12" s="1"/>
  <c r="H58" i="13"/>
  <c r="H56" i="13" s="1"/>
  <c r="H55" i="13" s="1"/>
  <c r="H54" i="13" s="1"/>
  <c r="H35" i="13"/>
  <c r="F83" i="49" l="1"/>
  <c r="G28" i="5"/>
  <c r="E28" i="38"/>
  <c r="E27" i="10"/>
  <c r="H26" i="7"/>
  <c r="G62" i="42"/>
  <c r="H34" i="58"/>
  <c r="H26" i="58" s="1"/>
  <c r="G64" i="49"/>
  <c r="G42" i="32"/>
  <c r="G41" i="32" s="1"/>
  <c r="G27" i="18"/>
  <c r="E37" i="53"/>
  <c r="E36" i="53" s="1"/>
  <c r="E28" i="53" s="1"/>
  <c r="F94" i="49"/>
  <c r="G83" i="49"/>
  <c r="G89" i="49"/>
  <c r="F86" i="49"/>
  <c r="G55" i="13"/>
  <c r="G54" i="13" s="1"/>
  <c r="G27" i="13" s="1"/>
  <c r="G26" i="7"/>
  <c r="H56" i="38"/>
  <c r="H31" i="21"/>
  <c r="H30" i="21" s="1"/>
  <c r="F64" i="49"/>
  <c r="H32" i="24"/>
  <c r="H28" i="24" s="1"/>
  <c r="G28" i="24"/>
  <c r="G27" i="24" s="1"/>
  <c r="H35" i="24"/>
  <c r="H34" i="24" s="1"/>
  <c r="G46" i="53"/>
  <c r="G45" i="53" s="1"/>
  <c r="G37" i="53" s="1"/>
  <c r="G36" i="53" s="1"/>
  <c r="G28" i="53" s="1"/>
  <c r="F45" i="53"/>
  <c r="F37" i="53" s="1"/>
  <c r="F36" i="53" s="1"/>
  <c r="F28" i="53" s="1"/>
  <c r="F78" i="49"/>
  <c r="G67" i="49"/>
  <c r="G27" i="46"/>
  <c r="H75" i="32"/>
  <c r="E27" i="18"/>
  <c r="E29" i="56"/>
  <c r="E28" i="56" s="1"/>
  <c r="H35" i="18"/>
  <c r="H27" i="18" s="1"/>
  <c r="G27" i="48"/>
  <c r="E28" i="42"/>
  <c r="E27" i="42" s="1"/>
  <c r="E78" i="49"/>
  <c r="E77" i="49" s="1"/>
  <c r="E45" i="49" s="1"/>
  <c r="H89" i="56"/>
  <c r="H81" i="56" s="1"/>
  <c r="G81" i="56"/>
  <c r="G46" i="50"/>
  <c r="G45" i="50" s="1"/>
  <c r="G37" i="50" s="1"/>
  <c r="G36" i="50" s="1"/>
  <c r="G28" i="50" s="1"/>
  <c r="F45" i="50"/>
  <c r="F37" i="50" s="1"/>
  <c r="F36" i="50" s="1"/>
  <c r="F28" i="50" s="1"/>
  <c r="E31" i="29"/>
  <c r="E30" i="29"/>
  <c r="G38" i="29"/>
  <c r="G58" i="49"/>
  <c r="G55" i="49" s="1"/>
  <c r="G46" i="49" s="1"/>
  <c r="F55" i="49"/>
  <c r="F46" i="49" s="1"/>
  <c r="G80" i="49"/>
  <c r="G78" i="49" s="1"/>
  <c r="H36" i="44"/>
  <c r="H30" i="44" s="1"/>
  <c r="H62" i="42"/>
  <c r="G31" i="21"/>
  <c r="G30" i="21" s="1"/>
  <c r="G29" i="21" s="1"/>
  <c r="G94" i="49"/>
  <c r="F33" i="29"/>
  <c r="F32" i="29" s="1"/>
  <c r="G34" i="29"/>
  <c r="G33" i="29" s="1"/>
  <c r="G32" i="29" s="1"/>
  <c r="F67" i="49"/>
  <c r="F62" i="49" s="1"/>
  <c r="F61" i="49" s="1"/>
  <c r="G38" i="62"/>
  <c r="G37" i="62" s="1"/>
  <c r="H41" i="62"/>
  <c r="H38" i="62" s="1"/>
  <c r="H37" i="62" s="1"/>
  <c r="H42" i="32"/>
  <c r="H41" i="32" s="1"/>
  <c r="H30" i="32" s="1"/>
  <c r="G30" i="32"/>
  <c r="E30" i="32"/>
  <c r="E28" i="66"/>
  <c r="G62" i="66"/>
  <c r="F61" i="66"/>
  <c r="F49" i="66" s="1"/>
  <c r="F28" i="66" s="1"/>
  <c r="H71" i="66"/>
  <c r="G71" i="66"/>
  <c r="H33" i="38"/>
  <c r="H29" i="38" s="1"/>
  <c r="H28" i="38" s="1"/>
  <c r="H62" i="21"/>
  <c r="H61" i="21" s="1"/>
  <c r="H60" i="21" s="1"/>
  <c r="H50" i="57"/>
  <c r="H43" i="57" s="1"/>
  <c r="G43" i="57"/>
  <c r="G34" i="57"/>
  <c r="H34" i="57"/>
  <c r="H41" i="42"/>
  <c r="H40" i="42"/>
  <c r="H38" i="42" s="1"/>
  <c r="H32" i="42" s="1"/>
  <c r="H28" i="42" s="1"/>
  <c r="G38" i="42"/>
  <c r="G32" i="42" s="1"/>
  <c r="G28" i="42" s="1"/>
  <c r="G27" i="42" s="1"/>
  <c r="H27" i="48"/>
  <c r="H34" i="48"/>
  <c r="G27" i="45"/>
  <c r="H27" i="45"/>
  <c r="G69" i="56"/>
  <c r="H56" i="56"/>
  <c r="H52" i="56" s="1"/>
  <c r="H34" i="56"/>
  <c r="H30" i="56" s="1"/>
  <c r="H29" i="56" s="1"/>
  <c r="G56" i="56"/>
  <c r="G52" i="56" s="1"/>
  <c r="G34" i="56"/>
  <c r="G30" i="56" s="1"/>
  <c r="G57" i="58"/>
  <c r="E52" i="58"/>
  <c r="H59" i="44"/>
  <c r="H58" i="44" s="1"/>
  <c r="H51" i="44"/>
  <c r="G59" i="44"/>
  <c r="G58" i="44" s="1"/>
  <c r="E50" i="44"/>
  <c r="E29" i="44" s="1"/>
  <c r="G51" i="44"/>
  <c r="G28" i="20"/>
  <c r="G26" i="20" s="1"/>
  <c r="E26" i="20"/>
  <c r="H28" i="20"/>
  <c r="H35" i="20"/>
  <c r="H109" i="17"/>
  <c r="H85" i="17" s="1"/>
  <c r="H73" i="17" s="1"/>
  <c r="G85" i="17"/>
  <c r="G73" i="17" s="1"/>
  <c r="G84" i="17"/>
  <c r="H84" i="17" s="1"/>
  <c r="H41" i="17"/>
  <c r="G32" i="17"/>
  <c r="G28" i="17" s="1"/>
  <c r="H32" i="17"/>
  <c r="H70" i="15"/>
  <c r="H66" i="15" s="1"/>
  <c r="G43" i="15"/>
  <c r="G29" i="15" s="1"/>
  <c r="H43" i="15"/>
  <c r="G66" i="15"/>
  <c r="E28" i="15"/>
  <c r="H34" i="15"/>
  <c r="H27" i="14"/>
  <c r="G27" i="14"/>
  <c r="H70" i="11"/>
  <c r="G27" i="5"/>
  <c r="H27" i="5"/>
  <c r="H25" i="8"/>
  <c r="H34" i="13"/>
  <c r="H29" i="13" s="1"/>
  <c r="H53" i="4"/>
  <c r="G49" i="4"/>
  <c r="G48" i="4" s="1"/>
  <c r="H27" i="4"/>
  <c r="H26" i="4" s="1"/>
  <c r="G27" i="4"/>
  <c r="G26" i="4" s="1"/>
  <c r="F26" i="4"/>
  <c r="F25" i="4" s="1"/>
  <c r="G27" i="10"/>
  <c r="H27" i="10"/>
  <c r="G27" i="12"/>
  <c r="H27" i="12"/>
  <c r="G62" i="49" l="1"/>
  <c r="G61" i="49" s="1"/>
  <c r="H28" i="56"/>
  <c r="H29" i="21"/>
  <c r="H27" i="42"/>
  <c r="F77" i="49"/>
  <c r="F45" i="49" s="1"/>
  <c r="G86" i="49"/>
  <c r="G77" i="49" s="1"/>
  <c r="G45" i="49" s="1"/>
  <c r="G87" i="49"/>
  <c r="G25" i="4"/>
  <c r="H27" i="24"/>
  <c r="E34" i="49"/>
  <c r="E44" i="49"/>
  <c r="G29" i="56"/>
  <c r="G28" i="56" s="1"/>
  <c r="H27" i="57"/>
  <c r="F30" i="29"/>
  <c r="F31" i="29"/>
  <c r="G27" i="20"/>
  <c r="G27" i="57"/>
  <c r="G31" i="29"/>
  <c r="G30" i="29"/>
  <c r="H27" i="20"/>
  <c r="G27" i="62"/>
  <c r="H27" i="62"/>
  <c r="G61" i="66"/>
  <c r="G49" i="66" s="1"/>
  <c r="G28" i="66" s="1"/>
  <c r="H62" i="66"/>
  <c r="H61" i="66" s="1"/>
  <c r="H49" i="66" s="1"/>
  <c r="H28" i="66" s="1"/>
  <c r="E25" i="58"/>
  <c r="F52" i="58"/>
  <c r="F25" i="58" s="1"/>
  <c r="H57" i="58"/>
  <c r="H52" i="58" s="1"/>
  <c r="H25" i="58" s="1"/>
  <c r="G52" i="58"/>
  <c r="G25" i="58" s="1"/>
  <c r="H50" i="44"/>
  <c r="H29" i="44" s="1"/>
  <c r="G50" i="44"/>
  <c r="G29" i="44" s="1"/>
  <c r="H26" i="20"/>
  <c r="G27" i="17"/>
  <c r="H28" i="17"/>
  <c r="H27" i="17" s="1"/>
  <c r="G28" i="15"/>
  <c r="H29" i="15"/>
  <c r="H28" i="15" s="1"/>
  <c r="G28" i="11"/>
  <c r="H28" i="11"/>
  <c r="H28" i="13"/>
  <c r="H27" i="13" s="1"/>
  <c r="H49" i="4"/>
  <c r="H48" i="4" s="1"/>
  <c r="H25" i="4" s="1"/>
  <c r="E34" i="30"/>
  <c r="F44" i="49" l="1"/>
  <c r="F34" i="49"/>
  <c r="G34" i="49"/>
  <c r="G44" i="49"/>
</calcChain>
</file>

<file path=xl/comments1.xml><?xml version="1.0" encoding="utf-8"?>
<comments xmlns="http://schemas.openxmlformats.org/spreadsheetml/2006/main">
  <authors>
    <author>Asus</author>
  </authors>
  <commentList>
    <comment ref="B64" authorId="0" shapeId="0">
      <text>
        <r>
          <rPr>
            <b/>
            <sz val="9"/>
            <color indexed="81"/>
            <rFont val="Tahoma"/>
            <family val="2"/>
          </rPr>
          <t>Asus:</t>
        </r>
        <r>
          <rPr>
            <sz val="9"/>
            <color indexed="81"/>
            <rFont val="Tahoma"/>
            <family val="2"/>
          </rPr>
          <t xml:space="preserve">
Đã ghi DT 2019 nhưng ko thực hiện nên ghi DT 2020</t>
        </r>
      </text>
    </comment>
  </commentList>
</comments>
</file>

<file path=xl/comments10.xml><?xml version="1.0" encoding="utf-8"?>
<comments xmlns="http://schemas.openxmlformats.org/spreadsheetml/2006/main">
  <authors>
    <author>Asus</author>
  </authors>
  <commentList>
    <comment ref="B31" authorId="0" shapeId="0">
      <text>
        <r>
          <rPr>
            <b/>
            <sz val="9"/>
            <color indexed="81"/>
            <rFont val="Tahoma"/>
            <family val="2"/>
          </rPr>
          <t>Asus:</t>
        </r>
        <r>
          <rPr>
            <sz val="9"/>
            <color indexed="81"/>
            <rFont val="Tahoma"/>
            <family val="2"/>
          </rPr>
          <t xml:space="preserve">
Chỉ còn thu phí xăng dầu,ga phân cấp về huyện theo QĐ của tỉnh</t>
        </r>
      </text>
    </comment>
    <comment ref="B61" authorId="0" shapeId="0">
      <text>
        <r>
          <rPr>
            <b/>
            <sz val="9"/>
            <color indexed="81"/>
            <rFont val="Tahoma"/>
            <family val="2"/>
          </rPr>
          <t>Asus:</t>
        </r>
        <r>
          <rPr>
            <sz val="9"/>
            <color indexed="81"/>
            <rFont val="Tahoma"/>
            <family val="2"/>
          </rPr>
          <t xml:space="preserve">
65trđ</t>
        </r>
      </text>
    </comment>
    <comment ref="B65" authorId="0" shapeId="0">
      <text>
        <r>
          <rPr>
            <b/>
            <sz val="9"/>
            <color indexed="81"/>
            <rFont val="Tahoma"/>
            <family val="2"/>
          </rPr>
          <t>Asus:</t>
        </r>
        <r>
          <rPr>
            <sz val="9"/>
            <color indexed="81"/>
            <rFont val="Tahoma"/>
            <family val="2"/>
          </rPr>
          <t xml:space="preserve">
Ko tổ chức cuộc thi thiết kế bao bì</t>
        </r>
      </text>
    </comment>
  </commentList>
</comments>
</file>

<file path=xl/comments11.xml><?xml version="1.0" encoding="utf-8"?>
<comments xmlns="http://schemas.openxmlformats.org/spreadsheetml/2006/main">
  <authors>
    <author>Asus</author>
  </authors>
  <commentList>
    <comment ref="B57" authorId="0" shapeId="0">
      <text>
        <r>
          <rPr>
            <b/>
            <sz val="9"/>
            <color indexed="81"/>
            <rFont val="Tahoma"/>
            <family val="2"/>
          </rPr>
          <t>Asus:</t>
        </r>
        <r>
          <rPr>
            <sz val="9"/>
            <color indexed="81"/>
            <rFont val="Tahoma"/>
            <family val="2"/>
          </rPr>
          <t xml:space="preserve">
Đơn vị XD mức thu quảng cáo bù đắp chi phí.</t>
        </r>
      </text>
    </comment>
    <comment ref="B67" authorId="0" shapeId="0">
      <text>
        <r>
          <rPr>
            <b/>
            <sz val="9"/>
            <color indexed="81"/>
            <rFont val="Tahoma"/>
            <family val="2"/>
          </rPr>
          <t>Asus:</t>
        </r>
        <r>
          <rPr>
            <sz val="9"/>
            <color indexed="81"/>
            <rFont val="Tahoma"/>
            <family val="2"/>
          </rPr>
          <t xml:space="preserve">
Ghi nhận khi có chủ trương</t>
        </r>
      </text>
    </comment>
    <comment ref="E75" authorId="0" shapeId="0">
      <text>
        <r>
          <rPr>
            <b/>
            <sz val="9"/>
            <color indexed="81"/>
            <rFont val="Tahoma"/>
            <family val="2"/>
          </rPr>
          <t>Asus:</t>
        </r>
        <r>
          <rPr>
            <sz val="9"/>
            <color indexed="81"/>
            <rFont val="Tahoma"/>
            <family val="2"/>
          </rPr>
          <t xml:space="preserve">
DT thu 3 tỷ</t>
        </r>
      </text>
    </comment>
    <comment ref="E113" authorId="0" shapeId="0">
      <text>
        <r>
          <rPr>
            <b/>
            <sz val="9"/>
            <color indexed="81"/>
            <rFont val="Tahoma"/>
            <family val="2"/>
          </rPr>
          <t>Asus:</t>
        </r>
        <r>
          <rPr>
            <sz val="9"/>
            <color indexed="81"/>
            <rFont val="Tahoma"/>
            <family val="2"/>
          </rPr>
          <t xml:space="preserve">
tăng 20% theo thông tư</t>
        </r>
      </text>
    </comment>
    <comment ref="B115" authorId="0" shapeId="0">
      <text>
        <r>
          <rPr>
            <b/>
            <sz val="9"/>
            <color indexed="81"/>
            <rFont val="Tahoma"/>
            <family val="2"/>
          </rPr>
          <t>Asus:</t>
        </r>
        <r>
          <rPr>
            <sz val="9"/>
            <color indexed="81"/>
            <rFont val="Tahoma"/>
            <family val="2"/>
          </rPr>
          <t xml:space="preserve">
CP công tác, sửa chữa nhỏ. (XD mức thu dịch vụ thu phí)</t>
        </r>
      </text>
    </comment>
  </commentList>
</comments>
</file>

<file path=xl/comments12.xml><?xml version="1.0" encoding="utf-8"?>
<comments xmlns="http://schemas.openxmlformats.org/spreadsheetml/2006/main">
  <authors>
    <author>Asus</author>
  </authors>
  <commentList>
    <comment ref="E53" authorId="0" shapeId="0">
      <text>
        <r>
          <rPr>
            <b/>
            <sz val="9"/>
            <color indexed="81"/>
            <rFont val="Tahoma"/>
            <family val="2"/>
          </rPr>
          <t>Asus:</t>
        </r>
        <r>
          <rPr>
            <sz val="9"/>
            <color indexed="81"/>
            <rFont val="Tahoma"/>
            <family val="2"/>
          </rPr>
          <t xml:space="preserve">
Các ndung 2018 ko ps năm 2019 nên dồn kp lên ndung này</t>
        </r>
      </text>
    </comment>
    <comment ref="B55" authorId="0" shapeId="0">
      <text>
        <r>
          <rPr>
            <b/>
            <sz val="9"/>
            <color indexed="81"/>
            <rFont val="Tahoma"/>
            <family val="2"/>
          </rPr>
          <t>Asus:</t>
        </r>
        <r>
          <rPr>
            <sz val="9"/>
            <color indexed="81"/>
            <rFont val="Tahoma"/>
            <family val="2"/>
          </rPr>
          <t xml:space="preserve">
Bảng tên, VPP, in bìa photo tài liệu ĐB và khách dự</t>
        </r>
      </text>
    </comment>
    <comment ref="B64" authorId="0" shapeId="0">
      <text>
        <r>
          <rPr>
            <b/>
            <sz val="9"/>
            <color indexed="81"/>
            <rFont val="Tahoma"/>
            <family val="2"/>
          </rPr>
          <t>Asus:</t>
        </r>
        <r>
          <rPr>
            <sz val="9"/>
            <color indexed="81"/>
            <rFont val="Tahoma"/>
            <family val="2"/>
          </rPr>
          <t xml:space="preserve">
Năm 2020: bỏ ndung này</t>
        </r>
      </text>
    </comment>
  </commentList>
</comments>
</file>

<file path=xl/comments13.xml><?xml version="1.0" encoding="utf-8"?>
<comments xmlns="http://schemas.openxmlformats.org/spreadsheetml/2006/main">
  <authors>
    <author>Asus</author>
  </authors>
  <commentList>
    <comment ref="B37" authorId="0" shapeId="0">
      <text>
        <r>
          <rPr>
            <b/>
            <sz val="9"/>
            <color indexed="81"/>
            <rFont val="Tahoma"/>
            <family val="2"/>
          </rPr>
          <t>Asus:</t>
        </r>
        <r>
          <rPr>
            <sz val="9"/>
            <color indexed="81"/>
            <rFont val="Tahoma"/>
            <family val="2"/>
          </rPr>
          <t xml:space="preserve">
Lộ trình 2020 còn 09 b/c</t>
        </r>
      </text>
    </comment>
    <comment ref="B45" authorId="0" shapeId="0">
      <text>
        <r>
          <rPr>
            <b/>
            <sz val="9"/>
            <color indexed="81"/>
            <rFont val="Tahoma"/>
            <family val="2"/>
          </rPr>
          <t>Asus:</t>
        </r>
        <r>
          <rPr>
            <sz val="9"/>
            <color indexed="81"/>
            <rFont val="Tahoma"/>
            <family val="2"/>
          </rPr>
          <t xml:space="preserve">
tiền điện khoảng 20 trđ/tháng (6 kho)</t>
        </r>
      </text>
    </comment>
  </commentList>
</comments>
</file>

<file path=xl/comments14.xml><?xml version="1.0" encoding="utf-8"?>
<comments xmlns="http://schemas.openxmlformats.org/spreadsheetml/2006/main">
  <authors>
    <author>Asus</author>
  </authors>
  <commentList>
    <comment ref="B44" authorId="0" shapeId="0">
      <text>
        <r>
          <rPr>
            <b/>
            <sz val="9"/>
            <color indexed="81"/>
            <rFont val="Tahoma"/>
            <family val="2"/>
          </rPr>
          <t>Asus:</t>
        </r>
        <r>
          <rPr>
            <sz val="9"/>
            <color indexed="81"/>
            <rFont val="Tahoma"/>
            <family val="2"/>
          </rPr>
          <t xml:space="preserve">
theo cv 320/UBND-ĐTXD 12/9/2018</t>
        </r>
      </text>
    </comment>
    <comment ref="B48" authorId="0" shapeId="0">
      <text>
        <r>
          <rPr>
            <b/>
            <sz val="9"/>
            <color indexed="81"/>
            <rFont val="Tahoma"/>
            <family val="2"/>
          </rPr>
          <t>Asus:</t>
        </r>
        <r>
          <rPr>
            <sz val="9"/>
            <color indexed="81"/>
            <rFont val="Tahoma"/>
            <family val="2"/>
          </rPr>
          <t xml:space="preserve">
Chị Vị, chú Dũng</t>
        </r>
      </text>
    </comment>
  </commentList>
</comments>
</file>

<file path=xl/comments15.xml><?xml version="1.0" encoding="utf-8"?>
<comments xmlns="http://schemas.openxmlformats.org/spreadsheetml/2006/main">
  <authors>
    <author>Asus</author>
    <author>Windows User</author>
  </authors>
  <commentList>
    <comment ref="B81" authorId="0" shapeId="0">
      <text>
        <r>
          <rPr>
            <b/>
            <sz val="9"/>
            <color indexed="81"/>
            <rFont val="Tahoma"/>
            <family val="2"/>
          </rPr>
          <t>Asus:</t>
        </r>
        <r>
          <rPr>
            <sz val="9"/>
            <color indexed="81"/>
            <rFont val="Tahoma"/>
            <family val="2"/>
          </rPr>
          <t xml:space="preserve">
BVQDY chuyển tự chủ toàn bộ, kp PK Giồng Găng đưa ngoài khoán. Theo tính toán đơn vi nào dư NS ko cấp nũa, phần SNYT CL dư để giải quyết nợ BHYT</t>
        </r>
      </text>
    </comment>
    <comment ref="E81" authorId="0" shapeId="0">
      <text>
        <r>
          <rPr>
            <b/>
            <sz val="9"/>
            <color indexed="81"/>
            <rFont val="Tahoma"/>
            <family val="2"/>
          </rPr>
          <t>Asus:</t>
        </r>
        <r>
          <rPr>
            <sz val="9"/>
            <color indexed="81"/>
            <rFont val="Tahoma"/>
            <family val="2"/>
          </rPr>
          <t xml:space="preserve">
So với năm 2018 DT 2019 giảm 62.915 trđ. Ghi MS-SC 32.915trđ, còn 30 tỷ dành mua BHYT</t>
        </r>
      </text>
    </comment>
    <comment ref="F81" authorId="0" shapeId="0">
      <text>
        <r>
          <rPr>
            <b/>
            <sz val="9"/>
            <color indexed="81"/>
            <rFont val="Tahoma"/>
            <family val="2"/>
          </rPr>
          <t>Asus:</t>
        </r>
        <r>
          <rPr>
            <sz val="9"/>
            <color indexed="81"/>
            <rFont val="Tahoma"/>
            <family val="2"/>
          </rPr>
          <t xml:space="preserve">
So với năm 2018 DT 2019 giảm 62.915 trđ. Ghi MS-SC 32.915trđ, còn 30 tỷ dành mua BHYT</t>
        </r>
      </text>
    </comment>
    <comment ref="E87" authorId="1" shapeId="0">
      <text>
        <r>
          <rPr>
            <b/>
            <sz val="9"/>
            <color indexed="81"/>
            <rFont val="Tahoma"/>
            <family val="2"/>
          </rPr>
          <t>Windows User:</t>
        </r>
        <r>
          <rPr>
            <sz val="9"/>
            <color indexed="81"/>
            <rFont val="Tahoma"/>
            <family val="2"/>
          </rPr>
          <t xml:space="preserve">
Có VB phê duyệt rồi</t>
        </r>
      </text>
    </comment>
    <comment ref="B88" authorId="1" shapeId="0">
      <text>
        <r>
          <rPr>
            <b/>
            <sz val="9"/>
            <color indexed="81"/>
            <rFont val="Tahoma"/>
            <family val="2"/>
          </rPr>
          <t>Windows User:</t>
        </r>
        <r>
          <rPr>
            <sz val="9"/>
            <color indexed="81"/>
            <rFont val="Tahoma"/>
            <family val="2"/>
          </rPr>
          <t xml:space="preserve">
Tính thêm bc chưa có mặt nhưng ko ký lại BB</t>
        </r>
      </text>
    </comment>
    <comment ref="B98" authorId="0" shapeId="0">
      <text>
        <r>
          <rPr>
            <b/>
            <sz val="9"/>
            <color indexed="81"/>
            <rFont val="Tahoma"/>
            <family val="2"/>
          </rPr>
          <t>Asus:</t>
        </r>
        <r>
          <rPr>
            <sz val="9"/>
            <color indexed="81"/>
            <rFont val="Tahoma"/>
            <family val="2"/>
          </rPr>
          <t xml:space="preserve">
387tỷ (2019) - tổng chi 2020 còn 70 tỷ. MSSC 40 tỷ,mua BH 30 tỷ</t>
        </r>
      </text>
    </comment>
  </commentList>
</comments>
</file>

<file path=xl/comments16.xml><?xml version="1.0" encoding="utf-8"?>
<comments xmlns="http://schemas.openxmlformats.org/spreadsheetml/2006/main">
  <authors>
    <author>Asus</author>
    <author>Windows User</author>
  </authors>
  <commentList>
    <comment ref="B81" authorId="0" shapeId="0">
      <text>
        <r>
          <rPr>
            <b/>
            <sz val="9"/>
            <color indexed="81"/>
            <rFont val="Tahoma"/>
            <family val="2"/>
          </rPr>
          <t>Asus:</t>
        </r>
        <r>
          <rPr>
            <sz val="9"/>
            <color indexed="81"/>
            <rFont val="Tahoma"/>
            <family val="2"/>
          </rPr>
          <t xml:space="preserve">
BVQDY chuyển tự chủ toàn bộ, kp PK Giồng Găng đưa ngoài khoán. Theo tính toán đơn vi nào dư NS ko cấp nũa, phần SNYT CL dư để giải quyết nợ BHYT</t>
        </r>
      </text>
    </comment>
    <comment ref="E81" authorId="0" shapeId="0">
      <text>
        <r>
          <rPr>
            <b/>
            <sz val="9"/>
            <color indexed="81"/>
            <rFont val="Tahoma"/>
            <family val="2"/>
          </rPr>
          <t>Asus:</t>
        </r>
        <r>
          <rPr>
            <sz val="9"/>
            <color indexed="81"/>
            <rFont val="Tahoma"/>
            <family val="2"/>
          </rPr>
          <t xml:space="preserve">
So với năm 2018 DT 2019 giảm 62.915 trđ. Ghi MS-SC 32.915trđ, còn 30 tỷ dành mua BHYT</t>
        </r>
      </text>
    </comment>
    <comment ref="F81" authorId="0" shapeId="0">
      <text>
        <r>
          <rPr>
            <b/>
            <sz val="9"/>
            <color indexed="81"/>
            <rFont val="Tahoma"/>
            <family val="2"/>
          </rPr>
          <t>Asus:</t>
        </r>
        <r>
          <rPr>
            <sz val="9"/>
            <color indexed="81"/>
            <rFont val="Tahoma"/>
            <family val="2"/>
          </rPr>
          <t xml:space="preserve">
So với năm 2018 DT 2019 giảm 62.915 trđ. Ghi MS-SC 32.915trđ, còn 30 tỷ dành mua BHYT</t>
        </r>
      </text>
    </comment>
    <comment ref="E87" authorId="1" shapeId="0">
      <text>
        <r>
          <rPr>
            <b/>
            <sz val="9"/>
            <color indexed="81"/>
            <rFont val="Tahoma"/>
            <family val="2"/>
          </rPr>
          <t>Windows User:</t>
        </r>
        <r>
          <rPr>
            <sz val="9"/>
            <color indexed="81"/>
            <rFont val="Tahoma"/>
            <family val="2"/>
          </rPr>
          <t xml:space="preserve">
Có VB phê duyệt rồi</t>
        </r>
      </text>
    </comment>
    <comment ref="B88" authorId="1" shapeId="0">
      <text>
        <r>
          <rPr>
            <b/>
            <sz val="9"/>
            <color indexed="81"/>
            <rFont val="Tahoma"/>
            <family val="2"/>
          </rPr>
          <t>Windows User:</t>
        </r>
        <r>
          <rPr>
            <sz val="9"/>
            <color indexed="81"/>
            <rFont val="Tahoma"/>
            <family val="2"/>
          </rPr>
          <t xml:space="preserve">
Tính thêm bc chưa có mặt nhưng ko ký lại BB</t>
        </r>
      </text>
    </comment>
    <comment ref="B98" authorId="0" shapeId="0">
      <text>
        <r>
          <rPr>
            <b/>
            <sz val="9"/>
            <color indexed="81"/>
            <rFont val="Tahoma"/>
            <family val="2"/>
          </rPr>
          <t>Asus:</t>
        </r>
        <r>
          <rPr>
            <sz val="9"/>
            <color indexed="81"/>
            <rFont val="Tahoma"/>
            <family val="2"/>
          </rPr>
          <t xml:space="preserve">
387tỷ (2019) - tổng chi 2020 còn 70 tỷ. MSSC 55 tỷ,mua BH 10 tỷ, tăng BV tỉnh và TTYT huyện 5trđ so với lúc thảo luận</t>
        </r>
      </text>
    </comment>
  </commentList>
</comments>
</file>

<file path=xl/comments17.xml><?xml version="1.0" encoding="utf-8"?>
<comments xmlns="http://schemas.openxmlformats.org/spreadsheetml/2006/main">
  <authors>
    <author>Asus</author>
  </authors>
  <commentList>
    <comment ref="B30" authorId="0" shapeId="0">
      <text>
        <r>
          <rPr>
            <b/>
            <sz val="9"/>
            <color indexed="81"/>
            <rFont val="Tahoma"/>
            <family val="2"/>
          </rPr>
          <t>Asus:</t>
        </r>
        <r>
          <rPr>
            <sz val="9"/>
            <color indexed="81"/>
            <rFont val="Tahoma"/>
            <family val="2"/>
          </rPr>
          <t xml:space="preserve">
căn tin, nhà xe</t>
        </r>
      </text>
    </comment>
  </commentList>
</comments>
</file>

<file path=xl/comments18.xml><?xml version="1.0" encoding="utf-8"?>
<comments xmlns="http://schemas.openxmlformats.org/spreadsheetml/2006/main">
  <authors>
    <author>Asus</author>
  </authors>
  <commentList>
    <comment ref="B30" authorId="0" shapeId="0">
      <text>
        <r>
          <rPr>
            <b/>
            <sz val="9"/>
            <color indexed="81"/>
            <rFont val="Tahoma"/>
            <family val="2"/>
          </rPr>
          <t>Asus:</t>
        </r>
        <r>
          <rPr>
            <sz val="9"/>
            <color indexed="81"/>
            <rFont val="Tahoma"/>
            <family val="2"/>
          </rPr>
          <t xml:space="preserve">
căn tin, nhà xe, thu liên kết</t>
        </r>
      </text>
    </comment>
  </commentList>
</comments>
</file>

<file path=xl/comments19.xml><?xml version="1.0" encoding="utf-8"?>
<comments xmlns="http://schemas.openxmlformats.org/spreadsheetml/2006/main">
  <authors>
    <author>Asus</author>
  </authors>
  <commentList>
    <comment ref="B81" authorId="0" shapeId="0">
      <text>
        <r>
          <rPr>
            <b/>
            <sz val="9"/>
            <color indexed="81"/>
            <rFont val="Tahoma"/>
            <family val="2"/>
          </rPr>
          <t>Asus:</t>
        </r>
        <r>
          <rPr>
            <sz val="9"/>
            <color indexed="81"/>
            <rFont val="Tahoma"/>
            <family val="2"/>
          </rPr>
          <t xml:space="preserve">
- 1.500sv (60%CP, 40% bảo trì)
- 7 người QL</t>
        </r>
      </text>
    </comment>
    <comment ref="B83" authorId="0" shapeId="0">
      <text>
        <r>
          <rPr>
            <b/>
            <sz val="9"/>
            <color indexed="81"/>
            <rFont val="Tahoma"/>
            <family val="2"/>
          </rPr>
          <t>Asus:</t>
        </r>
        <r>
          <rPr>
            <sz val="9"/>
            <color indexed="81"/>
            <rFont val="Tahoma"/>
            <family val="2"/>
          </rPr>
          <t xml:space="preserve">
CP bảo trì 2%</t>
        </r>
      </text>
    </comment>
  </commentList>
</comments>
</file>

<file path=xl/comments2.xml><?xml version="1.0" encoding="utf-8"?>
<comments xmlns="http://schemas.openxmlformats.org/spreadsheetml/2006/main">
  <authors>
    <author>Asus</author>
  </authors>
  <commentList>
    <comment ref="B53" authorId="0" shapeId="0">
      <text>
        <r>
          <rPr>
            <b/>
            <sz val="9"/>
            <color indexed="81"/>
            <rFont val="Tahoma"/>
            <family val="2"/>
          </rPr>
          <t>Asus:</t>
        </r>
        <r>
          <rPr>
            <sz val="9"/>
            <color indexed="81"/>
            <rFont val="Tahoma"/>
            <family val="2"/>
          </rPr>
          <t xml:space="preserve">
Dành cho GĐ các DN lớn</t>
        </r>
      </text>
    </comment>
  </commentList>
</comments>
</file>

<file path=xl/comments20.xml><?xml version="1.0" encoding="utf-8"?>
<comments xmlns="http://schemas.openxmlformats.org/spreadsheetml/2006/main">
  <authors>
    <author>Asus</author>
  </authors>
  <commentList>
    <comment ref="F30" authorId="0" shapeId="0">
      <text>
        <r>
          <rPr>
            <b/>
            <sz val="9"/>
            <color indexed="81"/>
            <rFont val="Tahoma"/>
            <family val="2"/>
          </rPr>
          <t>Asus:</t>
        </r>
        <r>
          <rPr>
            <sz val="9"/>
            <color indexed="81"/>
            <rFont val="Tahoma"/>
            <family val="2"/>
          </rPr>
          <t xml:space="preserve">
thuế 15</t>
        </r>
      </text>
    </comment>
    <comment ref="E31" authorId="0" shapeId="0">
      <text>
        <r>
          <rPr>
            <b/>
            <sz val="9"/>
            <color indexed="81"/>
            <rFont val="Tahoma"/>
            <family val="2"/>
          </rPr>
          <t>Asus:</t>
        </r>
        <r>
          <rPr>
            <sz val="9"/>
            <color indexed="81"/>
            <rFont val="Tahoma"/>
            <family val="2"/>
          </rPr>
          <t xml:space="preserve">
nộp NS 75trđ</t>
        </r>
      </text>
    </comment>
    <comment ref="F31" authorId="0" shapeId="0">
      <text>
        <r>
          <rPr>
            <b/>
            <sz val="9"/>
            <color indexed="81"/>
            <rFont val="Tahoma"/>
            <family val="2"/>
          </rPr>
          <t>Asus:</t>
        </r>
        <r>
          <rPr>
            <sz val="9"/>
            <color indexed="81"/>
            <rFont val="Tahoma"/>
            <family val="2"/>
          </rPr>
          <t xml:space="preserve">
thuế 9tr, 25% CP trực tiếp</t>
        </r>
      </text>
    </comment>
    <comment ref="B54" authorId="0" shapeId="0">
      <text>
        <r>
          <rPr>
            <b/>
            <sz val="9"/>
            <color indexed="81"/>
            <rFont val="Tahoma"/>
            <family val="2"/>
          </rPr>
          <t>Asus:</t>
        </r>
        <r>
          <rPr>
            <sz val="9"/>
            <color indexed="81"/>
            <rFont val="Tahoma"/>
            <family val="2"/>
          </rPr>
          <t xml:space="preserve">
Cộng thêm 400trđ kp sử dụng từ nguồn thu DV BVMTR còn thiếu. Do đề nghị sd nguồn thu mua camera</t>
        </r>
      </text>
    </comment>
  </commentList>
</comments>
</file>

<file path=xl/comments21.xml><?xml version="1.0" encoding="utf-8"?>
<comments xmlns="http://schemas.openxmlformats.org/spreadsheetml/2006/main">
  <authors>
    <author>Asus</author>
  </authors>
  <commentList>
    <comment ref="B59" authorId="0" shapeId="0">
      <text>
        <r>
          <rPr>
            <b/>
            <sz val="9"/>
            <color indexed="81"/>
            <rFont val="Tahoma"/>
            <family val="2"/>
          </rPr>
          <t>Asus:</t>
        </r>
        <r>
          <rPr>
            <sz val="9"/>
            <color indexed="81"/>
            <rFont val="Tahoma"/>
            <family val="2"/>
          </rPr>
          <t xml:space="preserve">
Bao gồm triển khai, TH hòa giải cơ sở cho 12 huyện thị, giao nhiệm vụ cho Trng tâm thực hiện</t>
        </r>
      </text>
    </comment>
    <comment ref="B78" authorId="0" shapeId="0">
      <text>
        <r>
          <rPr>
            <b/>
            <sz val="9"/>
            <color indexed="81"/>
            <rFont val="Tahoma"/>
            <family val="2"/>
          </rPr>
          <t>Asus:</t>
        </r>
        <r>
          <rPr>
            <sz val="9"/>
            <color indexed="81"/>
            <rFont val="Tahoma"/>
            <family val="2"/>
          </rPr>
          <t xml:space="preserve">
Năm 2019 ko làm kịp, năm 2020 ghi Sở làm chủ đầu tư</t>
        </r>
      </text>
    </comment>
    <comment ref="B79" authorId="0" shapeId="0">
      <text>
        <r>
          <rPr>
            <b/>
            <sz val="9"/>
            <color indexed="81"/>
            <rFont val="Tahoma"/>
            <family val="2"/>
          </rPr>
          <t>Asus:</t>
        </r>
        <r>
          <rPr>
            <sz val="9"/>
            <color indexed="81"/>
            <rFont val="Tahoma"/>
            <family val="2"/>
          </rPr>
          <t xml:space="preserve">
SN đào tạo</t>
        </r>
      </text>
    </comment>
  </commentList>
</comments>
</file>

<file path=xl/comments22.xml><?xml version="1.0" encoding="utf-8"?>
<comments xmlns="http://schemas.openxmlformats.org/spreadsheetml/2006/main">
  <authors>
    <author>Asus</author>
  </authors>
  <commentList>
    <comment ref="B42" authorId="0" shapeId="0">
      <text>
        <r>
          <rPr>
            <b/>
            <sz val="9"/>
            <color indexed="81"/>
            <rFont val="Tahoma"/>
            <family val="2"/>
          </rPr>
          <t>Asus:</t>
        </r>
        <r>
          <rPr>
            <sz val="9"/>
            <color indexed="81"/>
            <rFont val="Tahoma"/>
            <family val="2"/>
          </rPr>
          <t xml:space="preserve">
bao gồm kp gửi thư cho UBND tỉnh</t>
        </r>
      </text>
    </comment>
    <comment ref="E42" authorId="0" shapeId="0">
      <text>
        <r>
          <rPr>
            <b/>
            <sz val="9"/>
            <color indexed="81"/>
            <rFont val="Tahoma"/>
            <family val="2"/>
          </rPr>
          <t>Asus:</t>
        </r>
        <r>
          <rPr>
            <sz val="9"/>
            <color indexed="81"/>
            <rFont val="Tahoma"/>
            <family val="2"/>
          </rPr>
          <t xml:space="preserve">
- QS 1.800 trđ
- TĐ 420trđ
- Sở CT, NN, VH: 0
- LHPN
- </t>
        </r>
      </text>
    </comment>
  </commentList>
</comments>
</file>

<file path=xl/comments23.xml><?xml version="1.0" encoding="utf-8"?>
<comments xmlns="http://schemas.openxmlformats.org/spreadsheetml/2006/main">
  <authors>
    <author>Asus</author>
  </authors>
  <commentList>
    <comment ref="B31" authorId="0" shapeId="0">
      <text>
        <r>
          <rPr>
            <b/>
            <sz val="9"/>
            <color indexed="81"/>
            <rFont val="Tahoma"/>
            <family val="2"/>
          </rPr>
          <t>Asus:</t>
        </r>
        <r>
          <rPr>
            <sz val="9"/>
            <color indexed="81"/>
            <rFont val="Tahoma"/>
            <family val="2"/>
          </rPr>
          <t xml:space="preserve">
Ghi nhận mua sắm sửa chữa từ quỹ PTSN của các đơn vị trực thuộc, Sở tổng hợp trình chung</t>
        </r>
      </text>
    </comment>
    <comment ref="B55" authorId="0" shapeId="0">
      <text>
        <r>
          <rPr>
            <b/>
            <sz val="9"/>
            <color indexed="81"/>
            <rFont val="Tahoma"/>
            <family val="2"/>
          </rPr>
          <t>Asus:</t>
        </r>
        <r>
          <rPr>
            <sz val="9"/>
            <color indexed="81"/>
            <rFont val="Tahoma"/>
            <family val="2"/>
          </rPr>
          <t xml:space="preserve">
còn 2 lớp 22HV</t>
        </r>
      </text>
    </comment>
    <comment ref="F61" authorId="0" shapeId="0">
      <text>
        <r>
          <rPr>
            <b/>
            <sz val="9"/>
            <color indexed="81"/>
            <rFont val="Tahoma"/>
            <family val="2"/>
          </rPr>
          <t>Asus:</t>
        </r>
        <r>
          <rPr>
            <sz val="9"/>
            <color indexed="81"/>
            <rFont val="Tahoma"/>
            <family val="2"/>
          </rPr>
          <t xml:space="preserve">
Giảm so DT đv do TT32</t>
        </r>
      </text>
    </comment>
    <comment ref="B70" authorId="0" shapeId="0">
      <text>
        <r>
          <rPr>
            <b/>
            <sz val="9"/>
            <color indexed="81"/>
            <rFont val="Tahoma"/>
            <family val="2"/>
          </rPr>
          <t>Asus:</t>
        </r>
        <r>
          <rPr>
            <sz val="9"/>
            <color indexed="81"/>
            <rFont val="Tahoma"/>
            <family val="2"/>
          </rPr>
          <t xml:space="preserve">
bổ sung danh mục tài sản chuyên dùng để trình UB điều chỉnh danh mục mới có cơ sở ghi dự toán</t>
        </r>
      </text>
    </comment>
    <comment ref="E93" authorId="0" shapeId="0">
      <text>
        <r>
          <rPr>
            <b/>
            <sz val="9"/>
            <color indexed="81"/>
            <rFont val="Tahoma"/>
            <family val="2"/>
          </rPr>
          <t>Asus:</t>
        </r>
        <r>
          <rPr>
            <sz val="9"/>
            <color indexed="81"/>
            <rFont val="Tahoma"/>
            <family val="2"/>
          </rPr>
          <t xml:space="preserve">
cấp lại theo tiến độ thu, tối đa 20% số thu</t>
        </r>
      </text>
    </comment>
  </commentList>
</comments>
</file>

<file path=xl/comments24.xml><?xml version="1.0" encoding="utf-8"?>
<comments xmlns="http://schemas.openxmlformats.org/spreadsheetml/2006/main">
  <authors>
    <author>Asus</author>
  </authors>
  <commentList>
    <comment ref="B46" authorId="0" shapeId="0">
      <text>
        <r>
          <rPr>
            <b/>
            <sz val="9"/>
            <color indexed="81"/>
            <rFont val="Tahoma"/>
            <family val="2"/>
          </rPr>
          <t>Asus:</t>
        </r>
        <r>
          <rPr>
            <sz val="9"/>
            <color indexed="81"/>
            <rFont val="Tahoma"/>
            <family val="2"/>
          </rPr>
          <t xml:space="preserve">
50 đảng viên</t>
        </r>
      </text>
    </comment>
  </commentList>
</comments>
</file>

<file path=xl/comments25.xml><?xml version="1.0" encoding="utf-8"?>
<comments xmlns="http://schemas.openxmlformats.org/spreadsheetml/2006/main">
  <authors>
    <author>Asus</author>
  </authors>
  <commentList>
    <comment ref="B31" authorId="0" shapeId="0">
      <text>
        <r>
          <rPr>
            <b/>
            <sz val="9"/>
            <color indexed="81"/>
            <rFont val="Tahoma"/>
            <family val="2"/>
          </rPr>
          <t>Asus:</t>
        </r>
        <r>
          <rPr>
            <sz val="9"/>
            <color indexed="81"/>
            <rFont val="Tahoma"/>
            <family val="2"/>
          </rPr>
          <t xml:space="preserve">
Nộp NS 10%</t>
        </r>
      </text>
    </comment>
  </commentList>
</comments>
</file>

<file path=xl/comments26.xml><?xml version="1.0" encoding="utf-8"?>
<comments xmlns="http://schemas.openxmlformats.org/spreadsheetml/2006/main">
  <authors>
    <author>Asus</author>
  </authors>
  <commentList>
    <comment ref="B61" authorId="0" shapeId="0">
      <text>
        <r>
          <rPr>
            <b/>
            <sz val="9"/>
            <color indexed="81"/>
            <rFont val="Tahoma"/>
            <family val="2"/>
          </rPr>
          <t>Asus:</t>
        </r>
        <r>
          <rPr>
            <sz val="9"/>
            <color indexed="81"/>
            <rFont val="Tahoma"/>
            <family val="2"/>
          </rPr>
          <t xml:space="preserve">
SNVH 2019: 36.993trđ
Năm 2020 tăn lương so năm 2019 là 981.
=&gt;36.993+981=37.974 trđ.
Chị Nhàn ghi cả SNVH 40 tỷ</t>
        </r>
      </text>
    </comment>
    <comment ref="E66" authorId="0" shapeId="0">
      <text>
        <r>
          <rPr>
            <b/>
            <sz val="9"/>
            <color indexed="81"/>
            <rFont val="Tahoma"/>
            <family val="2"/>
          </rPr>
          <t>Asus:</t>
        </r>
        <r>
          <rPr>
            <sz val="9"/>
            <color indexed="81"/>
            <rFont val="Tahoma"/>
            <family val="2"/>
          </rPr>
          <t xml:space="preserve">
DT 2018: 16.385 - kp ĐH TDTT = 14.685. Bố trí DT 2019 có tăng so 2018</t>
        </r>
      </text>
    </comment>
    <comment ref="B85" authorId="0" shapeId="0">
      <text>
        <r>
          <rPr>
            <b/>
            <sz val="9"/>
            <color indexed="81"/>
            <rFont val="Tahoma"/>
            <family val="2"/>
          </rPr>
          <t>Asus:</t>
        </r>
        <r>
          <rPr>
            <sz val="9"/>
            <color indexed="81"/>
            <rFont val="Tahoma"/>
            <family val="2"/>
          </rPr>
          <t xml:space="preserve">
Năm 2019 ƯTH 55.500trđ (TT&amp;ĐT) + 1.000trđ do SNTT ko cấn đối đc + 1.000trđ đăng cai các giải</t>
        </r>
      </text>
    </comment>
  </commentList>
</comments>
</file>

<file path=xl/comments27.xml><?xml version="1.0" encoding="utf-8"?>
<comments xmlns="http://schemas.openxmlformats.org/spreadsheetml/2006/main">
  <authors>
    <author>Asus</author>
  </authors>
  <commentList>
    <comment ref="E54" authorId="0" shapeId="0">
      <text>
        <r>
          <rPr>
            <b/>
            <sz val="9"/>
            <color indexed="81"/>
            <rFont val="Tahoma"/>
            <family val="2"/>
          </rPr>
          <t>Asus:</t>
        </r>
        <r>
          <rPr>
            <sz val="9"/>
            <color indexed="81"/>
            <rFont val="Tahoma"/>
            <family val="2"/>
          </rPr>
          <t xml:space="preserve">
gồm phụ cấp ưu đãi GV dạt HS khuyết tật hòa nhập (3 trường)</t>
        </r>
      </text>
    </comment>
    <comment ref="B55" authorId="0" shapeId="0">
      <text>
        <r>
          <rPr>
            <b/>
            <sz val="9"/>
            <color indexed="81"/>
            <rFont val="Tahoma"/>
            <family val="2"/>
          </rPr>
          <t>Asus:</t>
        </r>
        <r>
          <rPr>
            <sz val="9"/>
            <color indexed="81"/>
            <rFont val="Tahoma"/>
            <family val="2"/>
          </rPr>
          <t xml:space="preserve">
Tỷ lệ 15 theo lương 1.210.000 trđ</t>
        </r>
      </text>
    </comment>
    <comment ref="B65" authorId="0" shapeId="0">
      <text>
        <r>
          <rPr>
            <b/>
            <sz val="9"/>
            <color indexed="81"/>
            <rFont val="Tahoma"/>
            <family val="2"/>
          </rPr>
          <t>Asus:</t>
        </r>
        <r>
          <rPr>
            <sz val="9"/>
            <color indexed="81"/>
            <rFont val="Tahoma"/>
            <family val="2"/>
          </rPr>
          <t xml:space="preserve">
Tỷ lệ 15 theo lương 1.210.000 trđ</t>
        </r>
      </text>
    </comment>
    <comment ref="B71" authorId="0" shapeId="0">
      <text>
        <r>
          <rPr>
            <b/>
            <sz val="9"/>
            <color indexed="81"/>
            <rFont val="Tahoma"/>
            <family val="2"/>
          </rPr>
          <t>Asus:</t>
        </r>
        <r>
          <rPr>
            <sz val="9"/>
            <color indexed="81"/>
            <rFont val="Tahoma"/>
            <family val="2"/>
          </rPr>
          <t xml:space="preserve">
Tỷ lệ 15 theo lương 1.210.000 trđ</t>
        </r>
      </text>
    </comment>
  </commentList>
</comments>
</file>

<file path=xl/comments28.xml><?xml version="1.0" encoding="utf-8"?>
<comments xmlns="http://schemas.openxmlformats.org/spreadsheetml/2006/main">
  <authors>
    <author>Asus</author>
  </authors>
  <commentList>
    <comment ref="B34" authorId="0" shapeId="0">
      <text>
        <r>
          <rPr>
            <b/>
            <sz val="9"/>
            <color indexed="81"/>
            <rFont val="Tahoma"/>
            <family val="2"/>
          </rPr>
          <t>Asus:</t>
        </r>
        <r>
          <rPr>
            <sz val="9"/>
            <color indexed="81"/>
            <rFont val="Tahoma"/>
            <family val="2"/>
          </rPr>
          <t xml:space="preserve">
Ký HĐ với huyenj, xuất hóa đơn</t>
        </r>
      </text>
    </comment>
    <comment ref="F35" authorId="0" shapeId="0">
      <text>
        <r>
          <rPr>
            <b/>
            <sz val="9"/>
            <color indexed="81"/>
            <rFont val="Tahoma"/>
            <family val="2"/>
          </rPr>
          <t>Asus:</t>
        </r>
        <r>
          <rPr>
            <sz val="9"/>
            <color indexed="81"/>
            <rFont val="Tahoma"/>
            <family val="2"/>
          </rPr>
          <t xml:space="preserve">
1.300trđ KTX</t>
        </r>
      </text>
    </comment>
  </commentList>
</comments>
</file>

<file path=xl/comments29.xml><?xml version="1.0" encoding="utf-8"?>
<comments xmlns="http://schemas.openxmlformats.org/spreadsheetml/2006/main">
  <authors>
    <author>Asus</author>
  </authors>
  <commentList>
    <comment ref="B31" authorId="0" shapeId="0">
      <text>
        <r>
          <rPr>
            <b/>
            <sz val="9"/>
            <color indexed="81"/>
            <rFont val="Tahoma"/>
            <family val="2"/>
          </rPr>
          <t>Asus:</t>
        </r>
        <r>
          <rPr>
            <sz val="9"/>
            <color indexed="81"/>
            <rFont val="Tahoma"/>
            <family val="2"/>
          </rPr>
          <t xml:space="preserve">
3 trường: thỉnh giảng 2019 - b/c chưa có mặt -&gt; cấp bù. Ghi lại 50% nguồn thu làm lương để bù cp vật tư thực hành</t>
        </r>
      </text>
    </comment>
    <comment ref="B59" authorId="0" shapeId="0">
      <text>
        <r>
          <rPr>
            <b/>
            <sz val="9"/>
            <color indexed="81"/>
            <rFont val="Tahoma"/>
            <family val="2"/>
          </rPr>
          <t>Asus:</t>
        </r>
        <r>
          <rPr>
            <sz val="9"/>
            <color indexed="81"/>
            <rFont val="Tahoma"/>
            <family val="2"/>
          </rPr>
          <t xml:space="preserve">
Do tính 40% nguồn thu để CCTL nên hỗ trợ lại 50% phần nguồn thu đã tính làm lương là 200trđ.</t>
        </r>
      </text>
    </comment>
    <comment ref="B61" authorId="0" shapeId="0">
      <text>
        <r>
          <rPr>
            <b/>
            <sz val="9"/>
            <color indexed="81"/>
            <rFont val="Tahoma"/>
            <family val="2"/>
          </rPr>
          <t>Asus:</t>
        </r>
        <r>
          <rPr>
            <sz val="9"/>
            <color indexed="81"/>
            <rFont val="Tahoma"/>
            <family val="2"/>
          </rPr>
          <t xml:space="preserve">
năm 2018: 272HV, 13 GV, 13 lớp</t>
        </r>
      </text>
    </comment>
    <comment ref="B77" authorId="0" shapeId="0">
      <text>
        <r>
          <rPr>
            <b/>
            <sz val="9"/>
            <color indexed="81"/>
            <rFont val="Tahoma"/>
            <family val="2"/>
          </rPr>
          <t>Asus:</t>
        </r>
        <r>
          <rPr>
            <sz val="9"/>
            <color indexed="81"/>
            <rFont val="Tahoma"/>
            <family val="2"/>
          </rPr>
          <t xml:space="preserve">
23GV, 478HV</t>
        </r>
      </text>
    </comment>
  </commentList>
</comments>
</file>

<file path=xl/comments3.xml><?xml version="1.0" encoding="utf-8"?>
<comments xmlns="http://schemas.openxmlformats.org/spreadsheetml/2006/main">
  <authors>
    <author>Asus</author>
  </authors>
  <commentList>
    <comment ref="B35" authorId="0" shapeId="0">
      <text>
        <r>
          <rPr>
            <b/>
            <sz val="9"/>
            <color indexed="81"/>
            <rFont val="Tahoma"/>
            <family val="2"/>
          </rPr>
          <t>Asus:</t>
        </r>
        <r>
          <rPr>
            <sz val="9"/>
            <color indexed="81"/>
            <rFont val="Tahoma"/>
            <family val="2"/>
          </rPr>
          <t xml:space="preserve">
3 chi bộ 37 ĐV. 9 đảng ủy viên.
Văn kiện 6tr
tiền ăn 40ng x 150.000đ
nước uống 30.000 x 40ng</t>
        </r>
      </text>
    </comment>
    <comment ref="B38" authorId="0" shapeId="0">
      <text>
        <r>
          <rPr>
            <b/>
            <sz val="9"/>
            <color indexed="81"/>
            <rFont val="Tahoma"/>
            <family val="2"/>
          </rPr>
          <t>Asus:</t>
        </r>
        <r>
          <rPr>
            <sz val="9"/>
            <color indexed="81"/>
            <rFont val="Tahoma"/>
            <family val="2"/>
          </rPr>
          <t xml:space="preserve">
Mua kệ HS để sang năm ghi</t>
        </r>
      </text>
    </comment>
  </commentList>
</comments>
</file>

<file path=xl/comments30.xml><?xml version="1.0" encoding="utf-8"?>
<comments xmlns="http://schemas.openxmlformats.org/spreadsheetml/2006/main">
  <authors>
    <author>Asus</author>
  </authors>
  <commentList>
    <comment ref="B31" authorId="0" shapeId="0">
      <text>
        <r>
          <rPr>
            <b/>
            <sz val="9"/>
            <color indexed="81"/>
            <rFont val="Tahoma"/>
            <family val="2"/>
          </rPr>
          <t>Asus:</t>
        </r>
        <r>
          <rPr>
            <sz val="9"/>
            <color indexed="81"/>
            <rFont val="Tahoma"/>
            <family val="2"/>
          </rPr>
          <t xml:space="preserve">
3 trường: thỉnh giảng 2019 - b/c chưa có mặt -&gt; cấp bù. Ghi lại 50% nguồn thu làm lương để bù cp vật tư thực hành</t>
        </r>
      </text>
    </comment>
    <comment ref="B46" authorId="0" shapeId="0">
      <text>
        <r>
          <rPr>
            <b/>
            <sz val="9"/>
            <color indexed="81"/>
            <rFont val="Tahoma"/>
            <family val="2"/>
          </rPr>
          <t>Asus:</t>
        </r>
        <r>
          <rPr>
            <sz val="9"/>
            <color indexed="81"/>
            <rFont val="Tahoma"/>
            <family val="2"/>
          </rPr>
          <t xml:space="preserve">
Do tính 40% nguồn thu để CCTL nên hỗ trợ lại 50% phần nguồn thu đã tính làm lương là 200trđ.</t>
        </r>
      </text>
    </comment>
    <comment ref="B48" authorId="0" shapeId="0">
      <text>
        <r>
          <rPr>
            <b/>
            <sz val="9"/>
            <color indexed="81"/>
            <rFont val="Tahoma"/>
            <family val="2"/>
          </rPr>
          <t>Asus:</t>
        </r>
        <r>
          <rPr>
            <sz val="9"/>
            <color indexed="81"/>
            <rFont val="Tahoma"/>
            <family val="2"/>
          </rPr>
          <t xml:space="preserve">
năm 2018: 272HV, 13 GV, 13 lớp</t>
        </r>
      </text>
    </comment>
    <comment ref="B62" authorId="0" shapeId="0">
      <text>
        <r>
          <rPr>
            <b/>
            <sz val="9"/>
            <color indexed="81"/>
            <rFont val="Tahoma"/>
            <family val="2"/>
          </rPr>
          <t>Asus:</t>
        </r>
        <r>
          <rPr>
            <sz val="9"/>
            <color indexed="81"/>
            <rFont val="Tahoma"/>
            <family val="2"/>
          </rPr>
          <t xml:space="preserve">
23GV, 478HV</t>
        </r>
      </text>
    </comment>
  </commentList>
</comments>
</file>

<file path=xl/comments31.xml><?xml version="1.0" encoding="utf-8"?>
<comments xmlns="http://schemas.openxmlformats.org/spreadsheetml/2006/main">
  <authors>
    <author>Asus</author>
  </authors>
  <commentList>
    <comment ref="D35" authorId="0" shapeId="0">
      <text>
        <r>
          <rPr>
            <b/>
            <sz val="9"/>
            <color indexed="81"/>
            <rFont val="Tahoma"/>
            <family val="2"/>
          </rPr>
          <t>Asus:</t>
        </r>
        <r>
          <rPr>
            <sz val="9"/>
            <color indexed="81"/>
            <rFont val="Tahoma"/>
            <family val="2"/>
          </rPr>
          <t xml:space="preserve">
1 LX ở bảng lương phòng TC-HC</t>
        </r>
      </text>
    </comment>
  </commentList>
</comments>
</file>

<file path=xl/comments32.xml><?xml version="1.0" encoding="utf-8"?>
<comments xmlns="http://schemas.openxmlformats.org/spreadsheetml/2006/main">
  <authors>
    <author>Asus</author>
  </authors>
  <commentList>
    <comment ref="B38" authorId="0" shapeId="0">
      <text>
        <r>
          <rPr>
            <b/>
            <sz val="9"/>
            <color indexed="81"/>
            <rFont val="Tahoma"/>
            <family val="2"/>
          </rPr>
          <t>Asus:</t>
        </r>
        <r>
          <rPr>
            <sz val="9"/>
            <color indexed="81"/>
            <rFont val="Tahoma"/>
            <family val="2"/>
          </rPr>
          <t xml:space="preserve">
Số hv đã ổn nên cấp kp tự chủ</t>
        </r>
      </text>
    </comment>
    <comment ref="B45" authorId="0" shapeId="0">
      <text>
        <r>
          <rPr>
            <b/>
            <sz val="9"/>
            <color indexed="81"/>
            <rFont val="Tahoma"/>
            <family val="2"/>
          </rPr>
          <t>Asus:</t>
        </r>
        <r>
          <rPr>
            <sz val="9"/>
            <color indexed="81"/>
            <rFont val="Tahoma"/>
            <family val="2"/>
          </rPr>
          <t xml:space="preserve">
ko tự chủ</t>
        </r>
      </text>
    </comment>
  </commentList>
</comments>
</file>

<file path=xl/comments33.xml><?xml version="1.0" encoding="utf-8"?>
<comments xmlns="http://schemas.openxmlformats.org/spreadsheetml/2006/main">
  <authors>
    <author>Asus</author>
  </authors>
  <commentList>
    <comment ref="B38" authorId="0" shapeId="0">
      <text>
        <r>
          <rPr>
            <b/>
            <sz val="9"/>
            <color indexed="81"/>
            <rFont val="Tahoma"/>
            <family val="2"/>
          </rPr>
          <t>Asus:</t>
        </r>
        <r>
          <rPr>
            <sz val="9"/>
            <color indexed="81"/>
            <rFont val="Tahoma"/>
            <family val="2"/>
          </rPr>
          <t xml:space="preserve">
Số hv đã ổn nên cấp kp tự chủ</t>
        </r>
      </text>
    </comment>
    <comment ref="B45" authorId="0" shapeId="0">
      <text>
        <r>
          <rPr>
            <b/>
            <sz val="9"/>
            <color indexed="81"/>
            <rFont val="Tahoma"/>
            <family val="2"/>
          </rPr>
          <t>Asus:</t>
        </r>
        <r>
          <rPr>
            <sz val="9"/>
            <color indexed="81"/>
            <rFont val="Tahoma"/>
            <family val="2"/>
          </rPr>
          <t xml:space="preserve">
ko tự chủ</t>
        </r>
      </text>
    </comment>
  </commentList>
</comments>
</file>

<file path=xl/comments4.xml><?xml version="1.0" encoding="utf-8"?>
<comments xmlns="http://schemas.openxmlformats.org/spreadsheetml/2006/main">
  <authors>
    <author>Asus</author>
  </authors>
  <commentList>
    <comment ref="B26" authorId="0" shapeId="0">
      <text>
        <r>
          <rPr>
            <b/>
            <sz val="9"/>
            <color indexed="81"/>
            <rFont val="Tahoma"/>
            <family val="2"/>
          </rPr>
          <t>Asus:</t>
        </r>
        <r>
          <rPr>
            <sz val="9"/>
            <color indexed="81"/>
            <rFont val="Tahoma"/>
            <family val="2"/>
          </rPr>
          <t xml:space="preserve">
KP PTDL (du lịch Thanh Bình), TCC (tuyên truyền về HTX kiểu mẫu), XKLĐ đưa về đơn vị đầu mối tổng hợp chung</t>
        </r>
      </text>
    </comment>
    <comment ref="B29" authorId="0" shapeId="0">
      <text>
        <r>
          <rPr>
            <b/>
            <sz val="9"/>
            <color indexed="81"/>
            <rFont val="Tahoma"/>
            <family val="2"/>
          </rPr>
          <t>Asus:</t>
        </r>
        <r>
          <rPr>
            <sz val="9"/>
            <color indexed="81"/>
            <rFont val="Tahoma"/>
            <family val="2"/>
          </rPr>
          <t xml:space="preserve">
bao gồm pc hoạt động tư vấn</t>
        </r>
      </text>
    </comment>
    <comment ref="B39" authorId="0" shapeId="0">
      <text>
        <r>
          <rPr>
            <b/>
            <sz val="9"/>
            <color indexed="81"/>
            <rFont val="Tahoma"/>
            <family val="2"/>
          </rPr>
          <t>Asus:</t>
        </r>
        <r>
          <rPr>
            <sz val="9"/>
            <color indexed="81"/>
            <rFont val="Tahoma"/>
            <family val="2"/>
          </rPr>
          <t xml:space="preserve">
CHủ yếu là người Hoa</t>
        </r>
      </text>
    </comment>
    <comment ref="B46" authorId="0" shapeId="0">
      <text>
        <r>
          <rPr>
            <b/>
            <sz val="9"/>
            <color indexed="81"/>
            <rFont val="Tahoma"/>
            <family val="2"/>
          </rPr>
          <t>Asus:</t>
        </r>
        <r>
          <rPr>
            <sz val="9"/>
            <color indexed="81"/>
            <rFont val="Tahoma"/>
            <family val="2"/>
          </rPr>
          <t xml:space="preserve">
12.676 tổ</t>
        </r>
      </text>
    </comment>
    <comment ref="B48" authorId="0" shapeId="0">
      <text>
        <r>
          <rPr>
            <b/>
            <sz val="9"/>
            <color indexed="81"/>
            <rFont val="Tahoma"/>
            <family val="2"/>
          </rPr>
          <t>Asus:</t>
        </r>
        <r>
          <rPr>
            <sz val="9"/>
            <color indexed="81"/>
            <rFont val="Tahoma"/>
            <family val="2"/>
          </rPr>
          <t xml:space="preserve">
Tăng theo lương cơ sở, tăng 9trđ làm tròn 10 trđ</t>
        </r>
      </text>
    </comment>
    <comment ref="B61" authorId="0" shapeId="0">
      <text>
        <r>
          <rPr>
            <b/>
            <sz val="9"/>
            <color indexed="81"/>
            <rFont val="Tahoma"/>
            <family val="2"/>
          </rPr>
          <t>Asus:</t>
        </r>
        <r>
          <rPr>
            <sz val="9"/>
            <color indexed="81"/>
            <rFont val="Tahoma"/>
            <family val="2"/>
          </rPr>
          <t xml:space="preserve">
Năm 2018: đv nói mỗi đơn vị tổ chức 1 năm luân phiên</t>
        </r>
      </text>
    </comment>
    <comment ref="B63" authorId="0" shapeId="0">
      <text>
        <r>
          <rPr>
            <b/>
            <sz val="9"/>
            <color indexed="81"/>
            <rFont val="Tahoma"/>
            <family val="2"/>
          </rPr>
          <t>Asus:</t>
        </r>
        <r>
          <rPr>
            <sz val="9"/>
            <color indexed="81"/>
            <rFont val="Tahoma"/>
            <family val="2"/>
          </rPr>
          <t xml:space="preserve">
ĐA 02 của TW</t>
        </r>
      </text>
    </comment>
    <comment ref="B65" authorId="0" shapeId="0">
      <text>
        <r>
          <rPr>
            <b/>
            <sz val="9"/>
            <color indexed="81"/>
            <rFont val="Tahoma"/>
            <family val="2"/>
          </rPr>
          <t>Asus:</t>
        </r>
        <r>
          <rPr>
            <sz val="9"/>
            <color indexed="81"/>
            <rFont val="Tahoma"/>
            <family val="2"/>
          </rPr>
          <t xml:space="preserve">
ĐA 01 của MTTW</t>
        </r>
      </text>
    </comment>
  </commentList>
</comments>
</file>

<file path=xl/comments5.xml><?xml version="1.0" encoding="utf-8"?>
<comments xmlns="http://schemas.openxmlformats.org/spreadsheetml/2006/main">
  <authors>
    <author>Asus</author>
  </authors>
  <commentList>
    <comment ref="B38" authorId="0" shapeId="0">
      <text>
        <r>
          <rPr>
            <b/>
            <sz val="9"/>
            <color indexed="81"/>
            <rFont val="Tahoma"/>
            <family val="2"/>
          </rPr>
          <t>Asus:</t>
        </r>
        <r>
          <rPr>
            <sz val="9"/>
            <color indexed="81"/>
            <rFont val="Tahoma"/>
            <family val="2"/>
          </rPr>
          <t xml:space="preserve">
ko ghi do trong KH gđ 2016-2020 ko có kp của HND</t>
        </r>
      </text>
    </comment>
  </commentList>
</comments>
</file>

<file path=xl/comments6.xml><?xml version="1.0" encoding="utf-8"?>
<comments xmlns="http://schemas.openxmlformats.org/spreadsheetml/2006/main">
  <authors>
    <author>Asus</author>
  </authors>
  <commentList>
    <comment ref="B29" authorId="0" shapeId="0">
      <text>
        <r>
          <rPr>
            <b/>
            <sz val="9"/>
            <color indexed="81"/>
            <rFont val="Tahoma"/>
            <family val="2"/>
          </rPr>
          <t>Asus:</t>
        </r>
        <r>
          <rPr>
            <sz val="9"/>
            <color indexed="81"/>
            <rFont val="Tahoma"/>
            <family val="2"/>
          </rPr>
          <t xml:space="preserve">
ĐV đk thực hiện tự chủ</t>
        </r>
      </text>
    </comment>
    <comment ref="B46" authorId="0" shapeId="0">
      <text>
        <r>
          <rPr>
            <b/>
            <sz val="9"/>
            <color indexed="81"/>
            <rFont val="Tahoma"/>
            <family val="2"/>
          </rPr>
          <t>Asus:</t>
        </r>
        <r>
          <rPr>
            <sz val="9"/>
            <color indexed="81"/>
            <rFont val="Tahoma"/>
            <family val="2"/>
          </rPr>
          <t xml:space="preserve">
SN GDĐT</t>
        </r>
      </text>
    </comment>
    <comment ref="B48" authorId="0" shapeId="0">
      <text>
        <r>
          <rPr>
            <b/>
            <sz val="9"/>
            <color indexed="81"/>
            <rFont val="Tahoma"/>
            <family val="2"/>
          </rPr>
          <t>Asus:</t>
        </r>
        <r>
          <rPr>
            <sz val="9"/>
            <color indexed="81"/>
            <rFont val="Tahoma"/>
            <family val="2"/>
          </rPr>
          <t xml:space="preserve">
2 năm/lần</t>
        </r>
      </text>
    </comment>
    <comment ref="B49" authorId="0" shapeId="0">
      <text>
        <r>
          <rPr>
            <b/>
            <sz val="9"/>
            <color indexed="81"/>
            <rFont val="Tahoma"/>
            <family val="2"/>
          </rPr>
          <t>Asus:</t>
        </r>
        <r>
          <rPr>
            <sz val="9"/>
            <color indexed="81"/>
            <rFont val="Tahoma"/>
            <family val="2"/>
          </rPr>
          <t xml:space="preserve">
SN KHCN</t>
        </r>
      </text>
    </comment>
    <comment ref="B51" authorId="0" shapeId="0">
      <text>
        <r>
          <rPr>
            <b/>
            <sz val="9"/>
            <color indexed="81"/>
            <rFont val="Tahoma"/>
            <family val="2"/>
          </rPr>
          <t>Asus:</t>
        </r>
        <r>
          <rPr>
            <sz val="9"/>
            <color indexed="81"/>
            <rFont val="Tahoma"/>
            <family val="2"/>
          </rPr>
          <t xml:space="preserve">
SN PTTH</t>
        </r>
      </text>
    </comment>
  </commentList>
</comments>
</file>

<file path=xl/comments7.xml><?xml version="1.0" encoding="utf-8"?>
<comments xmlns="http://schemas.openxmlformats.org/spreadsheetml/2006/main">
  <authors>
    <author>Asus</author>
  </authors>
  <commentList>
    <comment ref="B71" authorId="0" shapeId="0">
      <text>
        <r>
          <rPr>
            <b/>
            <sz val="9"/>
            <color indexed="81"/>
            <rFont val="Tahoma"/>
            <family val="2"/>
          </rPr>
          <t>Asus:</t>
        </r>
        <r>
          <rPr>
            <sz val="9"/>
            <color indexed="81"/>
            <rFont val="Tahoma"/>
            <family val="2"/>
          </rPr>
          <t xml:space="preserve">
để chi lương 13HĐ, ko tính 40% CCTL</t>
        </r>
      </text>
    </comment>
  </commentList>
</comments>
</file>

<file path=xl/comments8.xml><?xml version="1.0" encoding="utf-8"?>
<comments xmlns="http://schemas.openxmlformats.org/spreadsheetml/2006/main">
  <authors>
    <author>Asus</author>
  </authors>
  <commentList>
    <comment ref="B40" authorId="0" shapeId="0">
      <text>
        <r>
          <rPr>
            <b/>
            <sz val="9"/>
            <color indexed="81"/>
            <rFont val="Tahoma"/>
            <family val="2"/>
          </rPr>
          <t>Asus:</t>
        </r>
        <r>
          <rPr>
            <sz val="9"/>
            <color indexed="81"/>
            <rFont val="Tahoma"/>
            <family val="2"/>
          </rPr>
          <t xml:space="preserve">
tổng hợp thêm ndung</t>
        </r>
      </text>
    </comment>
  </commentList>
</comments>
</file>

<file path=xl/comments9.xml><?xml version="1.0" encoding="utf-8"?>
<comments xmlns="http://schemas.openxmlformats.org/spreadsheetml/2006/main">
  <authors>
    <author>Asus</author>
  </authors>
  <commentList>
    <comment ref="B32" authorId="0" shapeId="0">
      <text>
        <r>
          <rPr>
            <b/>
            <sz val="9"/>
            <color indexed="81"/>
            <rFont val="Tahoma"/>
            <family val="2"/>
          </rPr>
          <t>Asus:</t>
        </r>
        <r>
          <rPr>
            <sz val="9"/>
            <color indexed="81"/>
            <rFont val="Tahoma"/>
            <family val="2"/>
          </rPr>
          <t xml:space="preserve">
DT 2018: 2.163 - ĐH 630 - TGBC 412 - KNC 169 +47 KTPTCS - 135 MT - ĐHTW 195</t>
        </r>
      </text>
    </comment>
    <comment ref="B35" authorId="0" shapeId="0">
      <text>
        <r>
          <rPr>
            <b/>
            <sz val="9"/>
            <color indexed="81"/>
            <rFont val="Tahoma"/>
            <family val="2"/>
          </rPr>
          <t>Asus:</t>
        </r>
        <r>
          <rPr>
            <sz val="9"/>
            <color indexed="81"/>
            <rFont val="Tahoma"/>
            <family val="2"/>
          </rPr>
          <t xml:space="preserve">
ko ghi do trong KH gđ 2016-2020 ko có kp của HND</t>
        </r>
      </text>
    </comment>
  </commentList>
</comments>
</file>

<file path=xl/sharedStrings.xml><?xml version="1.0" encoding="utf-8"?>
<sst xmlns="http://schemas.openxmlformats.org/spreadsheetml/2006/main" count="5223" uniqueCount="1886">
  <si>
    <t>Đơn vị: Triệu đồng</t>
  </si>
  <si>
    <t>STT</t>
  </si>
  <si>
    <t>Nội dung</t>
  </si>
  <si>
    <t>Ghi chú</t>
  </si>
  <si>
    <t>Dự toán NSNN năm 2018</t>
  </si>
  <si>
    <t>Biên chế thực tế</t>
  </si>
  <si>
    <t>A</t>
  </si>
  <si>
    <t>B</t>
  </si>
  <si>
    <t>Dự toán NSNN năm 2019</t>
  </si>
  <si>
    <t>Dự toán NSNN năm 2020</t>
  </si>
  <si>
    <t>Chi thường xuyên</t>
  </si>
  <si>
    <t>Chi không thường xuyên</t>
  </si>
  <si>
    <t>Dự kiến số thu, chi từ nguồn thu được để lại theo chế độ</t>
  </si>
  <si>
    <t>Tổng số thu nộp NSNN</t>
  </si>
  <si>
    <t>Tổng số thu được để lại</t>
  </si>
  <si>
    <t xml:space="preserve"> - Chi hoạt động theo định mức</t>
  </si>
  <si>
    <t>C</t>
  </si>
  <si>
    <t xml:space="preserve">Biên chế được giao </t>
  </si>
  <si>
    <t xml:space="preserve">  * Đại diện Sở Tài chính</t>
  </si>
  <si>
    <t xml:space="preserve">    - Bà: Nguyễn Thị Diện</t>
  </si>
  <si>
    <t xml:space="preserve">    - Ông: </t>
  </si>
  <si>
    <t xml:space="preserve">    - Bà: </t>
  </si>
  <si>
    <t xml:space="preserve">  * Đại diện đơn vị:</t>
  </si>
  <si>
    <t xml:space="preserve">    - Bà Bùi Thị Thanh Nhàn</t>
  </si>
  <si>
    <t>BIÊN BẢN THẢO LUẬN DỰ TOÁN NSNN GIAI ĐOẠN 3 NĂM 2018-2020</t>
  </si>
  <si>
    <t>Cơ sở tính
(người)</t>
  </si>
  <si>
    <t>Chi quản lý hành chính</t>
  </si>
  <si>
    <t>Chi giáo dục - đào tạo &amp; DN</t>
  </si>
  <si>
    <t>Chi các hoạt động kinh tế</t>
  </si>
  <si>
    <t>Chi khoa học và công nghệ</t>
  </si>
  <si>
    <t>Chi y tế, dân số và gia đình</t>
  </si>
  <si>
    <t>Chi văn hóa thông tin</t>
  </si>
  <si>
    <t>Chi phát thanh, truyền hình</t>
  </si>
  <si>
    <t>Chi thể dục thể thao</t>
  </si>
  <si>
    <t>Chi bảo vệ môi trường</t>
  </si>
  <si>
    <t>Chi đảm bảo xã hội</t>
  </si>
  <si>
    <t>ĐẠI DIỆN ĐƠN VỊ</t>
  </si>
  <si>
    <t>ĐẠI DIỆN SỞ TÀI CHÍNH</t>
  </si>
  <si>
    <t>Cùng ghi nhận số liệu dự toán giai đoạn 3 năm 2018-2020 cụ thể như sau:</t>
  </si>
  <si>
    <t>Thành phần gồm có:</t>
  </si>
  <si>
    <t xml:space="preserve"> - Tổng quỹ lương và dự kiến nâng lương thường xuyên</t>
  </si>
  <si>
    <t>Bao gồm ... biên chế và … LĐHĐ theo NĐ 68</t>
  </si>
  <si>
    <t>Tổng quỹ lương</t>
  </si>
  <si>
    <t>Chi hoạt động</t>
  </si>
  <si>
    <t xml:space="preserve"> - Ngân sách giữ lại 10% tiết kiệm chi thường xuyên để tạo nguồn CCTL</t>
  </si>
  <si>
    <t xml:space="preserve"> - Nguồn thu phải cân đối để đảm bảo hoạt động</t>
  </si>
  <si>
    <t>Tổng số thu phí, lệ phí và thu khác</t>
  </si>
  <si>
    <t xml:space="preserve"> - 40% nguồn thu dùng để CCTL (riêng ngành y tế là 35% sau khi trừ thuốc, máu, dịch truyền, VTTH …)</t>
  </si>
  <si>
    <t>Hôm nay, vào lúc ... giờ ... phút ngày ... tháng 9 năm 2017, tại Sở Tài chính tiến hành thảo luận số liệu dự toán NSNN giai đoạn 3 năm 2018-2020 .</t>
  </si>
  <si>
    <t>Phó Giám đốc Sở Tài chính</t>
  </si>
  <si>
    <t>TP Tài chính - HCSN</t>
  </si>
  <si>
    <t>I</t>
  </si>
  <si>
    <t>II</t>
  </si>
  <si>
    <t>a</t>
  </si>
  <si>
    <t>b</t>
  </si>
  <si>
    <t>c</t>
  </si>
  <si>
    <t>Chi hoạt động (a-b-c)</t>
  </si>
  <si>
    <t>DỰ KIẾN SỐ THU, CHI TỪ NGUỒN THU ĐƯỢC ĐỂ LẠI THEO CHẾ ĐỘ</t>
  </si>
  <si>
    <t>DỰ TOÁN CHI NSNN</t>
  </si>
  <si>
    <t xml:space="preserve">    - Bà: Huỳnh Thị Mỹ Dung</t>
  </si>
  <si>
    <t>PTP Tài chính - HCSN</t>
  </si>
  <si>
    <t>Đơn vị tính: Triệu đồng</t>
  </si>
  <si>
    <t>TT</t>
  </si>
  <si>
    <t>Tổng số thu khác</t>
  </si>
  <si>
    <t>Tổng số thu phí, lệ phí</t>
  </si>
  <si>
    <t>Tổng số thu được để lại (1-3)</t>
  </si>
  <si>
    <t>Trong đó: - Nguồn thu phí, lệ phí</t>
  </si>
  <si>
    <r>
      <rPr>
        <i/>
        <sz val="14"/>
        <color theme="0"/>
        <rFont val="Times New Roman"/>
        <family val="1"/>
      </rPr>
      <t>Trong đó:</t>
    </r>
    <r>
      <rPr>
        <i/>
        <sz val="14"/>
        <color rgb="FF000000"/>
        <rFont val="Times New Roman"/>
        <family val="1"/>
      </rPr>
      <t xml:space="preserve"> - Nguồn thu khác</t>
    </r>
  </si>
  <si>
    <t xml:space="preserve">  * Đại diện đơn vị: </t>
  </si>
  <si>
    <t>Tổng quỹ lương và dự kiến nâng lương định kỳ (a+b-c)</t>
  </si>
  <si>
    <t>CHI THƯỜNG XUYÊN</t>
  </si>
  <si>
    <t>CHI KHÔNG THƯỜNG</t>
  </si>
  <si>
    <t>BIÊN BẢN GHI NHẬN SỐ LIỆU DỰ TOÁN NSNN
GIAI ĐOẠN 3 NĂM 2018-2020</t>
  </si>
  <si>
    <r>
      <t xml:space="preserve">Hôm nay, vào lúc </t>
    </r>
    <r>
      <rPr>
        <sz val="14"/>
        <color rgb="FFFF0000"/>
        <rFont val="Times New Roman"/>
        <family val="1"/>
      </rPr>
      <t>00</t>
    </r>
    <r>
      <rPr>
        <sz val="14"/>
        <color theme="1"/>
        <rFont val="Times New Roman"/>
        <family val="1"/>
      </rPr>
      <t xml:space="preserve"> giờ </t>
    </r>
    <r>
      <rPr>
        <sz val="14"/>
        <color rgb="FFFF0000"/>
        <rFont val="Times New Roman"/>
        <family val="1"/>
      </rPr>
      <t>00</t>
    </r>
    <r>
      <rPr>
        <sz val="14"/>
        <color theme="1"/>
        <rFont val="Times New Roman"/>
        <family val="1"/>
      </rPr>
      <t xml:space="preserve"> phút ngày </t>
    </r>
    <r>
      <rPr>
        <sz val="14"/>
        <color rgb="FFFF0000"/>
        <rFont val="Times New Roman"/>
        <family val="1"/>
      </rPr>
      <t>12</t>
    </r>
    <r>
      <rPr>
        <sz val="14"/>
        <color theme="1"/>
        <rFont val="Times New Roman"/>
        <family val="1"/>
      </rPr>
      <t xml:space="preserve"> tháng 9 năm 2017, tại Sở Tài chính tiến hành trao đổi số liệu dự toán NSNN giai đoạn 3 năm 2018-2020.</t>
    </r>
  </si>
  <si>
    <r>
      <t xml:space="preserve">Tổng quỹ lương của </t>
    </r>
    <r>
      <rPr>
        <sz val="14"/>
        <color rgb="FFFF0000"/>
        <rFont val="Times New Roman"/>
        <family val="1"/>
      </rPr>
      <t>00</t>
    </r>
    <r>
      <rPr>
        <sz val="14"/>
        <color rgb="FF000000"/>
        <rFont val="Times New Roman"/>
        <family val="1"/>
      </rPr>
      <t xml:space="preserve"> lao động HĐ theo NĐ 68</t>
    </r>
  </si>
  <si>
    <r>
      <t xml:space="preserve">Tổng quỹ lương của </t>
    </r>
    <r>
      <rPr>
        <sz val="14"/>
        <color rgb="FFFF0000"/>
        <rFont val="Times New Roman"/>
        <family val="1"/>
      </rPr>
      <t xml:space="preserve">00 </t>
    </r>
    <r>
      <rPr>
        <sz val="14"/>
        <color rgb="FF000000"/>
        <rFont val="Times New Roman"/>
        <family val="1"/>
      </rPr>
      <t>biên chế</t>
    </r>
  </si>
  <si>
    <t>40% nguồn thu dùng để CCTL (riêng ngành y tế là 35% sau khi trừ thuốc, máu, dịch truyền, VTTH …)</t>
  </si>
  <si>
    <t>Chi hoạt động theo định mức</t>
  </si>
  <si>
    <t>Ngân sách giữ lại 10% tiết kiệm chi thường xuyên để tạo nguồn CCTL</t>
  </si>
  <si>
    <t>Nguồn thu phải cân đối để đảm bảo hoạt động</t>
  </si>
  <si>
    <t>Chánh Văn phòng</t>
  </si>
  <si>
    <t>Quản lý hành chính</t>
  </si>
  <si>
    <t>Sự nghiệp kinh tế</t>
  </si>
  <si>
    <t>Sự nghiệp giáo dục - ĐT&amp;DN</t>
  </si>
  <si>
    <t>Chi hoạt động theo định mức (25 trđ/biên chế)</t>
  </si>
  <si>
    <t xml:space="preserve">    - Ông: Đặng Phú Quí</t>
  </si>
  <si>
    <t>PTP Quản lý ngân sách</t>
  </si>
  <si>
    <t>PTP Quản lý Giá - CS</t>
  </si>
  <si>
    <t>Chuyên viên P. Tài chính - HCSN</t>
  </si>
  <si>
    <t xml:space="preserve">    - Bà: Nguyễn Lệ Vị</t>
  </si>
  <si>
    <t xml:space="preserve">    - Ông: Nguyễn Hữu Đức</t>
  </si>
  <si>
    <t xml:space="preserve">    - Ông: Nguyễn Công Minh</t>
  </si>
  <si>
    <t>GĐ Cổng TTĐT</t>
  </si>
  <si>
    <t>Trong đó:</t>
  </si>
  <si>
    <t xml:space="preserve">    - Bà: Nguyễn Thị Ngần</t>
  </si>
  <si>
    <t>Chuyên viên P. Quản lý Giá - CS</t>
  </si>
  <si>
    <t>CHI THƯỜNG XUYÊN (I+II)</t>
  </si>
  <si>
    <t>TỔNG CỘNG</t>
  </si>
  <si>
    <t>CHI KHÔNG THƯỜNG XUYÊN</t>
  </si>
  <si>
    <t xml:space="preserve"> -</t>
  </si>
  <si>
    <t>Kinh phí khởi nghiệp</t>
  </si>
  <si>
    <t xml:space="preserve">  * Đại diện đơn vị: VP Ủy ban nhân dân tỉnh</t>
  </si>
  <si>
    <t xml:space="preserve">  * Đại diện đơn vị: Liên hiệp các Hội Khoa học và kỹ thuật</t>
  </si>
  <si>
    <t>10% tiết kiệm chi thường xuyên để thực hiện cải cách tiền lương</t>
  </si>
  <si>
    <t>Chi hoạt động theo định mức (22 trđ/biên chế)</t>
  </si>
  <si>
    <t xml:space="preserve">    - Ông: Lê Minh Hùng</t>
  </si>
  <si>
    <t>Chủ tịch</t>
  </si>
  <si>
    <t xml:space="preserve">    - Bà: Đỗ Thị Hòa</t>
  </si>
  <si>
    <t>Kế toán</t>
  </si>
  <si>
    <t>Kinh phí hoạt động Đảng</t>
  </si>
  <si>
    <t>Chuyên trang trên Báo ĐT</t>
  </si>
  <si>
    <t>Chuyên mục bản tin trí thức trên TH</t>
  </si>
  <si>
    <t>Chi phí tư vấn phản biện</t>
  </si>
  <si>
    <t>Tập huấn, triển khai chuyên đề, hội thảo</t>
  </si>
  <si>
    <t>Sửa xe ô tô</t>
  </si>
  <si>
    <t>Cuộc thi sáng tạo khoa học KT thanh thiếu niên</t>
  </si>
  <si>
    <t>Đào tạo theo địa chỉ hệ chính quy, đào tạo đại học và sau đại học</t>
  </si>
  <si>
    <t>Chuyên mục VHNT trên Đài PTTH</t>
  </si>
  <si>
    <t>Đề án số hóa tài liệu lưu trữ</t>
  </si>
  <si>
    <t xml:space="preserve">  * Đại diện đơn vị: Liên hiệp các Tổ chức Hữu nghị</t>
  </si>
  <si>
    <t xml:space="preserve">    - Ông: Lê Xuân Hải</t>
  </si>
  <si>
    <t xml:space="preserve">    - Bà: Nguyễn Thị Cẩm Tú</t>
  </si>
  <si>
    <t>Hỗ trợ hoạt động cho 9 chi hội</t>
  </si>
  <si>
    <t>Chi đoàn ra, đoàn vào</t>
  </si>
  <si>
    <t>Chi phí Đoàn tổ chức khám bệnh tại Prayveng</t>
  </si>
  <si>
    <t>Đoàn đi vận động viện trợ TC PCP</t>
  </si>
  <si>
    <t xml:space="preserve">  * Đại diện đơn vị: Hội Nông dân</t>
  </si>
  <si>
    <t xml:space="preserve">    - Ông: Trần Văn Dinh</t>
  </si>
  <si>
    <t>TB Tổ chức</t>
  </si>
  <si>
    <t xml:space="preserve">    - Ông: Nguyễn Văn Long Hồ</t>
  </si>
  <si>
    <t xml:space="preserve">    - Ông: Hồ Ngọc Lợi</t>
  </si>
  <si>
    <t>Phó Chủ tịch</t>
  </si>
  <si>
    <t>Công tác VSLĐ&amp;PCCN</t>
  </si>
  <si>
    <t>Ngày</t>
  </si>
  <si>
    <t>Đơn vị</t>
  </si>
  <si>
    <t>Biên bản kết thúc lúc 09 giờ 00' cùng ngày, tất cả cùng thống nhất ký tên./.</t>
  </si>
  <si>
    <t xml:space="preserve">  * Đại diện đơn vị: Hội Liên hiệp Văn học Nghệ thuật</t>
  </si>
  <si>
    <t xml:space="preserve">    - Bà: Bùi Thị Niềm</t>
  </si>
  <si>
    <t>Chi nhuận bút, bù giá in báo</t>
  </si>
  <si>
    <t>Chi hoạt động 12 Phân hội</t>
  </si>
  <si>
    <t>Sự nghiệp Phát thanh truyền hình</t>
  </si>
  <si>
    <t xml:space="preserve">Tổ chức cuộc thi sáng tác, quảng bá tác phẩm VHNT, chủ đề "Học tập và làm theo tư tưởng, đạo đức, phong cách HCM" </t>
  </si>
  <si>
    <t>Tổ chức cho lãnh đạo Tỉnh gặp gỡ văn nghệ sĩ trong tỉnh</t>
  </si>
  <si>
    <t>Chi hoạt động theo định mức của 19 biên chế (22 trđ/biên chế)</t>
  </si>
  <si>
    <t xml:space="preserve">  * Đại diện đơn vị: BCH Đoàn tỉnh</t>
  </si>
  <si>
    <t>BCH Đoàn tỉnh</t>
  </si>
  <si>
    <t>Trung tâm hoạt động TTN</t>
  </si>
  <si>
    <t>III</t>
  </si>
  <si>
    <t xml:space="preserve">    - Ông: Trần Điền Ân</t>
  </si>
  <si>
    <t>GĐ Trung tâm Hoạt động TNN</t>
  </si>
  <si>
    <t xml:space="preserve">    - Bà: Bùi Thị Ngọc Thắm</t>
  </si>
  <si>
    <t xml:space="preserve">    - Bà: Hồ Trúc Linh</t>
  </si>
  <si>
    <t xml:space="preserve">    - Bà: Đỗ Thị Thanh Trang </t>
  </si>
  <si>
    <t>Phó Bí thư</t>
  </si>
  <si>
    <t xml:space="preserve">    - Ông: Trần Quốc Đoạt</t>
  </si>
  <si>
    <t>Tổng thu sự nghiệp</t>
  </si>
  <si>
    <t>d</t>
  </si>
  <si>
    <t>Hoạt động Đảng</t>
  </si>
  <si>
    <t>Đoàn ra, đoàn vào</t>
  </si>
  <si>
    <t>Hỗ trợ hoạt động cho 06 Liên chi hội sinh viên ĐT</t>
  </si>
  <si>
    <t>Hỗ trợ tổ chức hoạt động cho lưu học sinh Lào và Campuchia</t>
  </si>
  <si>
    <t>Đề án TN tham gia XD NTM</t>
  </si>
  <si>
    <t>Tham dự họp UVTVTW Đoàn</t>
  </si>
  <si>
    <t>Học kỳ quân đội</t>
  </si>
  <si>
    <t>Hội thi tin học trẻ</t>
  </si>
  <si>
    <t xml:space="preserve">    - Bà: Cao Thị Thủy Tiên</t>
  </si>
  <si>
    <t>HN sơ kết mô hình "Mỗi chi hội PH giúp 01 hộ hội viên do PN làm chủ hộ thoát nghèo gđ 2016-2021"</t>
  </si>
  <si>
    <t>Hỗ trợ xúc tiến SP tham gia hội chợ trong và ngoài tỉnh</t>
  </si>
  <si>
    <t>Tập huấn KN khởi nghiệp</t>
  </si>
  <si>
    <t>HN sơ kết CT 05/TW</t>
  </si>
  <si>
    <t>Hội thảo về phòng chống BLGĐ và xâm hại TE</t>
  </si>
  <si>
    <t>Chi phí hoạt động cơ sở tư vấn về phòng chống BLGĐ</t>
  </si>
  <si>
    <t>Tập huấn NCNL cho TTV về kiến thức PBGDPL cho các xã BG</t>
  </si>
  <si>
    <t xml:space="preserve">  * Đại diện đơn vị: Hội Liên hiệp Phụ nữ</t>
  </si>
  <si>
    <t>Chi hoạt động theo định mức của 21 biên chế (21 trđ/biên chế)</t>
  </si>
  <si>
    <t xml:space="preserve">  * Đại diện đơn vị: Sở Kế hoạch và Đầu tư</t>
  </si>
  <si>
    <t>Phó Giám đốc</t>
  </si>
  <si>
    <t xml:space="preserve">  * Đại diện đơn vị: Hội Chữ thập đỏ</t>
  </si>
  <si>
    <t xml:space="preserve">  * Đại diện đơn vị: Sở Công thương</t>
  </si>
  <si>
    <t>Văn phòng Sở</t>
  </si>
  <si>
    <t>Trung tâm Khuyến công</t>
  </si>
  <si>
    <t>Công tác đột xuất, giao tiếp, đoàn ra, đoàn vào</t>
  </si>
  <si>
    <t>Thuê máy photo</t>
  </si>
  <si>
    <t>Trang phục thanh tra</t>
  </si>
  <si>
    <t>Sửa chữa xe ô tô</t>
  </si>
  <si>
    <t>Đào tạo lớp CEO cho doanh nghiệp</t>
  </si>
  <si>
    <t>Tổng số thu nộp NSNN, đơn vị phối hợp</t>
  </si>
  <si>
    <t xml:space="preserve">    - Bà: Nguyễn Thị Bích Liễu</t>
  </si>
  <si>
    <t>Kinh phí hoạt động Quỹ Nạn nhân CĐDC; mỗi tổ chức, cá nhân gắn với một địa chỉ nhân đạo</t>
  </si>
  <si>
    <t>Hoạt động hiến máu nhân đạo</t>
  </si>
  <si>
    <t>Tiếp trung ương hội và nhà tài trợ</t>
  </si>
  <si>
    <t>Đoàn ra, đoàn vào và ủng hộ CTĐ Prâyveng</t>
  </si>
  <si>
    <t>*</t>
  </si>
  <si>
    <t>Chi phí dự hội nghị và tập huấn tại HN</t>
  </si>
  <si>
    <t>Tổ chức hội nghị giao ban Cụm thi đua tỉnh ĐT đăng cai</t>
  </si>
  <si>
    <t>Tập huấn hội viên, thanh niên xung kích Chữ Thập đỏ</t>
  </si>
  <si>
    <t xml:space="preserve">    - Bà: Lê Thị Hằng</t>
  </si>
  <si>
    <t xml:space="preserve">    - Ông: Kiều Đức Hùng</t>
  </si>
  <si>
    <t>Phó Chi cục trưởng CC. QLTT</t>
  </si>
  <si>
    <t xml:space="preserve">    - Bà: Nguyễn Kim Thơm</t>
  </si>
  <si>
    <t xml:space="preserve">    - Bà: Nguyễn Thị Kim Thoa</t>
  </si>
  <si>
    <t>Tổng số thu sự nghiệp</t>
  </si>
  <si>
    <t>Tổng chi từ nguồn thu</t>
  </si>
  <si>
    <t>Tổng số thu sau khi trừ chi phí (1-2)</t>
  </si>
  <si>
    <t>Chương trình hỗ trợ xây dựng mô hình trình diễn, chuyển giao công nghệ và tiến bộ KHKT</t>
  </si>
  <si>
    <t>Chương trình phát triển sản phẩm nông thôn tiêu biểu</t>
  </si>
  <si>
    <t>Công tác đột xuất và giao tiếp</t>
  </si>
  <si>
    <t>KH sản xuất sạch hơn</t>
  </si>
  <si>
    <t>Sự nghiệp môi trường</t>
  </si>
  <si>
    <t>KH an toàn thực phẩm</t>
  </si>
  <si>
    <t>KH phòng ngừa ứng phó sự số hóa chất trên địa bàn tỉnh</t>
  </si>
  <si>
    <t>KH sử dụng năng lượng điện tiết kiệm và hiệu quả</t>
  </si>
  <si>
    <t>Giám đốc</t>
  </si>
  <si>
    <t xml:space="preserve">    - Bà: Đoàn Lệ Hằng</t>
  </si>
  <si>
    <t xml:space="preserve">    - Bà: Võ Thị Kim The</t>
  </si>
  <si>
    <t>Phó GĐ Trung tâm Khuyến công</t>
  </si>
  <si>
    <t>Chương trình xây dựng nhãn hiệu bao bì sản phẩm</t>
  </si>
  <si>
    <t>c/ 10% tiết kiệm chi thường xuyên để thực hiện cải cách tiền lương</t>
  </si>
  <si>
    <t xml:space="preserve">  * Đại diện đơn vị: Liên minh các Hợp tác xã</t>
  </si>
  <si>
    <t>Chi hoạt động theo định mức của 17 biên chế (22 trđ/biên chế)</t>
  </si>
  <si>
    <t xml:space="preserve">    - Bà: Trương Thị Kim Duyên</t>
  </si>
  <si>
    <t xml:space="preserve">    - Bà: Vũ Thị Thu Hường</t>
  </si>
  <si>
    <t>Trưởng phòng KHTC</t>
  </si>
  <si>
    <t xml:space="preserve">    - Bà: Nguyễn Thị Cẩm Thu</t>
  </si>
  <si>
    <t>Trung tâm Công nghệ TT&amp;TT</t>
  </si>
  <si>
    <t>Họp BCĐ LM HTX tại Hà Nội</t>
  </si>
  <si>
    <t xml:space="preserve">    - Ông: Lê Quang Cường</t>
  </si>
  <si>
    <t>Kinh phí hoạt động của BCĐ KTTT</t>
  </si>
  <si>
    <t>Tuyên truyền, thực hiện phóng sự</t>
  </si>
  <si>
    <t>Hoạt động chuyên môn của Trung tâm Tích hợp dữ liệu</t>
  </si>
  <si>
    <t xml:space="preserve">  * Đại diện đơn vị: Sở Thông tin và Truyền thông</t>
  </si>
  <si>
    <t>Hoạt động chuyên môn</t>
  </si>
  <si>
    <t xml:space="preserve"> - Phần mềm diệt virus cho hệ thống</t>
  </si>
  <si>
    <t xml:space="preserve"> - Đoàn kiểm tra liên ngành</t>
  </si>
  <si>
    <t xml:space="preserve"> - Thù lao đọc lưu chiểu</t>
  </si>
  <si>
    <t xml:space="preserve"> - Họp mặt các cơ quan báo chí</t>
  </si>
  <si>
    <t xml:space="preserve"> - KH làm gọn mạng cáp và khảo sát đề xuất ngầm hóa hệ thống cáp điện lực và viễn thông</t>
  </si>
  <si>
    <t xml:space="preserve"> - Trang phục thanh tra</t>
  </si>
  <si>
    <t xml:space="preserve"> - Kiểm tra an toàn an ninh thông tin</t>
  </si>
  <si>
    <t xml:space="preserve"> - Kinh phí xử phạt VPHC</t>
  </si>
  <si>
    <t xml:space="preserve"> - Nhiên liệu máy phát điện</t>
  </si>
  <si>
    <t xml:space="preserve"> - Bảo trì, vận hành máy phát điện</t>
  </si>
  <si>
    <t xml:space="preserve"> - Chi phí điện cấp nguồn</t>
  </si>
  <si>
    <t xml:space="preserve"> - Chi phí trực bảo đảm hoạt động Trung tâm THDL</t>
  </si>
  <si>
    <t xml:space="preserve"> - Chi phí thông tin liên lạc, viễn thông, thuê bao tổng đài hệ thống một cửa, dịch vụ công trực tuyến</t>
  </si>
  <si>
    <t xml:space="preserve"> - Ứng cứu khẩn cấp máy tính</t>
  </si>
  <si>
    <t xml:space="preserve">  * Đại diện đơn vị: VP Hội đồng nhân dân tỉnh</t>
  </si>
  <si>
    <t>Tổng quỹ lương của 7 lao động HĐ theo NĐ 68</t>
  </si>
  <si>
    <t xml:space="preserve">    - Ông: Nguyễn Đức Nhuận</t>
  </si>
  <si>
    <t>PTP Hành chính - TCQT</t>
  </si>
  <si>
    <t xml:space="preserve">    - Ông: Bùi Minh Châu</t>
  </si>
  <si>
    <t xml:space="preserve">  * Đại diện đơn vị: Sở Tư pháp</t>
  </si>
  <si>
    <t>b/ Tổng quỹ lương của 06 lao động HĐ theo NĐ 68</t>
  </si>
  <si>
    <t>Hội nghị đóng góp Luật, hội nghị giao ban</t>
  </si>
  <si>
    <t>Chi rà soát các văn bản</t>
  </si>
  <si>
    <t>Chi phí giám sát của TT</t>
  </si>
  <si>
    <t>Các Ban đi giám sát</t>
  </si>
  <si>
    <t>Các Ban họp thẩm tra trước kỳ họp</t>
  </si>
  <si>
    <t>Tiếp công dân và tiếp xúc cử tri</t>
  </si>
  <si>
    <t>Nhuận bút BBT, trang tin</t>
  </si>
  <si>
    <t>Họp Đảng, đoàn</t>
  </si>
  <si>
    <t>Nhiên liệu TT đi giám sát các huyện</t>
  </si>
  <si>
    <t>Sổ tay, tạp chí, internet ĐBHĐND</t>
  </si>
  <si>
    <t>Công tác phí, thuê mướn, sửa chữa xe và tài sản</t>
  </si>
  <si>
    <t>VPP các kỳ họp, bảng tên, in bìa …</t>
  </si>
  <si>
    <t>Tiền công 05 ĐB không lương, phụ cấp ĐB HĐND (63 ĐB), phụ cấp ĐB là UV của 3 Ban kiêm nhiệm (21 ĐB)</t>
  </si>
  <si>
    <t>Các kỳ họp (trong đó bao gồm họp chuyên đề và họp bất thường)</t>
  </si>
  <si>
    <t>Chuyên mục ĐB với nhân dân</t>
  </si>
  <si>
    <t>Họp chất vấn, giải trình của Thường trực</t>
  </si>
  <si>
    <t>Chi phí giao tiếp, lễ tết, hiếu hỉ, thăm hỏi đối tượng chính sách</t>
  </si>
  <si>
    <t>Tập huấn đại biểu HĐND</t>
  </si>
  <si>
    <t>Chênh lệch trang phục so với định mức cũ</t>
  </si>
  <si>
    <t>GĐ Trung tâm Trợ giúp PL</t>
  </si>
  <si>
    <t xml:space="preserve">    - Bà: Lê Thị Thắm</t>
  </si>
  <si>
    <t xml:space="preserve">    - Bà: Đặng Thị Thùy Dương</t>
  </si>
  <si>
    <t>Chi bồi dưỡng cho CTV thực hiện vụ việc tư vấn pháp luật</t>
  </si>
  <si>
    <t>Chi thực hiện ĐA trợ giúp người khuyết tật (KH 90)</t>
  </si>
  <si>
    <t>Trang phục Trợ giúp viên</t>
  </si>
  <si>
    <t>In ấn tài liệu TGPL</t>
  </si>
  <si>
    <t>Chi phí nuôi con nuôi</t>
  </si>
  <si>
    <t>PN tích cực học tập, LĐST, XDGĐHP, 02 cuộc vận động và Hội thảo "Nâng cao vai trò của CB, HV PN đặt biệt là PN khu vực các xã BG phát triển kinh tế hộ GĐ"</t>
  </si>
  <si>
    <t>Hội thảo về phát huy vai trò của nữ trí thức trong phát triển kinh tế XH nhân ngày 08/3</t>
  </si>
  <si>
    <t>Ngày hội Tôi yêu Tổ quốc tôi, tuyên dương TN sống đẹp nhân ngày 15/10</t>
  </si>
  <si>
    <t xml:space="preserve">    - Bà: Bùi Thị Tuyết Nhung</t>
  </si>
  <si>
    <t xml:space="preserve">  * Đại diện đơn vị: Sở Văn hóa, Thể thao và Du lịch</t>
  </si>
  <si>
    <t xml:space="preserve">    - Bà: Nguyễn Mai Thảo</t>
  </si>
  <si>
    <t>TP. KH-TC</t>
  </si>
  <si>
    <t xml:space="preserve">Sự nghiệp </t>
  </si>
  <si>
    <t xml:space="preserve">  * Đại diện đơn vị: Sở Y tế</t>
  </si>
  <si>
    <t xml:space="preserve">    - Ông: Lâm Phước Toàn</t>
  </si>
  <si>
    <t xml:space="preserve">    - Ông: Nguyễn Lâm Thái Thuận</t>
  </si>
  <si>
    <t xml:space="preserve">    - Ông: Nguyễn Ngọc Thương</t>
  </si>
  <si>
    <t>Tổng số thu phí, lệ phí, thu khác</t>
  </si>
  <si>
    <t>Tổng số thu được để lại (1-2)</t>
  </si>
  <si>
    <t>IV</t>
  </si>
  <si>
    <t>V</t>
  </si>
  <si>
    <t>Chi cục An toàn VSTP</t>
  </si>
  <si>
    <t xml:space="preserve"> - Công tác đột xuất, giao tiếp</t>
  </si>
  <si>
    <t xml:space="preserve"> - Cấp lại kinh phí thu phạt</t>
  </si>
  <si>
    <t>Chi hoạt động theo định mức của 14 biên chế (19 trđ/biên chế)</t>
  </si>
  <si>
    <t xml:space="preserve"> - Mua 02 máy vi tính</t>
  </si>
  <si>
    <t>Y tế khóm, ấp</t>
  </si>
  <si>
    <t>Kinh phí kiểm nghiệm</t>
  </si>
  <si>
    <t>Kinh phí thực hiện đề án, kế hoạch được duyệt, đối ứng các dự án</t>
  </si>
  <si>
    <t>Kinh phí khám, chữa bệnh người nghèo</t>
  </si>
  <si>
    <t xml:space="preserve">  * Đại diện đơn vị: Sở Ngoại vụ</t>
  </si>
  <si>
    <t xml:space="preserve">    - Bà: Hà Thị Mỹ Tiên</t>
  </si>
  <si>
    <t xml:space="preserve">    - Bà: Lê Thị Kim Ngân</t>
  </si>
  <si>
    <t xml:space="preserve">    - Bà: Thái Thị Thu Thủy</t>
  </si>
  <si>
    <t>Chi hoạt động theo định mức của 16 biên chế (22 trđ/biên chế)</t>
  </si>
  <si>
    <t>Họp mặt kiều bào</t>
  </si>
  <si>
    <t>Chi phí dự hội thảo, hội nghị Hà Nội và các tỉnh</t>
  </si>
  <si>
    <t>Chi phí ngoại giao với Đại sứ quán, Tổng Lãnh sự quán, vận động các tổ chức phi chính phủ, kỷ niệm các ngày lễ lớn, giao tiếp trong nước, giao tiếp đoàn khác</t>
  </si>
  <si>
    <t>Bồi dưỡng kiến thức ngoại giao</t>
  </si>
  <si>
    <t>Kinh phí tổ biên, phiên dịch</t>
  </si>
  <si>
    <t>Kinh phí đối ngoại, đoàn ra, đoàn vào (thẩm định sau)</t>
  </si>
  <si>
    <t xml:space="preserve">    - Bà: Nguyễn Thị Thu Hương</t>
  </si>
  <si>
    <t xml:space="preserve">  * Đại diện đơn vị: Sở Nội vụ</t>
  </si>
  <si>
    <t xml:space="preserve">    - Ông: Lê Phong Vinh</t>
  </si>
  <si>
    <t xml:space="preserve">    - Bà: Dương Thị Mỹ Duyên</t>
  </si>
  <si>
    <t xml:space="preserve">    - Bà: Trần Thị Thu Thảo</t>
  </si>
  <si>
    <t>Vệ sinh kho và vệ sinh tài liệu</t>
  </si>
  <si>
    <t>Chi phí điện, bảo trì máy lạnh, thiết bị</t>
  </si>
  <si>
    <t>Chi phí thăm hỏi cán bộ lãnh đạo của tỉnh đã nghỉ hưu</t>
  </si>
  <si>
    <t>Thuê bao đường truyền hệ thống mạng quản lý hồ sơ CBCC, quản lý đào tạo, bồi dưỡng CBCC</t>
  </si>
  <si>
    <t>Chính trị phí</t>
  </si>
  <si>
    <t xml:space="preserve">    - Bà: Phạm Thị Bích Thuận</t>
  </si>
  <si>
    <t xml:space="preserve">    - Ông: Trần Quốc Tuấn</t>
  </si>
  <si>
    <t>Thi đua, khen thưởng ngành giáo dục</t>
  </si>
  <si>
    <t>Tổ chức LĐ tỉnh gặp gỡ đối thoại TN</t>
  </si>
  <si>
    <t>Kinh phí tổ chức thi tuyển, thi nâng ngạch công chức</t>
  </si>
  <si>
    <t>Phó Chi cục trưởng CC. VTLT</t>
  </si>
  <si>
    <t xml:space="preserve">    - Bà: Nguyễn Thị Cẩm Giang</t>
  </si>
  <si>
    <t>PTP. Nghiệp vụ BTG</t>
  </si>
  <si>
    <t>Kế toán trưởng</t>
  </si>
  <si>
    <t xml:space="preserve">  * Đại diện đơn vị: Sở Lao động, Thương binh và Xã hội</t>
  </si>
  <si>
    <t>Trường TCN-GDTX Hồng Ngự</t>
  </si>
  <si>
    <t xml:space="preserve">    - Bà: Lê Thị Hoa Nàng</t>
  </si>
  <si>
    <t xml:space="preserve">    - Bà: Nguyễn Thị Kim Phượng </t>
  </si>
  <si>
    <t xml:space="preserve">    - Ông: Nguyễn Phú Hào </t>
  </si>
  <si>
    <t>TP. QL ĐT nghề</t>
  </si>
  <si>
    <t xml:space="preserve">    - Bà: Châu Thị Liêu</t>
  </si>
  <si>
    <t>PTP. QL ĐT nghề</t>
  </si>
  <si>
    <t xml:space="preserve">    - Ông: Phạm Văn Nhặng </t>
  </si>
  <si>
    <t>HT Trường TCN-GDTX Hồng Ngự</t>
  </si>
  <si>
    <t xml:space="preserve">    - Bà: Lê Thị Thanh Lan</t>
  </si>
  <si>
    <t>HT Trường TC Thanh Bình</t>
  </si>
  <si>
    <t>HT Trường TCN-GDTX Tháp Mười</t>
  </si>
  <si>
    <t>SN GIÁO DỤC, ĐT&amp;DN</t>
  </si>
  <si>
    <t>Kinh phí thường xuyên</t>
  </si>
  <si>
    <t>Kinh phí không thường xuyên</t>
  </si>
  <si>
    <t>QUẢN LÝ HÀNH CHÍNH</t>
  </si>
  <si>
    <t>Trường TC Thanh Bình</t>
  </si>
  <si>
    <t>Trường TCN-GDTX Tháp Mười</t>
  </si>
  <si>
    <t>Chi hoạt động theo định mức của 53 biên chế (19 trđ/biên chế)</t>
  </si>
  <si>
    <t xml:space="preserve">    - Ông: Nguyễn Nhật Trung</t>
  </si>
  <si>
    <t xml:space="preserve">    - Ông: Trần Thanh Hiền</t>
  </si>
  <si>
    <t xml:space="preserve">    - Ông: Lê Minh Tuấn</t>
  </si>
  <si>
    <t xml:space="preserve">    - Ông: Phan Văn Hồng</t>
  </si>
  <si>
    <t>a/ Tổng quỹ lương của 53 biên chế</t>
  </si>
  <si>
    <t>Kinh phí xử phạt theo TT 153</t>
  </si>
  <si>
    <t>TỔNG CỘNG (A+B+C+D)</t>
  </si>
  <si>
    <t xml:space="preserve">  * Đại diện đơn vị: Sở Khoa học và Công nghệ</t>
  </si>
  <si>
    <t xml:space="preserve">    - Bà: Nguyễn Hoàng Mỹ Yến</t>
  </si>
  <si>
    <t>Kinh phí xử phạt VPHC theo TT 153</t>
  </si>
  <si>
    <t>TỔNG CỘNG (A+B)</t>
  </si>
  <si>
    <t xml:space="preserve">    - Ông: Ngô Bá Khởi</t>
  </si>
  <si>
    <t xml:space="preserve">    - Bà: Trương Thị Anh Thư</t>
  </si>
  <si>
    <t xml:space="preserve">    - Bà: Nguyễn Ngọc Hân</t>
  </si>
  <si>
    <t xml:space="preserve">    - Bà: Nguyễn Thị Thúy Hằng</t>
  </si>
  <si>
    <t xml:space="preserve">    - Ông: Lê Tiến Huy</t>
  </si>
  <si>
    <t xml:space="preserve">    - Ông: Võ Hồng Vân</t>
  </si>
  <si>
    <t>Chi Cục trưởng CC TCĐLCL</t>
  </si>
  <si>
    <t>QUẢN LÝ HÀNH CHÍNH (I+II)</t>
  </si>
  <si>
    <t xml:space="preserve">  * Đại diện đơn vị: Văn phòng Sở Tài chính</t>
  </si>
  <si>
    <t xml:space="preserve">    - Bà: Trương Thị Thủy</t>
  </si>
  <si>
    <t xml:space="preserve">    - Ông: Lê Kháng</t>
  </si>
  <si>
    <t>Phó Chánh Văn phòng</t>
  </si>
  <si>
    <t>Chi phí công tác của tổ xác định giá đất và hội đồng thẩm định giá, kiểm tra liên ngành về giá, thuê dịch vụ thẩm định giá đất</t>
  </si>
  <si>
    <t>SỰ NGHIỆP KINH TẾ</t>
  </si>
  <si>
    <t>SN GIÁO DỤC - ĐT&amp;DN</t>
  </si>
  <si>
    <t>Đào tạo, bồi dưỡng CBCC</t>
  </si>
  <si>
    <t xml:space="preserve">  * Đại diện đơn vị: Trung tâm Xúc tiến, Thương mại, DL&amp;ĐT</t>
  </si>
  <si>
    <t xml:space="preserve">    - Ông: Lê Văn Út Em</t>
  </si>
  <si>
    <t xml:space="preserve">    - Ông: Nguyễn Xuân Vĩnh</t>
  </si>
  <si>
    <t>TP. TC-HC</t>
  </si>
  <si>
    <t xml:space="preserve">    - Ông: Nguyễn Quốc Hùng</t>
  </si>
  <si>
    <t>Khu du lịch Tràm Chim</t>
  </si>
  <si>
    <t>Bồi dưỡng kế toán cho công chức xã</t>
  </si>
  <si>
    <t>Chi phí công tác, làm thêm ngoài giờ</t>
  </si>
  <si>
    <t>Chi các hoạt động xúc tiến thương mại du lịch và đầu tư</t>
  </si>
  <si>
    <t>Mua sắm</t>
  </si>
  <si>
    <t xml:space="preserve">    - Ông: Võ Tiến Thành</t>
  </si>
  <si>
    <t xml:space="preserve">    - Bà: Võ Thị Tuyết Nhung</t>
  </si>
  <si>
    <t xml:space="preserve">    - Ông: Lê Hoàng Long</t>
  </si>
  <si>
    <t>GĐ Khu DL Tràm Chim</t>
  </si>
  <si>
    <t xml:space="preserve">    - Bà: Võ Thị Cẩm Tú</t>
  </si>
  <si>
    <t>Hỗ trợ Khu du lịch Tràm Chim mua sắm, sửa chữa tài sản</t>
  </si>
  <si>
    <t xml:space="preserve">  * Đại diện đơn vị: Sở Giáo dục và Đào tạo</t>
  </si>
  <si>
    <t>Công tác đột xuất, giao tiếp</t>
  </si>
  <si>
    <t xml:space="preserve">    - Ông: Trần Thanh Liêm</t>
  </si>
  <si>
    <t xml:space="preserve"> - Học phí</t>
  </si>
  <si>
    <t xml:space="preserve">    - Bà: Nguyễn Thị Ngọc Giàu</t>
  </si>
  <si>
    <t>TP KHTC</t>
  </si>
  <si>
    <t>Phó TP KHTC</t>
  </si>
  <si>
    <t xml:space="preserve"> - Thu 2 buổi/ngày</t>
  </si>
  <si>
    <t xml:space="preserve">  * Đại diện đơn vị: Trường Chính trị</t>
  </si>
  <si>
    <t xml:space="preserve">    - Ông: Huỳnh Văn Hiền</t>
  </si>
  <si>
    <t>Phó TP TCHC-QT</t>
  </si>
  <si>
    <t xml:space="preserve">    - Bà: Lưu Thị Kim Khắc</t>
  </si>
  <si>
    <t>Hiệu trưởng</t>
  </si>
  <si>
    <t xml:space="preserve">    - Ông: Nguyễn Văn Cả</t>
  </si>
  <si>
    <t xml:space="preserve">    - Ông: Nguyễn Phước Dũng</t>
  </si>
  <si>
    <t>Chi phí thù lao giảng viên kiêm chức</t>
  </si>
  <si>
    <t xml:space="preserve">    - Bà: Bùi Thị Thanh Nhàn</t>
  </si>
  <si>
    <t xml:space="preserve">  * Đại diện đơn vị: Sở Nông nghiệp và Phát triển nông thôn</t>
  </si>
  <si>
    <t>SỰ NGHIỆP MÔI TRƯỜNG</t>
  </si>
  <si>
    <t>Kinh phí đối ứng Dự án VnSat, Đề án tái cơ cấu ngành nông nghiệp</t>
  </si>
  <si>
    <t>D</t>
  </si>
  <si>
    <t xml:space="preserve">    - Ông: Nguyễn Văn Năm</t>
  </si>
  <si>
    <t>Chánh VP</t>
  </si>
  <si>
    <t xml:space="preserve">    - Bà: Trần Thị Thu Ngọc</t>
  </si>
  <si>
    <t xml:space="preserve">  * Đại diện đơn vị: Sở Giao thông Vận tải</t>
  </si>
  <si>
    <t xml:space="preserve">    - Bà: Nguyễn Thị Thúy Mỹ</t>
  </si>
  <si>
    <t>Kinh phí miễn, giảm học phí</t>
  </si>
  <si>
    <t xml:space="preserve">Kinh phí không thường xuyên </t>
  </si>
  <si>
    <t>Trang phục</t>
  </si>
  <si>
    <t>Mua xe mô tô phục vụ công tác</t>
  </si>
  <si>
    <t>Cảng vụ Đường thủy nội địa (1+2)</t>
  </si>
  <si>
    <t>Ban An toàn giao thông (1+2)</t>
  </si>
  <si>
    <t>Chi hoạt động theo định mức của 10 biên chế (22 trđ/biên chế)</t>
  </si>
  <si>
    <t>Nhuận bút, thù lao ban biên tập</t>
  </si>
  <si>
    <t>Kinh phí thực hiện công tác an toàn giao thông</t>
  </si>
  <si>
    <t xml:space="preserve"> + ATGT cấp huyện</t>
  </si>
  <si>
    <t xml:space="preserve"> + ATGT cấp xã</t>
  </si>
  <si>
    <t xml:space="preserve"> + Chi bồi dưỡng Ban chỉ đạo ATGT, đơn vị phối hợp</t>
  </si>
  <si>
    <t xml:space="preserve"> + Ban An toàn giao thông tỉnh</t>
  </si>
  <si>
    <t>Sự nghiệp giao thông</t>
  </si>
  <si>
    <t>Mua sắm tài sản</t>
  </si>
  <si>
    <t xml:space="preserve">    - Ông: Cổ Hoàng Phúc</t>
  </si>
  <si>
    <t xml:space="preserve">    - Bà: Phan Thị Nên</t>
  </si>
  <si>
    <t>Phó HT Trường TCN GTVT</t>
  </si>
  <si>
    <t xml:space="preserve">    - Ông: Nguyễn Phước Thiện</t>
  </si>
  <si>
    <t>Chánh VP Ban ATGT</t>
  </si>
  <si>
    <t xml:space="preserve">    - Bà: Trần Thị Phương Khanh</t>
  </si>
  <si>
    <t>Phà Đồng Tháp</t>
  </si>
  <si>
    <t>SỰ NGHIỆP KINH TẾ (I+II+III+IV)</t>
  </si>
  <si>
    <t xml:space="preserve">  * Đại diện đơn vị: Hội Cựu chiến binh</t>
  </si>
  <si>
    <t xml:space="preserve">  * Đại diện đơn vị: Mặt trận Tổ quốc</t>
  </si>
  <si>
    <t xml:space="preserve">    - Bà: Hứa Thị Đẹp</t>
  </si>
  <si>
    <t>Khen thưởng phong trào cơ sở</t>
  </si>
  <si>
    <t xml:space="preserve">    - Ông: Nguyễn Văn Thuận</t>
  </si>
  <si>
    <t>Kinh phí xây dựng cốt cán phong trào trong Tôn giáo</t>
  </si>
  <si>
    <t>Đề án đổi mới công tác thông tin, tuyên truyền của mặt trận</t>
  </si>
  <si>
    <t>Tuyên truyền xây dựng đường biên giới hòa bình hữu nghị VN-CPC</t>
  </si>
  <si>
    <t>Chương trình phối hợp thực hiện tổ chức phong trào toàn dân tham gia thực hiện chủ quyền lãnh thổ an ninh BG QG trong tình hình mới (giữa UBMTTQ tỉnh với BCH BĐBP tinh)</t>
  </si>
  <si>
    <t>Công tác dân tộc</t>
  </si>
  <si>
    <t>Hoạt động của Hội đồng tư vấn</t>
  </si>
  <si>
    <t>HĐ</t>
  </si>
  <si>
    <t>BIÊN BẢN GHI NHẬN SỐ LIỆU DỰ TOÁN NSNN NĂM 2019 
VÀ GIAI ĐOẠN 03 NĂM 2019-2021</t>
  </si>
  <si>
    <t>Cùng ghi nhận số liệu dự toán NSNN năm 2019 và giai đoạn 03 năm 2019-2021 cụ thể như sau:</t>
  </si>
  <si>
    <t>Dự toán NSNN năm 2021</t>
  </si>
  <si>
    <t>Phụ cấp</t>
  </si>
  <si>
    <t>Các khoản ĐG 22,5%</t>
  </si>
  <si>
    <t>Biên chế có mặt</t>
  </si>
  <si>
    <t>Ngân sách giữ lại 10% tiết kiệm chi thường xuyên để thực hiện CCTL</t>
  </si>
  <si>
    <t>05/9/2018</t>
  </si>
  <si>
    <t>VP Ủy ban nhân dân tỉnh</t>
  </si>
  <si>
    <t>biên chế chưa có mặt: 48 trđ</t>
  </si>
  <si>
    <t>Hoạt động theo định mức (19 trđ/biên chế)</t>
  </si>
  <si>
    <t xml:space="preserve"> - Tổng thu từ hoạt động quảng cáo</t>
  </si>
  <si>
    <t>Sự nghiệp đào tạo</t>
  </si>
  <si>
    <t>Mua sắm thiết bị (01 máy chiếu, 02 Switch 8 port 1G, 01 ổ cứng di động 3TB, 01 ổ cứng, 02 thẻ nhớ máy chụp ảnh, 03 máy lạnh, 02 máy vi tính, 01 TB đo sét, 01 bình chữa cháy, 01 máy in mạng, 01 hệ thống camera quan sát, 01 TB lưu trữ mạng NAS, 01 tay cầm chống rung dùng quay livestream trên ĐTDĐ, thiết kế giao diện mới của Cổng Thông tin điện tử tỉnh</t>
  </si>
  <si>
    <t xml:space="preserve"> - Số thu sau khi trừ chi phí và nộp thuế</t>
  </si>
  <si>
    <t xml:space="preserve">    - Ông: Nguyễn Trần Trung</t>
  </si>
  <si>
    <t>Trung tâm Hỗ trợ Doanh nghiệp và Khởi nghiệp</t>
  </si>
  <si>
    <t>Sở Kế hoạch và Đầu tư</t>
  </si>
  <si>
    <t>Năm 2018</t>
  </si>
  <si>
    <t>Thiếu kp đi HN tiếp Ttra Bộ KHĐT, kiểm toán chuyên ngành 4</t>
  </si>
  <si>
    <t>Năm 2019</t>
  </si>
  <si>
    <t xml:space="preserve">    - Bà: Nguyễn Bích Ngọc</t>
  </si>
  <si>
    <t>VĂN PHÒNG SỞ</t>
  </si>
  <si>
    <t>Duy trì ISO</t>
  </si>
  <si>
    <t>TRUNG TÂM HỖ TRỢ DOANH NGHIỆP VÀ KHỞI NGHIỆP</t>
  </si>
  <si>
    <t>Mua 15 bộ bàn ghế làm việc</t>
  </si>
  <si>
    <t>Chi phí thuê tổ chức hội nghị trực tuyến với Bộ KHĐT</t>
  </si>
  <si>
    <t>Kinh phí hoạt động</t>
  </si>
  <si>
    <t>Đại hội nhiệm kỳ LHCTCHN, ĐH hữu nghị Việt - Nhật</t>
  </si>
  <si>
    <t>Kỷ niệm 60 năm QK Cuba, kỷ niệm 40 năm chiến thắng Ponpot, họp mặt 230 năm QK Pháp, họp mặt các TC PCP NN, họp mặt 40 năm QK Trung Quốc</t>
  </si>
  <si>
    <t>Máy in</t>
  </si>
  <si>
    <t>Máy tính</t>
  </si>
  <si>
    <t>Mua 02 máy in, 01 máy vi tính</t>
  </si>
  <si>
    <t>Biên bản kết thúc lúc 14 giờ 30' cùng ngày, tất cả cùng thống nhất ký tên./.</t>
  </si>
  <si>
    <t>Tổng hợp kp sửa chữa sử dụng nguồn ĐT</t>
  </si>
  <si>
    <t>Trưởng Ban Tôn giáo</t>
  </si>
  <si>
    <t xml:space="preserve">    - Ông: Châu Văn Tài</t>
  </si>
  <si>
    <t>Sở Nội vụ</t>
  </si>
  <si>
    <t>Trước mắt cân đối DT đc giao, cuối năm có vb cụ thể (mua thùng HS, VPP, ĐA số hóa)</t>
  </si>
  <si>
    <t>Trung tâm Lưu trữ lịch sử</t>
  </si>
  <si>
    <t>GĐ Trung tâm LTLS</t>
  </si>
  <si>
    <t>Mua 25 kệ hồ sơ, 03 máy lạnh phòng làm việc, 07 máy vi tính</t>
  </si>
  <si>
    <t>Kệ HS</t>
  </si>
  <si>
    <t>Máy lạnh 1,5</t>
  </si>
  <si>
    <t>Kinh phí thực hiện nhiệm vụ cải cách hành chính, bao gồm kinh phí nâng cấp phần mềm</t>
  </si>
  <si>
    <t>Kinh phí nghỉ việc theo NĐ 46</t>
  </si>
  <si>
    <t>Tổ chức các lớp BD nghiệp vụ tôn giáo và công tác tôn giáo cho CBCC</t>
  </si>
  <si>
    <t>Tổ chức 7 lớp tuyên truyền PBCSPL cho các chức sắc, tôn giáo (theo KH của UBND tỉnh)</t>
  </si>
  <si>
    <t>Kinh phí soạn thảo văn bản QPPL</t>
  </si>
  <si>
    <t>Biên bản kết thúc lúc 17 giờ 45' cùng ngày, tất cả cùng thống nhất ký tên./.</t>
  </si>
  <si>
    <t>Mua sắm (02 máy scan 50trđ, 01 máy chiếu 32trđ, 08 bộ bàn làm việc 40trđ, 01 bộ bàn tiếp CD 25trđ, 02 bộ bàn tiếp khách 20trđ, 18 máy tính 270trđ, 07 máy in 70trđ, 04 máy lạnh 72trđ, 04 tủ HS 20trđ)</t>
  </si>
  <si>
    <t>-</t>
  </si>
  <si>
    <t>Chi cục Giám định xây dựng</t>
  </si>
  <si>
    <t>Tập huấn nâng cao chất lượng công trình và triển khai các văn bản hướng dẫn trong xây dựng</t>
  </si>
  <si>
    <t>Chương trình VSATLĐ</t>
  </si>
  <si>
    <t>Công tác xử phạt VPHC theo TT153</t>
  </si>
  <si>
    <t xml:space="preserve">    - Bà: Tô Thị Bích Chi</t>
  </si>
  <si>
    <t xml:space="preserve">    - Bà: Nguyễn Lê Phương Loan</t>
  </si>
  <si>
    <t xml:space="preserve">  * Đại diện đơn vị: Sở Xây dựng</t>
  </si>
  <si>
    <t>Chuyên viên P. QLG&amp;CS</t>
  </si>
  <si>
    <t>Chi phí thuê xe đi công tác</t>
  </si>
  <si>
    <t>Sửa chữa trụ sở</t>
  </si>
  <si>
    <t>Kinh phí thực hiện KH nâng cao năng lực hoạt động XD trên địa bàn tỉnh gđ 2018-2020 (KH 149/KH-UBND ngày 12/6/2018)</t>
  </si>
  <si>
    <t>Mua sắm (04 máy vi tính, 04 máy lạnh, 01 bộ bàn ghế làm việc, 01 bộ bàn ghế tiếp khách, 01 bộ bàn ghế hội trường)</t>
  </si>
  <si>
    <t>Đề án chuẩn hóa cao độ xây dựng đô thị trên địa bàn tỉnh</t>
  </si>
  <si>
    <t>Đề án phát triển gạch không nung</t>
  </si>
  <si>
    <t>Đề án bảo trì công trình dân dụng đang sử dụng thuộc sở hữu nhà nước trên địa bàn tỉnh Đồng Tháp</t>
  </si>
  <si>
    <t>a/ Chi quản lý hành chính</t>
  </si>
  <si>
    <t>b/ Sự nghiệp đào tạo</t>
  </si>
  <si>
    <t>c/ Sự nghiệp kinh tế</t>
  </si>
  <si>
    <t>Kinh phí cấp lại phục vụ công tác thu lệ phí cấp giấy phép hoạt động xây dựng (tạm ghi)</t>
  </si>
  <si>
    <t>Chi hoạt động theo định mức của 06 biên chế (19 trđ/biên chế)</t>
  </si>
  <si>
    <t>Mua 01 máy vi tính, 01 máy in, 01 bộ bàn ghế làm việc</t>
  </si>
  <si>
    <t>Bàn ghế làm việc</t>
  </si>
  <si>
    <t>Bàn ghế tiếp khách</t>
  </si>
  <si>
    <t>TH b/c chưa có mặt và kp đã bố trí báo cáo</t>
  </si>
  <si>
    <t>Mua 02 máy vi tính, 01 máy in</t>
  </si>
  <si>
    <t>Thuê xe đi công tác</t>
  </si>
  <si>
    <t>Biên bản kết thúc lúc 10 giờ 00' cùng ngày, tất cả cùng thống nhất ký tên./.</t>
  </si>
  <si>
    <t>Hôm nay, vào lúc 13 giờ 30' phút ngày 06 tháng 9 năm 2018, tại Sở Tài chính tiến hành trao đổi số liệu dự toán NSNN giai đoạn 03 năm 2019-2021.</t>
  </si>
  <si>
    <t>06/9/2018</t>
  </si>
  <si>
    <t>Sở LĐTBXH</t>
  </si>
  <si>
    <t xml:space="preserve"> - Trường TCN GDTX Hồng Ngự</t>
  </si>
  <si>
    <t xml:space="preserve">    - Bà: Bùi Thị Phương</t>
  </si>
  <si>
    <t>19GV nghề, 16GV dạy VH</t>
  </si>
  <si>
    <t>639HV nghề (bao gồm 10 mấy lớp GDTX)</t>
  </si>
  <si>
    <t>GDTX: 244 HV</t>
  </si>
  <si>
    <t>Từ 20HV trở lên mới xét mở lớp.</t>
  </si>
  <si>
    <t>TỔNG HỢP BIÊN CHẾ NĂM 2019</t>
  </si>
  <si>
    <t>Biên chế giao</t>
  </si>
  <si>
    <t>HĐ 68</t>
  </si>
  <si>
    <t>Số người có mặt</t>
  </si>
  <si>
    <t>Biên chế</t>
  </si>
  <si>
    <t>Số tiền</t>
  </si>
  <si>
    <t>ĐVT: trđ</t>
  </si>
  <si>
    <t>Văn phòng UBND tỉnh</t>
  </si>
  <si>
    <t>Cổng Thông tin điện tử</t>
  </si>
  <si>
    <t>Liên hiệp các Tổ chức Hữu nghị</t>
  </si>
  <si>
    <t>VP Sở Nội vụ</t>
  </si>
  <si>
    <t>Số người chưa có mặt đã bố trí</t>
  </si>
  <si>
    <t>Phần KPĐT thiếu năm 2018, SỞ LĐ kiểm tra lại có vb gửi xử lý sau</t>
  </si>
  <si>
    <t>Dự toán thu phí, lệ phí, thu khác</t>
  </si>
  <si>
    <t xml:space="preserve"> - Quỹ lương</t>
  </si>
  <si>
    <t xml:space="preserve"> - Hoạt động</t>
  </si>
  <si>
    <t xml:space="preserve"> - 10% tiết kiệm chi thường xuyên để thực hiện cải cách tiền lương</t>
  </si>
  <si>
    <t>a/ Quỹ lương, dự kiến nâng lương và hoạt động của 41 b/c có mặt</t>
  </si>
  <si>
    <t>Kinh phí thường xuyên (a+b-c)</t>
  </si>
  <si>
    <t>Chi phí thỉnh giảng, dạy vượt giờ</t>
  </si>
  <si>
    <t>a/ Quỹ lương, dự kiến nâng lương và hoạt động của 22 b/c có mặt</t>
  </si>
  <si>
    <t>Thuê thiết bị đào tạo</t>
  </si>
  <si>
    <t>a/ Quỹ lương, dự kiến nâng lương và hoạt động của 39 b/c có mặt</t>
  </si>
  <si>
    <t xml:space="preserve">    - Ông: Huỳnh Quang Thái</t>
  </si>
  <si>
    <t>Mua 15 máy vi tính</t>
  </si>
  <si>
    <t>Kinh phí sự nghiệp tại Sở</t>
  </si>
  <si>
    <r>
      <t xml:space="preserve">Đảm bảo xã hội </t>
    </r>
    <r>
      <rPr>
        <sz val="14"/>
        <rFont val="Times New Roman"/>
        <family val="1"/>
      </rPr>
      <t>(bao gồm CTr việc làm, hỗ trợ vay vốn làm việc NN …)</t>
    </r>
  </si>
  <si>
    <t>Mua 02 máy vi tính, tivi hiển thị lịch công tác, máy scan, máy in</t>
  </si>
  <si>
    <t>Sửa hàng rào, đường dal</t>
  </si>
  <si>
    <t>Bao gồm đào tạo nghề theo địa chỉ, đào tạo nghề NT, miễn giảm học phí, hỗ trợ chi phí học tập, trợ cấp XH, tổ chức hội thi, hội giảng, kiểm định chất lượng GDNN, bồi dưỡng giáo viên, dự giờ, đánh giá chất lượng đào tạo xây dựng chương trình giáo trình, mua sắm thang thiết bị dạy nghề cho các trường...</t>
  </si>
  <si>
    <t>Tổng dự toán chi NSNN năm 2019, số tiền bằng chữ: Một trăm hai mươi mốt tỷ một trăm bốn mươi ba triệu đồng.</t>
  </si>
  <si>
    <t xml:space="preserve">    - Bà: Phạm Thị Thúy Trinh</t>
  </si>
  <si>
    <t>Kinh phí nghỉ dưỡng tham quan của hội viên</t>
  </si>
  <si>
    <t xml:space="preserve">Tổ chức ĐH PT thi đua CCB gương mẫu 2014-2019; KN 30 năm TL Hội CCB VN và họp mặt 30 năm TL Hội </t>
  </si>
  <si>
    <t>Mua 03 máy vi tính, 01 máy scan</t>
  </si>
  <si>
    <t xml:space="preserve">    - Ông: Võ Hoàng Cương</t>
  </si>
  <si>
    <t xml:space="preserve">    - Bà: Hồ Kim Liên</t>
  </si>
  <si>
    <t>Khen thưởng công tác mặt trận cơ sở</t>
  </si>
  <si>
    <t>Đề án xây dựng tuyên truyền phổ biến GD pháp luật</t>
  </si>
  <si>
    <t>Chi tiếp xúc cử tri</t>
  </si>
  <si>
    <t>Hoạt động UB Đoàn kết Công giáo</t>
  </si>
  <si>
    <t>Tổ chức ĐH nhiệm kỳ 2019-2024 và ĐB dự ĐH cấp trên</t>
  </si>
  <si>
    <t>Giám sát, phản biện; góp ý xây dựng Đảng, xây dựng chính quyền theo QĐ 217, 218 của BCT</t>
  </si>
  <si>
    <t>Chi phí vận động quỹ vì người nghèo, an sinh xã hội</t>
  </si>
  <si>
    <t>Sinh hoạt phí đối với Ủy viên Ủy ban Mặt trận tổ quốc không hưởng lương</t>
  </si>
  <si>
    <t>Ban Chỉ đạo người VN ưu tiên dùng hàng VN</t>
  </si>
  <si>
    <t>UBMTTQ</t>
  </si>
  <si>
    <t>Năm 2019 đăng ký tự chủ</t>
  </si>
  <si>
    <t>Liên hoan ý tưởng sáng tạo trẻ</t>
  </si>
  <si>
    <t>HT Olympic Ánh sáng soi đường</t>
  </si>
  <si>
    <t>LH thiếu nhi nghèo vượt khó và KN 78 năm TL Đội TNTP</t>
  </si>
  <si>
    <t>HN tổng kết CTr phối hợp với Champasak Lào</t>
  </si>
  <si>
    <t>HN tổng kết CTr phối hợp với Salavan Lào</t>
  </si>
  <si>
    <t>Tuyên dương SV 5 tốt, HS 3 rèn luyện; HS 3 tốt, GV trẻ tiêu biểu</t>
  </si>
  <si>
    <t>HT tuyên truyền viên trẻ</t>
  </si>
  <si>
    <t>Hành trình hướng về biển đảo</t>
  </si>
  <si>
    <t>Giải thưởng Trần Thị Thu và họp mặt Cựu CB Đoàn qua các TK</t>
  </si>
  <si>
    <t>Mua 02 máy vi tính</t>
  </si>
  <si>
    <t>Họp mặt trí thức đầu năm, tôn vinh trí thức tiêu biểu</t>
  </si>
  <si>
    <t xml:space="preserve">    - Bà: Thái Thị Thanh Thảo</t>
  </si>
  <si>
    <t>Hỗ trợ thành lập mới 10 HTX (25trđ/HTX); bồi dưỡng; tổ chức 03 lớp bồi dưỡng 03 chức danh GĐ, KS, KT; tập huấn 04 lớp Luật HTX; tổ chức 10 lớp tuyên truyền vận động thành lập mới HTX</t>
  </si>
  <si>
    <t xml:space="preserve">    - Ông: Lê Quang Trí</t>
  </si>
  <si>
    <t xml:space="preserve"> - Tổng số thu sự nghiệp</t>
  </si>
  <si>
    <t xml:space="preserve"> - Tổng chi từ nguồn thu</t>
  </si>
  <si>
    <t xml:space="preserve"> - Tổng số thu sau khi trừ chi phí</t>
  </si>
  <si>
    <t xml:space="preserve">    - Ông: Nguyễn Thanh Tuấn</t>
  </si>
  <si>
    <t>Phó GĐ Trung tâm CNTT</t>
  </si>
  <si>
    <t xml:space="preserve"> =&gt; NSNN hỗ trợ tiền lương của 22 biên chế (3-2)</t>
  </si>
  <si>
    <t xml:space="preserve"> - Trang bị máy tính phục vụ thiết kế đồ họa</t>
  </si>
  <si>
    <t xml:space="preserve"> - Duy trì hệ thống chống sét</t>
  </si>
  <si>
    <t xml:space="preserve"> - Chi phí phục vụ HNTT</t>
  </si>
  <si>
    <t xml:space="preserve"> - Thuê đường truyền cho HT HN truyền hình và thuê bao mạng WAN tại TTTHDL</t>
  </si>
  <si>
    <t xml:space="preserve"> - Nâng cấp, bổ sung TB lưu trữ SAN (Mudule, licensen SAN: 8TB)</t>
  </si>
  <si>
    <t xml:space="preserve"> - Chỉnh sửa, nâng cấp trang TT phiên bản 9.0 (chưa có chủ trương)</t>
  </si>
  <si>
    <t xml:space="preserve"> - XD trang TTĐT dự phát sinh trong năm 2019 (phát sinh tính sau)</t>
  </si>
  <si>
    <t xml:space="preserve"> - Duy trì hệ thống Eoffice (đơn vị XD mức thu dịch vụ để thu chi phí)</t>
  </si>
  <si>
    <t xml:space="preserve"> - Mở rộng hệ thống HNTH (chưa có chủ trương)</t>
  </si>
  <si>
    <t xml:space="preserve"> - Hỗ trợ xử lý sự số máy tính và ứng dụng phần mềm dùng chung (Eoffice, một cửa điện tử, ...)</t>
  </si>
  <si>
    <t xml:space="preserve"> - Dịch vụ bảo trì hệ thống SAN</t>
  </si>
  <si>
    <t xml:space="preserve"> - Tổng số thu phí, lệ phí</t>
  </si>
  <si>
    <t xml:space="preserve"> - Duy trì ISO</t>
  </si>
  <si>
    <t xml:space="preserve"> - Dự hội nghị cấp trên, giao tiếp</t>
  </si>
  <si>
    <t xml:space="preserve"> - Ban chỉ đạo CNTT, BCĐ đối ngoại</t>
  </si>
  <si>
    <t xml:space="preserve"> - Tổ chức hội thi UPU (chi từ hđ)</t>
  </si>
  <si>
    <t xml:space="preserve"> - Phối hợp với báo chí ngoài tỉnh quản bá hình ảnh ĐT</t>
  </si>
  <si>
    <t xml:space="preserve"> - Hợp tác sản xuất chương trình quảng bá hình ảnh ĐT trên VTV4 và thông tin, tuyên truyền trên các phương tiện thông tin đại chúng khác (theo ĐA tạo dựng hình ảnh ĐT gđ 2016-2020)</t>
  </si>
  <si>
    <t xml:space="preserve"> - Hỗ trợ DN đăng ký chữ ký số</t>
  </si>
  <si>
    <t xml:space="preserve"> - Vận hành hoạt động màn hình, bảng điện tử</t>
  </si>
  <si>
    <t>HN sơ kết giữa nhiệm kỳ</t>
  </si>
  <si>
    <t>HN sơ kết các mô hình (ngày 3 sạch; tạo nghề, giới thiệu việc làm cho HV PN; CVĐ XDGĐ 5K3S)</t>
  </si>
  <si>
    <t>Sự nghiệp phát thanh truyền hình</t>
  </si>
  <si>
    <t>Dự hội nghị cấp trên, thuê máy photo</t>
  </si>
  <si>
    <t>Tọa đàm "phát huy vai trò PN trong ĐA TCCNN" (gom về Sở NN&amp;PTNT)</t>
  </si>
  <si>
    <t>Tư vấn trực tiếp kiến thức tiền hôn nhân cho HSSV theo KH 172; Đối thoại chính sách PL về PCBLGĐ, HN&amp;GĐ;  HT gia đình yêu thương</t>
  </si>
  <si>
    <t>Tọa đàm "PN và nam giới trong XD GĐHP" ngày 08/3</t>
  </si>
  <si>
    <t xml:space="preserve">Đề án 938 </t>
  </si>
  <si>
    <t>Đề án 939</t>
  </si>
  <si>
    <t>Biên bản kết thúc lúc 15 giờ 00' cùng ngày, tất cả cùng thống nhất ký tên./.</t>
  </si>
  <si>
    <t>Tổ chức ngày hội PN "sáng tạo KN, dân vận khéo" nhân KN 89 năm TL</t>
  </si>
  <si>
    <t>Mua 03 máy vi tính (15 trđ/máy), 03 máy lạnh (18trđ/máy), âm thanh HT</t>
  </si>
  <si>
    <t>Hỗ trợ tiền khám sức khỏe cho ĐB</t>
  </si>
  <si>
    <t>Họp liên tịch</t>
  </si>
  <si>
    <t>Tham vấn trước kỳ họp</t>
  </si>
  <si>
    <t>Biên bản kết thúc lúc 16 giờ 00' cùng ngày, tất cả cùng thống nhất ký tên./.</t>
  </si>
  <si>
    <t>Công tác chỉnh lý xác định lại giá trị tài liệu lưu trữ trong kho chuyên dụng (thẩm định lại theo thực tế)</t>
  </si>
  <si>
    <t xml:space="preserve">    - Bà: Nguyễn Thị Ánh Sương</t>
  </si>
  <si>
    <t>Chi thường xuyên (1+2)</t>
  </si>
  <si>
    <t xml:space="preserve"> - Thu phí, lệ phí</t>
  </si>
  <si>
    <t xml:space="preserve"> - Số thu nộp ngân sách</t>
  </si>
  <si>
    <t xml:space="preserve"> - Số thu phí, lệ phí được để lại</t>
  </si>
  <si>
    <t xml:space="preserve"> - Biên chế</t>
  </si>
  <si>
    <t xml:space="preserve"> - LĐHĐ theo NĐ 68</t>
  </si>
  <si>
    <t>SỰ NGHIỆP VĂN HÓA</t>
  </si>
  <si>
    <t>Chi thường xuyên (a+b-c)</t>
  </si>
  <si>
    <t>Biên bản kết thúc lúc 11 giờ 30' cùng ngày, tất cả cùng thống nhất ký tên./.</t>
  </si>
  <si>
    <t>QUẢN LÝ NHÀ NƯỚC</t>
  </si>
  <si>
    <t xml:space="preserve"> - Tổng số thu nộp NSNN, đơn vị phối hợp</t>
  </si>
  <si>
    <t xml:space="preserve"> - Tổng số thu được để lại</t>
  </si>
  <si>
    <t xml:space="preserve">    - Bà: Đoàn Thị Nhung</t>
  </si>
  <si>
    <t xml:space="preserve">    - Bà: Huỳnh Thị Thùy Trang</t>
  </si>
  <si>
    <t xml:space="preserve"> - Tổng số thu phí</t>
  </si>
  <si>
    <t xml:space="preserve"> - Sửa chữa xe ô tô</t>
  </si>
  <si>
    <t>Phó TP. KH-TC</t>
  </si>
  <si>
    <t xml:space="preserve"> - Mua máy chủ</t>
  </si>
  <si>
    <t>SỰ NGHIỆP Y TẾ</t>
  </si>
  <si>
    <t>Kinh phí phòng chống dịch và y tế dự phòng</t>
  </si>
  <si>
    <t>Kinh phí mua sắm, sửa chữa của ngành</t>
  </si>
  <si>
    <t>Trung tâm tuyến tính</t>
  </si>
  <si>
    <t xml:space="preserve"> •  Trung tâm Kiểm nghiệm</t>
  </si>
  <si>
    <t xml:space="preserve"> • Trung tâm Giám định Y khoa</t>
  </si>
  <si>
    <t xml:space="preserve"> • Trung tâm Pháp y</t>
  </si>
  <si>
    <t xml:space="preserve"> • Trung tâm Kiểm soát bệnh tật</t>
  </si>
  <si>
    <t>Kinh phí tự chủ của các bệnh viện tỉnh</t>
  </si>
  <si>
    <t>Kinh phí tự chủ của các Trung tâm Y tế tuyến huyện</t>
  </si>
  <si>
    <t>Mua sắm, sửa chữa toàn ngành</t>
  </si>
  <si>
    <t>Biên bản kết thúc lúc 17 giờ 00' cùng ngày, tất cả cùng thống nhất ký tên./.</t>
  </si>
  <si>
    <t xml:space="preserve">    - Ông: Võ Minh Tâm</t>
  </si>
  <si>
    <t xml:space="preserve">    - Bà: Nguyễn Thị Hoàng Phượng</t>
  </si>
  <si>
    <t xml:space="preserve">    - Ông: Phạm Việt Thắng</t>
  </si>
  <si>
    <t xml:space="preserve">    - Ông: Hồ Thiện Phước</t>
  </si>
  <si>
    <t>Chi cục Quản lý đất đai</t>
  </si>
  <si>
    <t>Công tác định giá đất cụ thể</t>
  </si>
  <si>
    <t>Văn phòng Đăng ký đất đai</t>
  </si>
  <si>
    <t xml:space="preserve">    - Bà: Huỳnh Thị Cẩm Nhung</t>
  </si>
  <si>
    <t>TP Kế hoạch - Tài chính</t>
  </si>
  <si>
    <t xml:space="preserve">    - Ông: Phạm Văn Tâm</t>
  </si>
  <si>
    <t xml:space="preserve"> - Tổng số nộp NSNN</t>
  </si>
  <si>
    <t>Chi phí Hội đồng thẩm định báo cáo kết quả thăm dò khoáng sản và Hội đồng thẩm định đề án đóng cửa mỏ khoáng sản</t>
  </si>
  <si>
    <t>Mua sắm (03 máy vi tính 45 trđ; 01 ổn áp 70 trđ; 02 máy in A3 60 trđ; 02 máy định vị 30 trđ; 01 máy đo độ sâu 15 trđ; 01 kệ hồ sơ 05 trđ)</t>
  </si>
  <si>
    <t>Xây dựng bảng giá các loại đất trên địa bàn tỉnh (2020-2024)</t>
  </si>
  <si>
    <t>Sở Tài nguyên và Môi trường giao nhiệm vụ các đơn vị, gồm:</t>
  </si>
  <si>
    <t>Công tác QLNN về MT của Chi cục Bảo vệ Môi trường. Ngoài ra, đơn vị cân đối thêm từ nguồn thu phí được để lại năm 2019 và số dư năm trước chuyển sang để thực hiện</t>
  </si>
  <si>
    <t>Kinh phí quan trắc môi trường</t>
  </si>
  <si>
    <t>Các dự án môi trường:</t>
  </si>
  <si>
    <t>Tiêu hủy, xử lý bao gói thuốc BVTV sau sử dụng trên địa bàn tỉnh</t>
  </si>
  <si>
    <t>ĐA bảo vệ nước dưới đất tại TPCL và cải tạo, nâng cấp 04 trạm quan trắc nước dưới đất trên địa bàn tỉnh</t>
  </si>
  <si>
    <t>DA xây dựng hệ thống tiếp nhận, tích hợp và công bố dữ liệu quan trắc MT tỉnh ĐT</t>
  </si>
  <si>
    <t>DA đánh giá khả năng tiếp nhận nước thải, sức chịu tải của nguồn nước sông, hồ (2019-2020)</t>
  </si>
  <si>
    <t xml:space="preserve"> * Phần mua sắm của Trung tâm Quan trắc sử dụng từ quỹ PTSN và nguồn CCTL của đơn vị để thực hiện</t>
  </si>
  <si>
    <t>Cải tạo, nâng cấp và mở rộng xử lý cải thiện MT bãi rác thải sinh hoạt TX Hồng Ngự</t>
  </si>
  <si>
    <t>Cải tạo, nâng cấp, XD và xử lý cải thiện MT, điện 3 pha bãi rác xã Tân Phú - TB</t>
  </si>
  <si>
    <t xml:space="preserve">  * Đại diện đơn vị: Ban Quản lý Khu Kinh tế</t>
  </si>
  <si>
    <t xml:space="preserve">    - Bà: Đặng Thị Kim Chi</t>
  </si>
  <si>
    <r>
      <t xml:space="preserve">Chi hoạt động theo định mức của </t>
    </r>
    <r>
      <rPr>
        <sz val="14"/>
        <color rgb="FFFF0000"/>
        <rFont val="Times New Roman"/>
        <family val="1"/>
      </rPr>
      <t>24</t>
    </r>
    <r>
      <rPr>
        <sz val="14"/>
        <color rgb="FF000000"/>
        <rFont val="Times New Roman"/>
        <family val="1"/>
      </rPr>
      <t xml:space="preserve"> biên chế (21 trđ/biên chế)</t>
    </r>
  </si>
  <si>
    <t>Mua 04 máy vi tính, 02 máy in, 02 tủ hồ sơ</t>
  </si>
  <si>
    <t>Cải tạo trụ sở làm việc của Văn phòng Sở, Ban Tôn giáo, Ban Thi đua Khen thưởng</t>
  </si>
  <si>
    <t>Khen thưởng phong trào nông dân</t>
  </si>
  <si>
    <t xml:space="preserve">  * Đại diện đơn vị: Trường Cao đẳng Y tế</t>
  </si>
  <si>
    <t xml:space="preserve">    - Ông: Nguyễn Công Cừu</t>
  </si>
  <si>
    <t xml:space="preserve">    - Bà: Trương Lệ Hằng</t>
  </si>
  <si>
    <t>Các lớp năm trước chuyển sang</t>
  </si>
  <si>
    <t>MGHP theo Nghị định 86/2015</t>
  </si>
  <si>
    <t xml:space="preserve">  * Đại diện đơn vị: Trường Cao đẳng Cộng đồng</t>
  </si>
  <si>
    <t>Kinh phí đặt hàng đào tạo (hệ Trung cấp)</t>
  </si>
  <si>
    <t>Trợ cấp xã hội HSSV</t>
  </si>
  <si>
    <t xml:space="preserve">  * Đại diện đơn vị: Vườn Quốc gia Tràm Chim</t>
  </si>
  <si>
    <t xml:space="preserve">    - Ông: Trần Ngọc Khanh</t>
  </si>
  <si>
    <t xml:space="preserve">    - Bà: Nguyễn Ngọc Nữ</t>
  </si>
  <si>
    <t>Phó giám đốc TTBT&amp;PTSV</t>
  </si>
  <si>
    <t xml:space="preserve">    - Bà: Phan Thị Chúc Linh</t>
  </si>
  <si>
    <t>Kế toán TTBT&amp;PTSV</t>
  </si>
  <si>
    <t xml:space="preserve">  * Đại diện đơn vị: Thanh tra tỉnh</t>
  </si>
  <si>
    <t xml:space="preserve">    - Ông: Trần Hoàng Anh Tuấn</t>
  </si>
  <si>
    <t xml:space="preserve">    - Bà: Lê Thị Thùy Dung</t>
  </si>
  <si>
    <t>Tiếp công dân</t>
  </si>
  <si>
    <t>Công tác đột xuất (thanh tra ngoài kế hoạch các huyện, giải quyết khiếu nại tố cáo, các tổ công tác, tiếp thanh tra chính phủ,…)</t>
  </si>
  <si>
    <t xml:space="preserve">    - Bà: Huỳnh Thị Mỹ Dung </t>
  </si>
  <si>
    <t>Phó TP Tài chính - HCSN</t>
  </si>
  <si>
    <t xml:space="preserve"> - Tổng số thu học phí</t>
  </si>
  <si>
    <t xml:space="preserve"> - Tổng số thu khác</t>
  </si>
  <si>
    <t>Nguồn thu dự kiến</t>
  </si>
  <si>
    <t>Trợ cấp xã hội</t>
  </si>
  <si>
    <t>Biên bản kết thúc lúc 8 giờ 30 phút cùng ngày, tất cả cùng thống nhất ký tên./.</t>
  </si>
  <si>
    <t xml:space="preserve">    - Bà: Nguyễn Thúy Hà</t>
  </si>
  <si>
    <t xml:space="preserve">    - Bà: Nguyễn Ngọc Thảo</t>
  </si>
  <si>
    <t>Học viên</t>
  </si>
  <si>
    <t>Cơ sở tính</t>
  </si>
  <si>
    <t>Định mức (trđ)</t>
  </si>
  <si>
    <t>CĐ Kế toán khóa 15 (2017)</t>
  </si>
  <si>
    <t>CĐ Kế toán khóa 16 (2018)</t>
  </si>
  <si>
    <t>CĐ QTKD K8 (2017)</t>
  </si>
  <si>
    <t>CĐ QTKD K9 (2018)</t>
  </si>
  <si>
    <t>Cao đẳng BVTV K9 (2017)</t>
  </si>
  <si>
    <t>Cao đẳng BVTV K10 (2018)</t>
  </si>
  <si>
    <t>Cao đẳng Nuôi trồng TS K14 (2017)</t>
  </si>
  <si>
    <t>Cao đẳng Nuôi trồng TS K15 (2018)</t>
  </si>
  <si>
    <t>Cao đẳng DVTY K11 (2017)</t>
  </si>
  <si>
    <t>Cao đẳng DVTY K 12 (2018)</t>
  </si>
  <si>
    <t>Cao đẳng KH Cây trồng K1 (2017)</t>
  </si>
  <si>
    <t>Cao đẳng KH Cây trồng K2 (2018)</t>
  </si>
  <si>
    <t>Cao đẳng Chăn nuôi - K1 (2017)</t>
  </si>
  <si>
    <t>Cao đẳng CNTP K16 (2017)</t>
  </si>
  <si>
    <t>Cao đẳng CNTP K17 (2018)</t>
  </si>
  <si>
    <t>Cao đẳng tin CNTT K14 (2017)</t>
  </si>
  <si>
    <t>Cao đẳng tin CNTT K15 (2018)</t>
  </si>
  <si>
    <t>Các lớp khai giảng năm 2018</t>
  </si>
  <si>
    <t>Cao đẳng Kế toán K17 (2019)</t>
  </si>
  <si>
    <t>Cao đẳng Quản trị KD K10 (2019)</t>
  </si>
  <si>
    <t>Cao đẳng BVTV K11 (2019)</t>
  </si>
  <si>
    <t>Cao đẳng Nuôi trồng TS K16 (2019)</t>
  </si>
  <si>
    <t>Cao đẳng DVTY K13 (2019)</t>
  </si>
  <si>
    <t>Cao đẳng KH cây trồng K3 (2019)</t>
  </si>
  <si>
    <t>Cao đẳng CN thực phẩm K18 (2019)</t>
  </si>
  <si>
    <t>Cao đẳng tin CNTT -K16 (2019)</t>
  </si>
  <si>
    <t>TC BVTV K6 (2017)</t>
  </si>
  <si>
    <t>TC BVTV K7 (2018)</t>
  </si>
  <si>
    <t>TC CNTY K5 (2017)</t>
  </si>
  <si>
    <t>TC VTLT (2018)</t>
  </si>
  <si>
    <t>TC CNTP K1 (2017)</t>
  </si>
  <si>
    <t>Biên bản kết thúc lúc 10 giờ 30 phút cùng ngày, tất cả cùng thống nhất ký tên./.</t>
  </si>
  <si>
    <t>Các lớp Cao đẳng CNTY K2 (2019); CĐ quản trị bán hàng; CĐ KD thương mại; CĐ Phòng và chữa bệnh thủy sản (tạm ghi)</t>
  </si>
  <si>
    <r>
      <t xml:space="preserve">Chi hoạt động theo định mức của </t>
    </r>
    <r>
      <rPr>
        <sz val="14"/>
        <color rgb="FFFF0000"/>
        <rFont val="Times New Roman"/>
        <family val="1"/>
      </rPr>
      <t>42</t>
    </r>
    <r>
      <rPr>
        <sz val="14"/>
        <color rgb="FF000000"/>
        <rFont val="Times New Roman"/>
        <family val="1"/>
      </rPr>
      <t xml:space="preserve"> biên chế (20 trđ/biên chế)</t>
    </r>
  </si>
  <si>
    <t>Chuyên viên QLG-CS</t>
  </si>
  <si>
    <t xml:space="preserve">    - Ông: Nguyễn Văn Lâm</t>
  </si>
  <si>
    <t xml:space="preserve">    - Bà: Hà Thị Út</t>
  </si>
  <si>
    <t xml:space="preserve">    - Ông: Đoàn Văn Nhanh</t>
  </si>
  <si>
    <t xml:space="preserve"> - Nguồn thu sau khi trừ chi phí</t>
  </si>
  <si>
    <t xml:space="preserve">  + Thu DV MT rừng (trực tiếp thu 1%)</t>
  </si>
  <si>
    <t xml:space="preserve">  + Thu DV MT rừng (thu gián tiếp từ BQL)</t>
  </si>
  <si>
    <t>Tiền lương và dự kiến nâng lương của HĐ bảo vệ rừng</t>
  </si>
  <si>
    <t>Cước phí internet hệ thống camera quan sát của 11 trạm bảo vệ rừng</t>
  </si>
  <si>
    <t>Đồng phục, trang phục</t>
  </si>
  <si>
    <t>Tuần tra bảo vệ và phòng cháy, chữa cháy rừng</t>
  </si>
  <si>
    <t xml:space="preserve">  + 03 Motor bơm nước + ống dẫn nước tại trạm Phú Đức 1, C4, A5</t>
  </si>
  <si>
    <t xml:space="preserve">  + 03 bồn nước inox (phục vụ bộ độ sinh hoạt PCCR)</t>
  </si>
  <si>
    <t xml:space="preserve">  + 03 bộ tắc ráng composit 7m + máy chạy tắc ráng 6,5 HP: 01 bộ (Trạm phú đức, Phú Thành B, Phú Thọ Cà Dâm)- HKL</t>
  </si>
  <si>
    <t xml:space="preserve">  + 04 Camera quan sát bảo vệ và PCCCR</t>
  </si>
  <si>
    <t xml:space="preserve">  + 02 ống nhòm đo khoảng cách</t>
  </si>
  <si>
    <t xml:space="preserve">  + 02 giường ngủ, thước đo độ cao</t>
  </si>
  <si>
    <t>Tiền điện ánh sáng 21 trạm bảo vệ</t>
  </si>
  <si>
    <t>* Nguồn thu dự kiến</t>
  </si>
  <si>
    <t xml:space="preserve"> + 01 giường</t>
  </si>
  <si>
    <t xml:space="preserve"> + 01 bộ bồn chứa nước 1000 lít</t>
  </si>
  <si>
    <t xml:space="preserve"> + 01 tủ hồ sơ</t>
  </si>
  <si>
    <t xml:space="preserve"> + 01 ống kính TAMRON SP 150-600 mm F/5-6.3 DI VC USD G2</t>
  </si>
  <si>
    <t xml:space="preserve"> +  Đường dây điện và trụ điện từ trụ điện đến Trại thực nghiệm:
 + Đường dây: (250m x 52.000đ/m)13trđ
 + Trụ điện: (05 cây x 6trđ/cây)</t>
  </si>
  <si>
    <t>Công tác phối hợp xử lý vi phạm</t>
  </si>
  <si>
    <t>Đào tạo tiếng Khmer và hỗ trợ sinh hoạt phí cho 12 học viên tại ĐH Hoàng gia Phnompenh – Campuchia</t>
  </si>
  <si>
    <t>Kinh phí văn bản thỏa thuận, điều ước quốc tế</t>
  </si>
  <si>
    <t>Mua 02 tủ hồ sơ (10 trđ), 01 bộ máy chiếu (30 trđ), làm bảng tên, cờ để bàn các nước</t>
  </si>
  <si>
    <t>Quản lý nhà nước</t>
  </si>
  <si>
    <t xml:space="preserve">    - Ông: Phạm Văn Phong</t>
  </si>
  <si>
    <t xml:space="preserve">    - Ông: Nguyễn Hải Thanh</t>
  </si>
  <si>
    <t xml:space="preserve">    - Ông: Nguyễn Văn Trung</t>
  </si>
  <si>
    <t>Phó GĐ Trung tâm Trợ giúp PL</t>
  </si>
  <si>
    <t>Chi bồi dưỡng CTV thực hiện vụ việc đại diện, tham gia tố tụng</t>
  </si>
  <si>
    <t>Chi thực hiện chính sách TGPL các xã biên giới (KH 30)</t>
  </si>
  <si>
    <t>Mua 08 bộ bàn ghế làm việc, 03 tủ hồ sơ: 55 trđ; 01 máy scan 20 trđ</t>
  </si>
  <si>
    <t>Sửa chữa trụ sở xét xử để di dời</t>
  </si>
  <si>
    <t>Chi hoạt động theo định mức (20 trđ/biên chế)</t>
  </si>
  <si>
    <t xml:space="preserve"> - </t>
  </si>
  <si>
    <t>Mua 02 máy vi tính 30 trđ, 01 máy scan 20 trđ, 01 bộ tích điện 27 trđ</t>
  </si>
  <si>
    <t xml:space="preserve"> - Tổng số thu được để lại (sử dụng 40% để CCTL, phần 60% còn lại bổ sung hoạt động)</t>
  </si>
  <si>
    <t>Bồi dưỡng, kiểm tra, khảo sát, khen thưởng cho Hội đồng phối hợp liên ngành TGPL</t>
  </si>
  <si>
    <t>Mua 20 ghế phòng họp</t>
  </si>
  <si>
    <t>Tổ chức hội nghị sơ kết giữa nhiệm kỳ</t>
  </si>
  <si>
    <t>Hỗ trợ lập quy hoạch chi tiết cụm công nghiệp, liên doanh, liên kết, hợp tác kinh tế, phát triển cụm công nghiệp và di dời gây ô nhiễm môi trường</t>
  </si>
  <si>
    <t>NQ166</t>
  </si>
  <si>
    <t>Mua sắm sử dụng từ nguồn quỹ phát triển sự nghiệp của đơn vị</t>
  </si>
  <si>
    <t>Chương trình nâng cao năng lực quản lý (hội nghị, hội thảo, đào tạo, tập huấn)</t>
  </si>
  <si>
    <t>Chương trình phát triển hoạt động tư vấn cung cấp thông tin</t>
  </si>
  <si>
    <t xml:space="preserve"> - Tổng số thu nộp NSNN</t>
  </si>
  <si>
    <t>Sửa chữa nhà kho và trụ sở 100 trđ, mua tài sản khác 150 trđ sử dụng từ nguồn phí, lệ phí được để lại</t>
  </si>
  <si>
    <t>Mua sắm (05 máy vi tính, 01 máy scan, 01 máy in)</t>
  </si>
  <si>
    <t>Kinh phí an toàn vệ sinh lao động và AT điện</t>
  </si>
  <si>
    <t>Hội thảo WTO</t>
  </si>
  <si>
    <t xml:space="preserve"> - Kinh phí phát triển ngành cơ khí giai đoạn 2018-2020 (KH 328/KH-UBND ngày 22/12/2017)</t>
  </si>
  <si>
    <t xml:space="preserve"> - Kinh phí phát triển năng suất LĐ các ngành công nghiệp chủ lực (KH 268/KH-UBND ngày 18/10/2017)</t>
  </si>
  <si>
    <t>Hôm nay, vào lúc 13 giờ 30' phút ngày 17 tháng 9 năm 2018, tại Sở Tài chính tiến hành trao đổi số liệu dự toán NSNN giai đoạn 03 năm 2019-2021.</t>
  </si>
  <si>
    <r>
      <t xml:space="preserve">a/ Tổng quỹ lương của </t>
    </r>
    <r>
      <rPr>
        <sz val="14"/>
        <color rgb="FFFF0000"/>
        <rFont val="Times New Roman"/>
        <family val="1"/>
      </rPr>
      <t>24</t>
    </r>
    <r>
      <rPr>
        <sz val="14"/>
        <rFont val="Times New Roman"/>
        <family val="1"/>
      </rPr>
      <t xml:space="preserve"> biên chế</t>
    </r>
  </si>
  <si>
    <t>Quỹ lương và hoạt động của biên chế chưa có mặt</t>
  </si>
  <si>
    <t xml:space="preserve">  + Hoạt động của 08 biên chế chưa có mặt (sau khi trừ 10% tiết kiệm để thực hiện CCTL)</t>
  </si>
  <si>
    <r>
      <t xml:space="preserve">Chi hoạt động theo định mức của </t>
    </r>
    <r>
      <rPr>
        <sz val="14"/>
        <color rgb="FFFF0000"/>
        <rFont val="Times New Roman"/>
        <family val="1"/>
      </rPr>
      <t>24</t>
    </r>
    <r>
      <rPr>
        <sz val="14"/>
        <rFont val="Times New Roman"/>
        <family val="1"/>
      </rPr>
      <t xml:space="preserve"> biên chế (</t>
    </r>
    <r>
      <rPr>
        <sz val="14"/>
        <color rgb="FFFF0000"/>
        <rFont val="Times New Roman"/>
        <family val="1"/>
      </rPr>
      <t>20</t>
    </r>
    <r>
      <rPr>
        <sz val="14"/>
        <rFont val="Times New Roman"/>
        <family val="1"/>
      </rPr>
      <t xml:space="preserve"> trđ/biên chế)</t>
    </r>
  </si>
  <si>
    <r>
      <t xml:space="preserve">b/ Tổng quỹ lương của </t>
    </r>
    <r>
      <rPr>
        <sz val="14"/>
        <color rgb="FFFF0000"/>
        <rFont val="Times New Roman"/>
        <family val="1"/>
      </rPr>
      <t>05</t>
    </r>
    <r>
      <rPr>
        <sz val="14"/>
        <rFont val="Times New Roman"/>
        <family val="1"/>
      </rPr>
      <t xml:space="preserve"> lao động HĐ theo NĐ 68</t>
    </r>
  </si>
  <si>
    <t xml:space="preserve">  + Tiền lương 08 biên chế</t>
  </si>
  <si>
    <t>Tổng dự toán chi NSNN năm 2019, số tiền bằng chữ: Mười một tỷ bốn trăm ba mươi tám triệu đồng.</t>
  </si>
  <si>
    <t>Biên bản kết thúc lúc 14 giờ 20' cùng ngày, tất cả cùng thống nhất ký tên./.</t>
  </si>
  <si>
    <t>Quỹ lương và hoạt động của 11 b/c chưa có mặt</t>
  </si>
  <si>
    <t xml:space="preserve"> - Hoạt động (sau khi trừ 10% tiết kiệm để thực hiện CCTL)</t>
  </si>
  <si>
    <t>Chi hoạt động theo định mức của 63 biên chế (20 trđ/biên chế)</t>
  </si>
  <si>
    <t xml:space="preserve">    - Ông: Ngô Quốc Ân</t>
  </si>
  <si>
    <t>Nâng tầng trụ sở cơ quan</t>
  </si>
  <si>
    <t>Sửa chữa xe ô tô, hàng rào cơ quan và tài sản</t>
  </si>
  <si>
    <t>Thuê bao đường truyền Tabmis (tỉnh và huyện)</t>
  </si>
  <si>
    <t>Chi làm thêm ngoài giờ phục vụ công tác kiểm toán, thanh tra, dự toán NSNN, …</t>
  </si>
  <si>
    <t>VĂN PHÒNG SỞ (I+II)</t>
  </si>
  <si>
    <t>TRUNG TÂM DỊCH VỤ
TÀI CHÍNH</t>
  </si>
  <si>
    <t>Kế toán Trung tâm DV Tài chính</t>
  </si>
  <si>
    <t xml:space="preserve">    - Bà: Phan Thị Thúy Hồng</t>
  </si>
  <si>
    <t>Kinh phí soạn thảo văn bản quy phạm pháp luật</t>
  </si>
  <si>
    <t xml:space="preserve"> - Tổng số thu phí, lệ phí sau khi trừ chi phí</t>
  </si>
  <si>
    <t xml:space="preserve"> - Tổng số thu</t>
  </si>
  <si>
    <t xml:space="preserve">  + Thu vé vào cổng tham quan</t>
  </si>
  <si>
    <t xml:space="preserve"> - Tổng số nộp ngân sách nhà nước, chi trả nhà đầu tư</t>
  </si>
  <si>
    <t xml:space="preserve">    - Bà: Lý Thị Bích Thùy</t>
  </si>
  <si>
    <t xml:space="preserve">  + Sửa chữa nhà chiếu phim</t>
  </si>
  <si>
    <t xml:space="preserve">  + Sửa chữa nhà trưng bày trứng chim và các nước ngọt</t>
  </si>
  <si>
    <t xml:space="preserve"> </t>
  </si>
  <si>
    <t>Biên bản kết thúc lúc 17 giờ 30' cùng ngày, tất cả cùng thống nhất ký tên./.</t>
  </si>
  <si>
    <t xml:space="preserve">Sửa chữa hội trường phục vụ khách tham quan </t>
  </si>
  <si>
    <t>Dọn vệ sinh, PCCC rừng khu vực 2 phục vụ khách tham quan</t>
  </si>
  <si>
    <t>Xây mới văn phòng làm việc</t>
  </si>
  <si>
    <t>Đơn vị sử dụng nguồn thu để vệ sinh rừng phục vụ công tác PCCCR, xây dựng tiểu cảnh, cải tạo bộ sưu tập hoa súng (02 hồ)</t>
  </si>
  <si>
    <t xml:space="preserve">  + Thu dịch vụ giải trí, trải nghiệm, phương tiện, nhà nghỉ, khác</t>
  </si>
  <si>
    <t>Sự nghiệp khoa học</t>
  </si>
  <si>
    <t>CHI CỤC TIÊU CHUẨN ĐLCL</t>
  </si>
  <si>
    <t>Chi phí di dời, sơn lại trụ sở</t>
  </si>
  <si>
    <t>Mua 01 máy vi tính</t>
  </si>
  <si>
    <t>Sửa chữa xe ô tô và máy lạnh</t>
  </si>
  <si>
    <t>Trang phục ngành 03 người</t>
  </si>
  <si>
    <t>Kinh phí thực hiện đề tài, dự án, hoạt động KHCN</t>
  </si>
  <si>
    <t>Biên bản kết thúc lúc 09 giờ 45' cùng ngày, tất cả cùng thống nhất ký tên./.</t>
  </si>
  <si>
    <t xml:space="preserve">  * Đại diện đơn vị: Trường Cao đẳng Nghề</t>
  </si>
  <si>
    <t xml:space="preserve">    - Ông: Lê Minh Hoàng</t>
  </si>
  <si>
    <t xml:space="preserve">    - Ông: Phạm Minh Tân</t>
  </si>
  <si>
    <t>Tổng số thu học phí chính quy</t>
  </si>
  <si>
    <t>Thu khác: thu nội trú, căn tin, nhà xe,..</t>
  </si>
  <si>
    <t>40% nguồn thu để làm CCTL (HP chính quy, nguồn liên kết)</t>
  </si>
  <si>
    <t>Hôm nay, vào lúc 13 giờ 30' ngày 18 tháng 9 năm 2018, tại Sở Tài chính tiến hành trao đổi số liệu dự toán NSNN giai đoạn 03 năm 2019-2021.</t>
  </si>
  <si>
    <t>DỰ TOÁN THU PHÍ, LỆ PHÍ, THU KHÁC …</t>
  </si>
  <si>
    <t>Số học viên</t>
  </si>
  <si>
    <t>Định mức đào tạo</t>
  </si>
  <si>
    <t>Hệ CĐ khóa 16 (2016-2019)</t>
  </si>
  <si>
    <t>Hệ TC khóa 16 (2016-2019)</t>
  </si>
  <si>
    <t>Hệ CĐ khóa 17 (2017-2020)</t>
  </si>
  <si>
    <t>Hệ CĐ khóa 18 (2018-2021)</t>
  </si>
  <si>
    <t>Kinh phí đặt hàng đào tạo</t>
  </si>
  <si>
    <t>Hệ CĐ khóa 19 (2019-2022)</t>
  </si>
  <si>
    <t>Hệ TC khóa 19 (2019-2022)</t>
  </si>
  <si>
    <t>Thu từ lái xe hạng A1, B2, các lớp đào
 tạo ngắn hạn, DV, CB thủy sản, các lớp liên kết, TH-NN</t>
  </si>
  <si>
    <t>Các lớp khai giảng tháng 10/2019, phân bổ theo số học viên thực tế</t>
  </si>
  <si>
    <t>Hệ TC khóa 17 (2017-2019)</t>
  </si>
  <si>
    <t>Hệ TC khóa 18(2018-2020)</t>
  </si>
  <si>
    <t>TỔNG DỰ TOÁN CHI NSNN</t>
  </si>
  <si>
    <t>Kinh phí sửa chữa nhà xưởng theo tiêu chuẩn 5S</t>
  </si>
  <si>
    <t>Kinh phí miễn giảm HP theo NĐ 86/2015 (tạm ghi)</t>
  </si>
  <si>
    <t>Sửa chữa ký túc xá</t>
  </si>
  <si>
    <t>Biên bản kết thúc lúc 14 giờ 45' cùng ngày, tất cả cùng thống nhất ký tên./.</t>
  </si>
  <si>
    <t>Tổng dự toán chi NSNN năm 2019, số tiền bằng chữ: Mười lăm tỷ chín trăm năm mươi triệu đồng.</t>
  </si>
  <si>
    <t xml:space="preserve">    - Ông: Nguyễn Văn Định</t>
  </si>
  <si>
    <t>Phó Hiệu trưởng</t>
  </si>
  <si>
    <t xml:space="preserve"> - Thu các lớp học</t>
  </si>
  <si>
    <t xml:space="preserve"> - Thu DV: nhà xe, sân tennis, nhà ăn, căn tin, khu TDTT, KTX, khác</t>
  </si>
  <si>
    <t xml:space="preserve"> - Nguồn thu DV sau khi nộp thuế</t>
  </si>
  <si>
    <t>Sửa 02 xe ô tô và tài sản</t>
  </si>
  <si>
    <t xml:space="preserve"> - Thu phí thẩm tra thiết kế CTXD</t>
  </si>
  <si>
    <t xml:space="preserve"> - Nguồn thu sau khi nộp thuế</t>
  </si>
  <si>
    <t>Huấn luyện pháo phòng không</t>
  </si>
  <si>
    <t>Công tác thanh tra chuyên ngành</t>
  </si>
  <si>
    <t>Hoạt động BCĐ PCTT</t>
  </si>
  <si>
    <t>Mua sắm (gồm: 04 máy vi tính 60 trđ, 04 máy in 40 trđ, 01 máy scan 20 trđ, 02 tủ hồ sơ 10 trđ, 06 bộ bàn ghế làm việc 30 trđ, 01 tủ lạnh bảo quản mẫu thanh tra 10 trđ)</t>
  </si>
  <si>
    <t>Sửa xe ô tô và tài sản</t>
  </si>
  <si>
    <t xml:space="preserve">    - Bà: Đào Ngọc Đẹp</t>
  </si>
  <si>
    <t>Chi cục Phát triển nông thôn</t>
  </si>
  <si>
    <t xml:space="preserve"> - Công tác thanh tra chuyên ngành</t>
  </si>
  <si>
    <t xml:space="preserve"> - Trồng cây ngày 19/5</t>
  </si>
  <si>
    <t xml:space="preserve"> - Trực PCCC</t>
  </si>
  <si>
    <t xml:space="preserve"> - Công tác tuyên truyền, huấn luyện nghiệp vụ PCCC rừng, diễn tập chữa cháy rừng (theo QĐ 1231/QĐ-UBND.HC ngày 30/10/2015)</t>
  </si>
  <si>
    <t xml:space="preserve"> - Trang phục kiểm lâm (bao gồm Hạt Kiểm lâm)</t>
  </si>
  <si>
    <t xml:space="preserve"> - Mua sắm tài sản: 04 bộ bàn ghế làm việc và 02 tủ đựng hồ sơ</t>
  </si>
  <si>
    <t xml:space="preserve"> - Quản lý kiểm soát các loài động vật hoang dã</t>
  </si>
  <si>
    <t>Chi cục Thủy lợi</t>
  </si>
  <si>
    <t xml:space="preserve"> - Chi phí tiền công và hoạt động 04 trạm thủy văn</t>
  </si>
  <si>
    <t xml:space="preserve"> - Tiền công 14 trạm cảnh báo sét</t>
  </si>
  <si>
    <t xml:space="preserve"> - Chi phí hoạt động Văn phòng BCĐ Ứng phó biến đổi khí hậu - PCTT&amp;TKCN tỉnh</t>
  </si>
  <si>
    <t xml:space="preserve"> - Kinh phí đo đạc và dự báo - Đài khí tượng thủy văn</t>
  </si>
  <si>
    <t xml:space="preserve"> - Sửa chữa các trạm thủy văn</t>
  </si>
  <si>
    <t xml:space="preserve"> - Kinh phí kiểm tra, xếp loại cơ sở sản xuất, kinh doanh trên lĩnh vực nước sinh hoạt nông thôn đủ điều kiện an toàn thực phẩm</t>
  </si>
  <si>
    <t xml:space="preserve"> - Công tác quan trắc môi trường</t>
  </si>
  <si>
    <t xml:space="preserve"> - Thanh tra chuyên ngành thủy sản</t>
  </si>
  <si>
    <t xml:space="preserve"> - Trang phục thanh tra chuyên ngành</t>
  </si>
  <si>
    <t xml:space="preserve"> - Công tác tái tạo nguồn lợi thủy sản</t>
  </si>
  <si>
    <t xml:space="preserve"> - Mua 04 máy lạnh 64 trđ, 03 máy vi tính 45 trđ</t>
  </si>
  <si>
    <t xml:space="preserve"> - Công tác bẫy đèn, sửa chữa bẫy đèn (26 bẫy đèn)</t>
  </si>
  <si>
    <t xml:space="preserve"> - Công tác đột xuất</t>
  </si>
  <si>
    <t xml:space="preserve"> - Sửa chữa trụ sở</t>
  </si>
  <si>
    <t xml:space="preserve"> - Mua 02 máy vi tính, 03 máy in</t>
  </si>
  <si>
    <t xml:space="preserve"> - Sửa chữa đường điện và nhà làm việc của Trại Nghiên cứu và Thực nghiệm nông nghiệp Bình Thạnh</t>
  </si>
  <si>
    <t xml:space="preserve"> - Mua 01 máy vi tính, 01 máy in, 02 máy lạnh, 02 thiết bị PCCC</t>
  </si>
  <si>
    <t xml:space="preserve"> - Trồng rừng và chăm sóc rừng</t>
  </si>
  <si>
    <t xml:space="preserve">    - Bà: Lê Thị Hồng</t>
  </si>
  <si>
    <t>Tổng số thu học phí các lớp</t>
  </si>
  <si>
    <t>SỰ NGHIỆP GIÁO DỤC - ĐT&amp;DN (2+3)</t>
  </si>
  <si>
    <t xml:space="preserve"> - Tổng số thu phí, lệ phí được để lại</t>
  </si>
  <si>
    <t>Cấp lại kinh phí thực hiện công tác thu lệ phí cấp giấy chứng nhận an toàn kỹ thuật xe cơ giới và PTTNĐ theo TT199/2016/TT-BTC (Tổng DT thu 1.340 trđ)</t>
  </si>
  <si>
    <t>Mua sắm tài sản (02 xe mô tô, 01 máy định vị, 01 máy đo khoảng cách, 01 máy đo độ sâu, 01 máy ảnh)</t>
  </si>
  <si>
    <t>Mua sắm tài sản (01 máy in GPLX 250 trđ; 02 máy in 20 trđ; 05 máy vi tính 75 trđ; 01 máy chiếu 30 trđ)</t>
  </si>
  <si>
    <t>Cấp lại kinh phí thực hiện công tác thu lệ phí theo TT198/2016/TT-BTC (ước khoảng 65% tổng thu lệ phí)</t>
  </si>
  <si>
    <t xml:space="preserve">    - Ông: Ngô Hồng Chiều</t>
  </si>
  <si>
    <t xml:space="preserve">    - Ông: Nguyễn Văn Hòa</t>
  </si>
  <si>
    <t>TP CNTT</t>
  </si>
  <si>
    <t xml:space="preserve">    - Ông: Lương Minh Tuấn</t>
  </si>
  <si>
    <t>Mua (03 máy vi tính, 03 máy in, 02 máy scan, 02 máy lạnh)</t>
  </si>
  <si>
    <t>Sơn lại trụ sở cơ quan</t>
  </si>
  <si>
    <t>Đào tạo nguồn nhân lực nước ngoài, đào tạo văn bằng 2 GDQP&amp;AN</t>
  </si>
  <si>
    <t xml:space="preserve"> - Thu căn tin, nhà xe, khác</t>
  </si>
  <si>
    <t xml:space="preserve">    - Ông: Lê Đồng Tâm</t>
  </si>
  <si>
    <t xml:space="preserve"> - Lắp đặt panô tuyên truyền, thay áo panô tuyên truyền</t>
  </si>
  <si>
    <t>Website Bạn nhà nông</t>
  </si>
  <si>
    <t>b/ Nguồn thu năm 2019 dùng để thực hiện cải cách tiền lương</t>
  </si>
  <si>
    <t>b/ Nguồn thực hiện cải cách tiền lương</t>
  </si>
  <si>
    <t xml:space="preserve"> - 40% nguồn thu</t>
  </si>
  <si>
    <t xml:space="preserve"> - 10% tiết kiệm chi thường xuyên</t>
  </si>
  <si>
    <t>Kinh phí thường xuyên (a-b)</t>
  </si>
  <si>
    <t>Quỹ lương và hoạt động của 8 b/c chưa có mặt</t>
  </si>
  <si>
    <t>Kinh phí Đề án Phát triển du lịch</t>
  </si>
  <si>
    <t>Trang bị thiết bị sắp xếp dụng cụ các xưởng thực hành theo tiêu chuẩn 5S</t>
  </si>
  <si>
    <t>Sơn, sửa các xưởng thực hành, văn phòng làm việc và ký túc xá</t>
  </si>
  <si>
    <t xml:space="preserve"> Tổng chi phí để thực hiện hoạt động dịch vụ</t>
  </si>
  <si>
    <t xml:space="preserve"> Tổng quỹ lương của 15 biên chế</t>
  </si>
  <si>
    <t xml:space="preserve"> Nguồn thu còn lại để đảm bảo quỹ lương của 15 biên chế (1-2)</t>
  </si>
  <si>
    <t xml:space="preserve"> - Bồi dưỡng kỹ năng quản lý cho cán bộ quy hoạch Hiệu trưởng, Phó hiệu trưởng</t>
  </si>
  <si>
    <t>Tiền lương và hoạt động (sau khi trừ 10% tiết kiệm để thực hiện CCTL) của 45 biên chế chưa có mặt  thuộc các Trung tâm tuyến tỉnh</t>
  </si>
  <si>
    <t xml:space="preserve"> - Ngày hội giao lưu học sinh tiểu học</t>
  </si>
  <si>
    <t>Duự án xử lý nước thải chất thải bệnh viện ĐKĐT, BV Tâm thần và Phòng khám ĐK Lấp Vò</t>
  </si>
  <si>
    <t>Sở Công thương</t>
  </si>
  <si>
    <t>Sở Tài nguyên và Môi trường</t>
  </si>
  <si>
    <t>Sở Khoa học và Công nghệ</t>
  </si>
  <si>
    <t>Hội Nông Dân</t>
  </si>
  <si>
    <t>Tỉnh Đoàn</t>
  </si>
  <si>
    <t>Sở Giao thông vận tải</t>
  </si>
  <si>
    <t>Sở Tư pháp</t>
  </si>
  <si>
    <t>Trường Cao đẳng  Y tế</t>
  </si>
  <si>
    <t>Thanh tra tỉnh</t>
  </si>
  <si>
    <t>Vườn Quốc gia Tràm chim</t>
  </si>
  <si>
    <t>Trường Cao đẳng Cộng đồng</t>
  </si>
  <si>
    <t>Trung tâm Xúc tiến Thương mại, Du lịch và Đầu tư</t>
  </si>
  <si>
    <t>Sở Y tế</t>
  </si>
  <si>
    <t>Sở Ngoại vụ</t>
  </si>
  <si>
    <t>Sở Xây dựng</t>
  </si>
  <si>
    <t>Sở Giáo dục và Đào tạo</t>
  </si>
  <si>
    <t>Sở Tài chính</t>
  </si>
  <si>
    <t>Trường Chính trị</t>
  </si>
  <si>
    <t>Sở Nông nghiệp và Phát triển nông thôn</t>
  </si>
  <si>
    <t>Ban Quản lý Khu kinh tế</t>
  </si>
  <si>
    <t>Quỹ Bảo trì đường bộ</t>
  </si>
  <si>
    <t>Sở Tài nguyên Môi trường</t>
  </si>
  <si>
    <t>Liên minh các HTX</t>
  </si>
  <si>
    <t>Liên hiệp các Hội khoa học và kỹ thuật</t>
  </si>
  <si>
    <t>Hội Chữ thập đỏ</t>
  </si>
  <si>
    <t>Hội Nông dân</t>
  </si>
  <si>
    <t>Hội Cựu chiến binh</t>
  </si>
  <si>
    <t>Hội Liên hiệp phụ nữ</t>
  </si>
  <si>
    <t>Liên Hiệp các Tổ chức hữu nghị</t>
  </si>
  <si>
    <t>Hội Đông y</t>
  </si>
  <si>
    <t>Hội Người mù</t>
  </si>
  <si>
    <t>Hội Liên hiệp Văn học nghệ thuật</t>
  </si>
  <si>
    <t>Trung tâm tin học</t>
  </si>
  <si>
    <t>BĐD Hội Người cao tuổi</t>
  </si>
  <si>
    <t>Văn phòng BCĐ Phòng chống tham nhũng</t>
  </si>
  <si>
    <t>Uỷ ban nhân dân Tỉnh</t>
  </si>
  <si>
    <t>Mặt trận Tổ quốc</t>
  </si>
  <si>
    <t>Trung tâm xúc tiến thương mại - ĐT</t>
  </si>
  <si>
    <t>Sở Thông tin truyền thông</t>
  </si>
  <si>
    <t>Bảo hiểm xã hội</t>
  </si>
  <si>
    <t>Sở Giao thông Vận tải</t>
  </si>
  <si>
    <t>Sở Khoa học Công nghệ</t>
  </si>
  <si>
    <t>Văn phòng Tỉnh ủy</t>
  </si>
  <si>
    <t>Công an tỉnh</t>
  </si>
  <si>
    <t>BCH Quân sự tỉnh</t>
  </si>
  <si>
    <t>Liên hiệp các tổ chức Hữu nghị</t>
  </si>
  <si>
    <t>Hội Văn học nghệ thuật</t>
  </si>
  <si>
    <t>Sở Lao động, Thương binh và Xã hội</t>
  </si>
  <si>
    <t>Ủy ban Mặt trận tổ quốc tỉnh</t>
  </si>
  <si>
    <t>Liên hiệp Hội Khoa học kỹ thuật</t>
  </si>
  <si>
    <t>Liên minh Hợp tác xã</t>
  </si>
  <si>
    <t>Sở Thông tin và Truyền thông</t>
  </si>
  <si>
    <t>VP Hội đồng nhân dân tỉnh</t>
  </si>
  <si>
    <t>Sở Văn hóa, Thể thao và Du lịch</t>
  </si>
  <si>
    <t>Ngày thảo luận</t>
  </si>
  <si>
    <t>Nguồn để thực hiện CCTL</t>
  </si>
  <si>
    <t>SỰ NGHIỆP KHOA HỌC</t>
  </si>
  <si>
    <t>TỔNG CỘNG (I+II+III+IV+V)</t>
  </si>
  <si>
    <t>Trang</t>
  </si>
  <si>
    <t xml:space="preserve">     </t>
  </si>
  <si>
    <r>
      <t xml:space="preserve">Chênh lệch 3% hoạt động theo tỷ lệ </t>
    </r>
    <r>
      <rPr>
        <sz val="14"/>
        <color rgb="FFFF0000"/>
        <rFont val="Times New Roman"/>
        <family val="1"/>
      </rPr>
      <t>18</t>
    </r>
    <r>
      <rPr>
        <sz val="14"/>
        <rFont val="Times New Roman"/>
        <family val="1"/>
      </rPr>
      <t>% (70.758 trđ + 504 trđ) và tỷ lệ 15% (56.397 trđ + 406 trđ) của các trường</t>
    </r>
  </si>
  <si>
    <t>DỰ TOÁN NSNN NĂM 2020
VÀ KẾ HOẠCH TÀI CHÍNH - NSNN 03 NĂM 2020-2022</t>
  </si>
  <si>
    <t>Đơn vị: ...</t>
  </si>
  <si>
    <t>Quyết toán NSNN năm 2018</t>
  </si>
  <si>
    <t>Dự toán NSNN năm 2022</t>
  </si>
  <si>
    <t>Diễn giải</t>
  </si>
  <si>
    <t>Tổng dự toán được giao</t>
  </si>
  <si>
    <t>Ước thực hiện</t>
  </si>
  <si>
    <t>TỔNG CỘNG CHI NSNN</t>
  </si>
  <si>
    <t>DỰ TOÁN THU</t>
  </si>
  <si>
    <t>Phí, lệ phí</t>
  </si>
  <si>
    <t>Tổng thu</t>
  </si>
  <si>
    <t>Số thu nộp NSNN, chi đơn vị phối hợp theo tỷ lệ quy định (nếu có)</t>
  </si>
  <si>
    <t>Số thu được để lại</t>
  </si>
  <si>
    <t>40% nguồn thu dùng để thực hiện cải cách tiền lương</t>
  </si>
  <si>
    <t>Thu dịch vụ, khác</t>
  </si>
  <si>
    <t>40% nguồn thu dùng để thực hiện cải cách tiền lương (riêng ngành y tế 35% nguồn thu sau khi trừ các chi phí thuốc, máu, vật tư ...)</t>
  </si>
  <si>
    <t>Phần nguồn thu còn lại đảm bảo hoạt động</t>
  </si>
  <si>
    <t>DỰ TOÁN CHI NSNN (I+II)</t>
  </si>
  <si>
    <t>Tổng quỹ lương và dự kiến nâng lương định kỳ (1a+1b+1c-1d-2b)</t>
  </si>
  <si>
    <r>
      <t xml:space="preserve"> a/ Tổng quỹ lương của ...</t>
    </r>
    <r>
      <rPr>
        <sz val="14"/>
        <color rgb="FFFF0000"/>
        <rFont val="Times New Roman"/>
        <family val="1"/>
      </rPr>
      <t xml:space="preserve"> </t>
    </r>
    <r>
      <rPr>
        <sz val="14"/>
        <color rgb="FF000000"/>
        <rFont val="Times New Roman"/>
        <family val="1"/>
      </rPr>
      <t>biên chế có mặt</t>
    </r>
  </si>
  <si>
    <r>
      <t xml:space="preserve"> b/ Tổng quỹ lương của ...</t>
    </r>
    <r>
      <rPr>
        <sz val="14"/>
        <color rgb="FFFF0000"/>
        <rFont val="Times New Roman"/>
        <family val="1"/>
      </rPr>
      <t xml:space="preserve"> </t>
    </r>
    <r>
      <rPr>
        <sz val="14"/>
        <color rgb="FF000000"/>
        <rFont val="Times New Roman"/>
        <family val="1"/>
      </rPr>
      <t>biên chế chưa có mặt</t>
    </r>
  </si>
  <si>
    <t xml:space="preserve"> c/ Tổng quỹ lương của ... lao động HĐ theo NĐ 68</t>
  </si>
  <si>
    <t xml:space="preserve"> d/ Nguồn thu dùng để thực hiện CCTL</t>
  </si>
  <si>
    <t xml:space="preserve"> a/ Chi hoạt động theo định mức (...trđ/biên chế)</t>
  </si>
  <si>
    <t xml:space="preserve"> b/ 10% tiết kiệm chi thường xuyên để thực hiện CCTL</t>
  </si>
  <si>
    <t>Chi tiết từng Đề án, Kế hoạch được duyệt, các nhiệm vụ chuyên môn đặc thù của ngành/đơn vị</t>
  </si>
  <si>
    <t>Tổng dự toán chi NSNN năm 2020, số tiền bằng chữ: ... triệu đồng.</t>
  </si>
  <si>
    <t>Lập biểu</t>
  </si>
  <si>
    <t>THỦ TRƯỞNG ĐƠN VỊ</t>
  </si>
  <si>
    <t>Danh mục Biên bản thảo luận dự toán NSNN năm 2020</t>
  </si>
  <si>
    <t>Cùng ghi nhận số liệu dự toán NSNN năm 2020 và giai đoạn 03 năm 2020-2022 cụ thể như sau:</t>
  </si>
  <si>
    <t>BIÊN BẢN GHI NHẬN SỐ LIỆU DỰ TOÁN NSNN NĂM 2020 
VÀ KẾ HOẠCH TÀI CHÍNH NGÂN SÁCH 03 NĂM 2020-2022</t>
  </si>
  <si>
    <t xml:space="preserve">    - Ông: Lê Văn út Em</t>
  </si>
  <si>
    <t>Chi hoạt động theo định mức của 39 biên chế (20 trđ/biên chế)</t>
  </si>
  <si>
    <t>Tổng quỹ lương và dự kiến nâng lương định kỳ</t>
  </si>
  <si>
    <t>Chi thường xuyên (1+2-3)</t>
  </si>
  <si>
    <t xml:space="preserve"> - Tổng quỹ lương của 06 lao động HĐ theo NĐ 68</t>
  </si>
  <si>
    <t xml:space="preserve"> - Tổng quỹ lương của 05 lao động HĐ theo NĐ 68</t>
  </si>
  <si>
    <t>CHI THƯỜNG XUYÊN (1+2-3)</t>
  </si>
  <si>
    <t>Tổng quỹ lương và dự kiến nâng lương định kỳ của 21 biên chế</t>
  </si>
  <si>
    <t xml:space="preserve"> - Tổng quỹ lương của 03 lao động HĐ theo NĐ 68</t>
  </si>
  <si>
    <t>Tổng quỹ lương và dự kiến nâng lương định kỳ của 24 biên chế</t>
  </si>
  <si>
    <t>Chi hoạt động theo định mức của 24 biên chế (21 trđ/biên chế)</t>
  </si>
  <si>
    <t>Tổng quỹ lương và dự kiến nâng lương định kỳ của 13 biên chế</t>
  </si>
  <si>
    <r>
      <t xml:space="preserve">Chi hoạt động theo định mức của </t>
    </r>
    <r>
      <rPr>
        <sz val="14"/>
        <color rgb="FFFF0000"/>
        <rFont val="Times New Roman"/>
        <family val="1"/>
      </rPr>
      <t>13</t>
    </r>
    <r>
      <rPr>
        <sz val="14"/>
        <color rgb="FF000000"/>
        <rFont val="Times New Roman"/>
        <family val="1"/>
      </rPr>
      <t xml:space="preserve"> biên chế </t>
    </r>
    <r>
      <rPr>
        <sz val="14"/>
        <color rgb="FFFF0000"/>
        <rFont val="Times New Roman"/>
        <family val="1"/>
      </rPr>
      <t>22</t>
    </r>
    <r>
      <rPr>
        <sz val="14"/>
        <color rgb="FF000000"/>
        <rFont val="Times New Roman"/>
        <family val="1"/>
      </rPr>
      <t xml:space="preserve"> trđ/biên chế)</t>
    </r>
  </si>
  <si>
    <t>Chi hoạt động theo định mức của 22 biên chế (21 trđ/biên chế)</t>
  </si>
  <si>
    <r>
      <t xml:space="preserve"> - Tổng quỹ lương của </t>
    </r>
    <r>
      <rPr>
        <sz val="14"/>
        <color rgb="FFFF0000"/>
        <rFont val="Times New Roman"/>
        <family val="1"/>
      </rPr>
      <t>02</t>
    </r>
    <r>
      <rPr>
        <sz val="14"/>
        <color rgb="FF000000"/>
        <rFont val="Times New Roman"/>
        <family val="1"/>
      </rPr>
      <t xml:space="preserve"> lao động HĐ theo NĐ 68</t>
    </r>
  </si>
  <si>
    <t>Chi hoạt động theo định mức của 18 biên chế (22 trđ/biên chế)</t>
  </si>
  <si>
    <r>
      <t xml:space="preserve"> - Quỹ lương của </t>
    </r>
    <r>
      <rPr>
        <sz val="14"/>
        <color rgb="FFFF0000"/>
        <rFont val="Times New Roman"/>
        <family val="1"/>
      </rPr>
      <t>06</t>
    </r>
    <r>
      <rPr>
        <sz val="14"/>
        <color rgb="FF000000"/>
        <rFont val="Times New Roman"/>
        <family val="1"/>
      </rPr>
      <t xml:space="preserve"> lao động HĐ theo NĐ 68</t>
    </r>
  </si>
  <si>
    <t>Nguồn thực hiện cải cách tiền lương</t>
  </si>
  <si>
    <t>Tổng quỹ lương và dự kiến nâng lương định kỳ của 25 biên chế</t>
  </si>
  <si>
    <t>Chi hoạt động theo định mức của 25 biên chế (19 trđ/biên chế)</t>
  </si>
  <si>
    <t>Chi hoạt động theo định mức của 27 biên chế (21 trđ/biên chế)</t>
  </si>
  <si>
    <r>
      <t xml:space="preserve"> - Tổng quỹ lương của </t>
    </r>
    <r>
      <rPr>
        <sz val="14"/>
        <color rgb="FFFF0000"/>
        <rFont val="Times New Roman"/>
        <family val="1"/>
      </rPr>
      <t>06</t>
    </r>
    <r>
      <rPr>
        <sz val="14"/>
        <color rgb="FF000000"/>
        <rFont val="Times New Roman"/>
        <family val="1"/>
      </rPr>
      <t xml:space="preserve"> lao động HĐ theo NĐ 68</t>
    </r>
  </si>
  <si>
    <r>
      <t xml:space="preserve"> - Quỹ lương của 54</t>
    </r>
    <r>
      <rPr>
        <sz val="14"/>
        <color rgb="FFFF0000"/>
        <rFont val="Times New Roman"/>
        <family val="1"/>
      </rPr>
      <t xml:space="preserve"> </t>
    </r>
    <r>
      <rPr>
        <sz val="14"/>
        <color rgb="FF000000"/>
        <rFont val="Times New Roman"/>
        <family val="1"/>
      </rPr>
      <t>biên chế</t>
    </r>
  </si>
  <si>
    <t xml:space="preserve"> - Quỹ lương của 10 biên chế chưa có mặt</t>
  </si>
  <si>
    <t>Ước TH năm 2019</t>
  </si>
  <si>
    <t xml:space="preserve">Tổng quỹ lương và dự kiến nâng lương định kỳ </t>
  </si>
  <si>
    <t>43 trường THPT (2+3-4)</t>
  </si>
  <si>
    <t>Trường Nuôi dạy Trẻ KT (1+2-3)</t>
  </si>
  <si>
    <r>
      <t>Tổng quỹ lương của 14</t>
    </r>
    <r>
      <rPr>
        <sz val="14"/>
        <color rgb="FFFF0000"/>
        <rFont val="Times New Roman"/>
        <family val="1"/>
      </rPr>
      <t xml:space="preserve"> </t>
    </r>
    <r>
      <rPr>
        <sz val="14"/>
        <color rgb="FF000000"/>
        <rFont val="Times New Roman"/>
        <family val="1"/>
      </rPr>
      <t>biên chế</t>
    </r>
  </si>
  <si>
    <t xml:space="preserve"> - Tổng quỹ lương của 17 biên chế</t>
  </si>
  <si>
    <t xml:space="preserve"> - Tổng quỹ lương của 02 lao động HĐ theo NĐ 68</t>
  </si>
  <si>
    <t>Chi thường xuyên (1+2-3-4)</t>
  </si>
  <si>
    <t xml:space="preserve"> - Tổng quỹ lương của 16 biên chế</t>
  </si>
  <si>
    <t xml:space="preserve"> - Tổng quỹ lương của 04 lao động HĐ theo NĐ 68</t>
  </si>
  <si>
    <r>
      <t xml:space="preserve"> - Tổng quỹ lương của </t>
    </r>
    <r>
      <rPr>
        <sz val="14"/>
        <color rgb="FFFF0000"/>
        <rFont val="Times New Roman"/>
        <family val="1"/>
      </rPr>
      <t xml:space="preserve">42 </t>
    </r>
    <r>
      <rPr>
        <sz val="14"/>
        <color rgb="FF000000"/>
        <rFont val="Times New Roman"/>
        <family val="1"/>
      </rPr>
      <t>biên chế</t>
    </r>
  </si>
  <si>
    <t xml:space="preserve"> - Tổng quỹ lương của 14 biên chế</t>
  </si>
  <si>
    <t>Tổng quỹ lương và dự kiến nâng lương định kỳ của 06 biên chế</t>
  </si>
  <si>
    <r>
      <t xml:space="preserve"> - Quỹ lương của 22</t>
    </r>
    <r>
      <rPr>
        <sz val="14"/>
        <color rgb="FFFF0000"/>
        <rFont val="Times New Roman"/>
        <family val="1"/>
      </rPr>
      <t xml:space="preserve"> </t>
    </r>
    <r>
      <rPr>
        <sz val="14"/>
        <color rgb="FF000000"/>
        <rFont val="Times New Roman"/>
        <family val="1"/>
      </rPr>
      <t>biên chế có mặt</t>
    </r>
  </si>
  <si>
    <r>
      <t xml:space="preserve"> - Quỹ lương của 02</t>
    </r>
    <r>
      <rPr>
        <sz val="14"/>
        <color rgb="FFFF0000"/>
        <rFont val="Times New Roman"/>
        <family val="1"/>
      </rPr>
      <t xml:space="preserve"> </t>
    </r>
    <r>
      <rPr>
        <sz val="14"/>
        <color rgb="FF000000"/>
        <rFont val="Times New Roman"/>
        <family val="1"/>
      </rPr>
      <t>biên chế chưa có mặt</t>
    </r>
  </si>
  <si>
    <t>Tổng quỹ lương và dự kiến nâng lương định kỳ của 12 biên chế</t>
  </si>
  <si>
    <t xml:space="preserve"> - Quỹ lương 02 biên chế chưa có mặt</t>
  </si>
  <si>
    <t xml:space="preserve"> - Quỹ lương 10 biên chế có mặt</t>
  </si>
  <si>
    <t>Truyền thông môi trường</t>
  </si>
  <si>
    <t xml:space="preserve"> - Quỹ lương 21 biên chế có mặt</t>
  </si>
  <si>
    <t xml:space="preserve"> - Quỹ lương 05 biên chế chưa có mặt</t>
  </si>
  <si>
    <t>Tổng quỹ lương và dự kiến nâng lương định kỳ của 19 biên chế và 03 LĐHD theo NĐ 68</t>
  </si>
  <si>
    <r>
      <t xml:space="preserve"> - Quỹ lương của 16</t>
    </r>
    <r>
      <rPr>
        <sz val="14"/>
        <color rgb="FFFF0000"/>
        <rFont val="Times New Roman"/>
        <family val="1"/>
      </rPr>
      <t xml:space="preserve"> </t>
    </r>
    <r>
      <rPr>
        <sz val="14"/>
        <color rgb="FF000000"/>
        <rFont val="Times New Roman"/>
        <family val="1"/>
      </rPr>
      <t>biên chế có mặt</t>
    </r>
  </si>
  <si>
    <t xml:space="preserve"> - Quỹ lương của 03 biên chế chưa có mặt</t>
  </si>
  <si>
    <r>
      <t xml:space="preserve"> - Quỹ lương 08</t>
    </r>
    <r>
      <rPr>
        <sz val="14"/>
        <color rgb="FFFF0000"/>
        <rFont val="Times New Roman"/>
        <family val="1"/>
      </rPr>
      <t xml:space="preserve"> </t>
    </r>
    <r>
      <rPr>
        <sz val="14"/>
        <color rgb="FF000000"/>
        <rFont val="Times New Roman"/>
        <family val="1"/>
      </rPr>
      <t>biên chế có mặt</t>
    </r>
  </si>
  <si>
    <t xml:space="preserve">    - Ông: Trần Thanh Nam</t>
  </si>
  <si>
    <t>Hôm nay, vào lúc 07 giờ 30' phút ngày 05 tháng 9 năm 2019, tại Sở Tài chính tiến hành trao đổi số liệu dự toán NSNN năm 2020 và kế hoạch tài chính NS giai đoạn 03 năm 2020-2022.</t>
  </si>
  <si>
    <t xml:space="preserve"> - Quỹ lương của 21 lao động HĐ theo NĐ 68 có mặt</t>
  </si>
  <si>
    <t xml:space="preserve"> - Quỹ lương của 05 lao động HĐ theo NĐ 68 chưa có mặt</t>
  </si>
  <si>
    <t>Tổng quỹ lương và dự kiến nâng lương định kỳ của số biên chế và LĐHĐ theo NĐ 68 được giao</t>
  </si>
  <si>
    <t>VĂN PHÒNG UBND TỈNH (I+II)</t>
  </si>
  <si>
    <t>Chi hỗ trợ CBCC làm công tác tiếp dân; hỗ trợ các CBCC các sở, ban, ngành tiếp dân tại Trụ sở Tiếp công dân</t>
  </si>
  <si>
    <t>Chi hỗ trợ cho Bưu điện xã về việc thực hiện nhiệm vụ Hành chính công (10 UBND xã)</t>
  </si>
  <si>
    <t xml:space="preserve">Hoạt động Đảng và ĐH Đảng </t>
  </si>
  <si>
    <t>Chi phí công tác của Thường trực</t>
  </si>
  <si>
    <t>Hoạt động của Trung tâm Hành chính công và Ban Tiếp công dân bao gồm điện, nước, văn phòng phẩm, nhiên liệu ...</t>
  </si>
  <si>
    <t>Trang bị hệ thống máy lạnh trụ sở VP UBND tỉnh</t>
  </si>
  <si>
    <t>Tiếp khách các đoàn trong và ngoài nước</t>
  </si>
  <si>
    <t>Sửa chữa xe ô tô và tài sản</t>
  </si>
  <si>
    <t>Thuê máy photcoppy, thuê mướn lao động, thuê mướn chăm sóc hoa kiểng khuôn viên UBND Tỉnh</t>
  </si>
  <si>
    <t>Mua 03 máy tính để bàn phục vụ công tác bảo vệ bí mật NN</t>
  </si>
  <si>
    <t>Chi phí các hội nghị tại UBND tỉnh</t>
  </si>
  <si>
    <t>CỔNG THÔNG TIN ĐIỆN TỬ TỈNH (I+II))</t>
  </si>
  <si>
    <t>Trưởng phòng QTTV</t>
  </si>
  <si>
    <t>Nguồn thu phải cân đối đảm bảo hoạt động</t>
  </si>
  <si>
    <t>Chi nhiệm vụ kiểm soát thủ tục hành chính, nhiệm vụ thẩm tra hồ sơ xử phạt vi phạm hành chính, duy trì hệ thống ISO, đồng phục Ban Tiếp dân,…</t>
  </si>
  <si>
    <t>Hoạt động chuyên môn của Ban Biên tập Cổng: tiền điện phòng máy, chi phí trực, nhuận bút, dịch vụ công công, thuê đường truyền, …</t>
  </si>
  <si>
    <t>Mua sắm (02 bộ chuyển đổi quang điện 8trđ, nâng cấp ram nguồn hệ thống máy chủ 30 trđ)</t>
  </si>
  <si>
    <t xml:space="preserve"> Thiết kế giao diện mới của Cổng Thông tin điện tử tỉnh</t>
  </si>
  <si>
    <t>Tổng dự toán chi NSNN năm 2020, số tiền bằng chữ: Hai mươi tỷ chín trăm năm mươi triệu đồng.</t>
  </si>
  <si>
    <t>Tổng quỹ lương và dự kiến nâng lương định kỳ theo số biên chế và số LĐHD theo NĐ 68 được giao</t>
  </si>
  <si>
    <t xml:space="preserve"> - Quỹ lương 03 biên chế chưa có mặt</t>
  </si>
  <si>
    <t xml:space="preserve"> - Quỹ lương của 36 biên chế có mặt</t>
  </si>
  <si>
    <t xml:space="preserve"> - Quỹ lương của 06 lao động HĐ theo NĐ 68</t>
  </si>
  <si>
    <t xml:space="preserve">    - Bà: Phạm Thị Ngọc Đào </t>
  </si>
  <si>
    <t xml:space="preserve">    - Bà: Tạ Thị Mỹ Duyên</t>
  </si>
  <si>
    <t>Kinh phí hoạt động Đảng và Đại hội</t>
  </si>
  <si>
    <t>Hôm nay, vào lúc 09 giờ 15' phút ngày 05 tháng 9 năm 2019, tại Sở Tài chính tiến hành trao đổi số liệu dự toán NSNN năm 2020 và kế hoạch tài chính NS giai đoạn 03 năm 2020-2022.</t>
  </si>
  <si>
    <t>10% tiết kiệm chi thường xuyên để thực hiện CCTL</t>
  </si>
  <si>
    <t>Mua 05 kệ hồ sơ</t>
  </si>
  <si>
    <t>Sửa chữa nhà vệ sinh</t>
  </si>
  <si>
    <t>Mua sách, tài liệu về khởi nghiệp, kinh tế, quản trị</t>
  </si>
  <si>
    <t>Thống kê, cập nhật, in ấn các tài liệu thực hiện hỗ trợ doanh nghiệp và KN, giới thiệu hệ sinh thái KN của ĐP, quà lưu niệm đặc trưng của tỉnh</t>
  </si>
  <si>
    <t>Tổ chức lựa chọn DA ươm tạo, thúc đẩy khởi nghiệp</t>
  </si>
  <si>
    <t>Tập huấn theo chuyên đề về KN cho các Startup tuyển chọn trên địa bàn tỉnh</t>
  </si>
  <si>
    <t>Chương trình kết nối nhà khoa học</t>
  </si>
  <si>
    <t>Chương trình kết nối nhà đầu tư</t>
  </si>
  <si>
    <t>Tham gia ngày Hội Khởi nghiệp, các phiện Hội chợ Hàng VN chất lượng cao dành cho KN</t>
  </si>
  <si>
    <t>Đào tạo, huấn luyện cố vấn KN, cán bộ hỗ trợ KN</t>
  </si>
  <si>
    <t>Lớp truyền cảm hứng KN, tư duy KN; BD kỹ năng, kiến thức kinh doanh lập, trình bày ĐA, ý tưởng kinh doanh cho SV, thanh niên, DA khởi nghiệp</t>
  </si>
  <si>
    <t>Tổ chức 02 lớp BD cho doanh nghiệp khởi nghiệp</t>
  </si>
  <si>
    <t>Tổ chức hoạt động hỗ trợ KN hoặc ký kết hợp tác với các đối tác hỗ trợ về khởi nghiệp</t>
  </si>
  <si>
    <t>CTr kết nối, giao lưu, đối thoại, chia sẻ kinh nghiệm cho thanh niên, dự án, doanh nghiệp KN</t>
  </si>
  <si>
    <t>CTr gặp gỡ nhà LĐ, CB hỗ trợ KN các đơn vị trên địa bàn tỉnh</t>
  </si>
  <si>
    <t>Hội nghị SK 4 năm thực hiện hoạt động KN - Hội thảo định hướng phát triển các hoạt động KN ĐT thêm hiệu quả</t>
  </si>
  <si>
    <t>Tổ chức các đoàn học tập, tham gia diễn đàn KN</t>
  </si>
  <si>
    <t>Các hoạt động khởi nghiệp, gồm:</t>
  </si>
  <si>
    <t>Biên bản kết thúc lúc 10 giờ 30' cùng ngày, tất cả cùng thống nhất ký tên./.</t>
  </si>
  <si>
    <t>Tổng dự toán chi NSNN năm 2020, số tiền bằng chữ: Bảy tỷ sáu trăm hai mươi mốt triệu đồng</t>
  </si>
  <si>
    <t>Bồi dưỡng kiến thức, diễn đàn KN; chuẩn hóa sản phẩm, kết nối, gia nhập thị trường</t>
  </si>
  <si>
    <t>Phó Trưởng ban</t>
  </si>
  <si>
    <t xml:space="preserve">    - Ông: Ngô Văn Nâu</t>
  </si>
  <si>
    <r>
      <t xml:space="preserve">Hôm nay, vào lúc 13 giờ </t>
    </r>
    <r>
      <rPr>
        <sz val="14"/>
        <color rgb="FFFF0000"/>
        <rFont val="Times New Roman"/>
        <family val="1"/>
      </rPr>
      <t>30</t>
    </r>
    <r>
      <rPr>
        <sz val="14"/>
        <color theme="1"/>
        <rFont val="Times New Roman"/>
        <family val="1"/>
      </rPr>
      <t xml:space="preserve"> phút ngày </t>
    </r>
    <r>
      <rPr>
        <sz val="14"/>
        <color rgb="FFFF0000"/>
        <rFont val="Times New Roman"/>
        <family val="1"/>
      </rPr>
      <t>05</t>
    </r>
    <r>
      <rPr>
        <sz val="14"/>
        <color theme="1"/>
        <rFont val="Times New Roman"/>
        <family val="1"/>
      </rPr>
      <t xml:space="preserve"> tháng 9 năm 2019, tại Sở Tài chính tiến hành trao đổi số liệu dự toán NSNN năm 2020 và kế hoạch tài chính NS giai đoạn 03 năm 2020-2022.</t>
    </r>
  </si>
  <si>
    <t>Mua 04 máy vi tính</t>
  </si>
  <si>
    <t>Tổng dự toán chi NSNN năm 2020, số tiền bằng chữ: Ba tỷ năm trăm tám mươi chín triệu đồng.</t>
  </si>
  <si>
    <t>Công tác đột xuất, giao tiếp, kiểm tra liên ngành, phí tham gia khối thi đua KV Tây Nam Bộ và CLB các Ban Quản lý KV phía Nam</t>
  </si>
  <si>
    <t>Tổng quỹ lương và dự kiến nâng lương định kỳ của số biên chế và số LĐHĐ theo NĐ 68 được giao</t>
  </si>
  <si>
    <t>Hôm nay, vào lúc 15 giờ 00' phút ngày 05 tháng 9 năm 2019, tại Sở Tài chính tiến hành trao đổi số liệu dự toán NSNN năm 2020 và kế hoạch tài chính NS giai đoạn 03 năm 2020-2022.</t>
  </si>
  <si>
    <t xml:space="preserve">    - Bà: Nguyễn Thị Cúc</t>
  </si>
  <si>
    <t>Kinh phí hoạt động Đảng và ĐH</t>
  </si>
  <si>
    <t>Hội nghị Tổng kết chương trình "Đồng hành cùng phụ nữ biên cương" gđ 2018-2020</t>
  </si>
  <si>
    <t>Biên soạn "Biên niên sử hoạt động Hội và phong trảo phụ nữ Đồng Tháp" gđ 1975-2020</t>
  </si>
  <si>
    <t>Họp mặt các thế hệ BCH TW hội qua các thời kỳ và tham dự Đại hội thi đua yêu nước lần thứ IV do TW HLHPN VN tổ chức</t>
  </si>
  <si>
    <t>Hội nghị sơ kết cuộc vận động rèn luyện phẩm chất đạo đức tự tin, tự trọng, trung hậu, đảm đang gắn với học tập và làm theo tư tưởng đạo đức HCM</t>
  </si>
  <si>
    <t>Truyền thông về phòng, chống bạo lực gia đình, hôn nhân và gia đình, xâm hại trẻ em</t>
  </si>
  <si>
    <t>Hoạt động giao lưu chi hội trưởng theo cụm thi đua tại tỉnh Long An</t>
  </si>
  <si>
    <t>Hỗ trợ xúc tiến SP tham gia Hội chợ ngoài tỉnh</t>
  </si>
  <si>
    <t xml:space="preserve">Tọa đàm chia sẻ kinh nghiệm mô hình giảm nghèo bền vững </t>
  </si>
  <si>
    <t>Hội nghị sơ kết đánh giá mỗi chi giúp 01 hộ nghèo thoát nghèo bền vững</t>
  </si>
  <si>
    <t xml:space="preserve">Tham dự hoạt động do TW Hội tổ chức nhân 90 năm thành lập Hội </t>
  </si>
  <si>
    <t>Tập huấn nâng cao kỹ năng cho nữ ứng cử viên đại biểu Quốc hội và đại biểu HĐND các cấp</t>
  </si>
  <si>
    <t>Sự nghiệp giáo dục - ĐT&amp;DN (đào tạo, tập huấn, bồi dưỡng)</t>
  </si>
  <si>
    <t xml:space="preserve"> ….</t>
  </si>
  <si>
    <t>Tổng quỹ lương và dự kiến nâng lương định kỳ của số biên chế được giao</t>
  </si>
  <si>
    <t xml:space="preserve"> - Quỹ lương 20 biên chế có mặt</t>
  </si>
  <si>
    <t>Hôm nay, vào lúc 07 giờ 30' phút ngày 06 tháng 9 năm 2019, tại Sở Tài chính tiến hành trao đổi số liệu dự toán NSNN năm 2020 và kế hoạch tài chính NS giai đoạn 03 năm 2020-2022.</t>
  </si>
  <si>
    <t xml:space="preserve">    - Bà: Võ Thị Ngọc Ánh</t>
  </si>
  <si>
    <t>CVĐ "Toàn dân đoàn kết XD nông thôn mới, đô thị văn minh"</t>
  </si>
  <si>
    <t>Phong trào thi đua Đoàn kết sáng tạo</t>
  </si>
  <si>
    <t>HN Quán triệt Nghị quyết Đại hội IX MTTQVN Tỉnh, NK 2019 -2024</t>
  </si>
  <si>
    <t>Tổ chức 90 năm ngày truyền thống MTTQVN</t>
  </si>
  <si>
    <t>Tổng dự toán chi NSNN năm 2020, số tiền bằng chữ: Bảy tỷ sáu trăm tám mươi chín triệu đồng.</t>
  </si>
  <si>
    <t>Biên bản kết thúc lúc 08 giờ 30' cùng ngày, tất cả cùng thống nhất ký tên./.</t>
  </si>
  <si>
    <t>Kp tham dự một số hoạt động, hội nghị cấp Trung ương, các Tỉnh</t>
  </si>
  <si>
    <t>Hoạt động mô hình tổ tự quản CĐ</t>
  </si>
  <si>
    <t>Chi phí đón tiếp, thăm hỏi, chúc mừng đối với một số đối tượng theo QĐ 76 của TTCP</t>
  </si>
  <si>
    <t>SN giáo dục, đào tạo &amp; DN</t>
  </si>
  <si>
    <t>Mua máy scan, máy chiếu màn chiếu</t>
  </si>
  <si>
    <t xml:space="preserve">    - Ông: Nguyễn Trọng Quí</t>
  </si>
  <si>
    <t>Hôm nay, vào lúc 08 giờ 45' phút ngày 06 tháng 9 năm 2019, tại Sở Tài chính tiến hành trao đổi số liệu dự toán NSNN năm 2020 và kế hoạch tài chính NS giai đoạn 03 năm 2020-2022.</t>
  </si>
  <si>
    <t>Đăng cai cuộc thi VH ĐBSCL, tuyên truyền tác phẩm 2 chuyên ngành sân khấu, âm nhạc trên Đài truyền hình</t>
  </si>
  <si>
    <t>Triển lãm mỹ thuật KV ĐBSCL</t>
  </si>
  <si>
    <t>Giải thưởng VHNT Nguyễn Quang Diêu</t>
  </si>
  <si>
    <t>Dự Đại hội nhiệm kỳ tại HN</t>
  </si>
  <si>
    <t>Biên soạn và in sách VNS thời kháng chiến</t>
  </si>
  <si>
    <t>Tuyên truyền tác phẩm 2 chuyên ngành sân khấu, âm nhạc trên Đài truyền hình (thực hiện ki có chủ trương)</t>
  </si>
  <si>
    <t>Cuộc thi Học tập và làm theo Tư tưởng đạo đức HCM giai doạn 2</t>
  </si>
  <si>
    <t>Sửa chữa nhà làm việc và nhà xe</t>
  </si>
  <si>
    <t>Tổng dự toán chi NSNN năm 2020, số tiền bằng chữ: Năm tỷ một trăm chín mươi bảy triệu đồng.</t>
  </si>
  <si>
    <t>Chi sự nghiệp phát thanh TH</t>
  </si>
  <si>
    <t xml:space="preserve">    - Bà: Đỗ Thị Huyền Trang</t>
  </si>
  <si>
    <t>Chi sự nghiệp khoa học</t>
  </si>
  <si>
    <t>Chi sự nghiệp đào tạo</t>
  </si>
  <si>
    <t>Dự đại hội, hội nghị giao ban LHHVN</t>
  </si>
  <si>
    <t>Đại hội nhiệm kỳ (2020-205)</t>
  </si>
  <si>
    <t>Tuyên truyền Hội thi sáng tạo KHKT tỉnh</t>
  </si>
  <si>
    <t>Tổng dự toán chi NSNN năm 2020, số tiền bằng chữ: Hai tỷ sáu trăm bốn mươi chín triệu đồng.</t>
  </si>
  <si>
    <t>Biên bản kết thúc lúc 14 giờ 15' cùng ngày, tất cả cùng thống nhất ký tên./.</t>
  </si>
  <si>
    <t>Hôm nay, vào lúc 13 giờ 30' phút ngày 06 tháng 9 năm 2019, tại Sở Tài chính tiến hành trao đổi số liệu dự toán NSNN năm 2020 và kế hoạch tài chính NS giai đoạn 03 năm 2020-2022.</t>
  </si>
  <si>
    <t>Hôm nay, vào lúc 14 giờ 30' phút ngày 06 tháng 9 năm 2019, tại Sở Tài chính tiến hành trao đổi số liệu dự toán NSNN năm 2020 và kế hoạch tài chính NS giai đoạn 03 năm 2020-2022.</t>
  </si>
  <si>
    <t xml:space="preserve">    - Bà: Trần Thị Tuyết Ngọc</t>
  </si>
  <si>
    <t xml:space="preserve"> - Quỹ lương 06 biên chế chưa có mặt</t>
  </si>
  <si>
    <t xml:space="preserve">Đại hội cháu ngoan Bác Hồ tỉnh Đồng Tháp năm 2020 </t>
  </si>
  <si>
    <t>Sơ kết chương trình phối hợp và giao lưu hữu nghị Thanh niên 02 tỉnh Đồng Tháp (Việt Nam) và Prây veng (Campuchia) tại tỉnh Đồng Tháp</t>
  </si>
  <si>
    <t>Hội nghị sơ kết giữa nhiệm kỳ công tác Đoàn</t>
  </si>
  <si>
    <t>Tổng quỹ lương và dự kiến nâng lương định kỳ của 03 biên chế</t>
  </si>
  <si>
    <t>Chi hoạt động theo định mức của 03 biên chế (19 trđ/biên chế)</t>
  </si>
  <si>
    <t>Liên hoan búp sen hồng tại Phú Yên</t>
  </si>
  <si>
    <t>Liên hoan tiếng kèn đội ta tại Đà Nẵng</t>
  </si>
  <si>
    <t>Liên hoan phụ trách tài năng
tại Cà Mau</t>
  </si>
  <si>
    <t>Triển khai Nghị quyết đại hội Hội LHTN Việt Nam tỉnh Đồng Tháp và Toàn quốc, nhiệm kỳ 2019 - 2024</t>
  </si>
  <si>
    <t>Cuộc thi Olympic tiếng Anh dành cho cán bộ trẻ lần thứ II năm 2020</t>
  </si>
  <si>
    <t>Phiên họp quốc hội trẻ em toàn quốc</t>
  </si>
  <si>
    <t>Các hoạt động kỷ niệm 90 năm Ngày thành lập Đảng Cộng sản Việt Nam</t>
  </si>
  <si>
    <t>Biên bản kết thúc lúc 16 giờ 30' cùng ngày, tất cả cùng thống nhất ký tên./.</t>
  </si>
  <si>
    <t>Thực hiện các hoạt động do nhà nước đặt hàng Trung tâm: LH Búp sen hồng; LH múa; LH văn hóa thiếu nhi dân tộc; LH CLB kỹ năng các TTHĐ TTN; HN tổng kết CLB nghiệp vụ; LH trò chời dân gian CLB đội nhóm</t>
  </si>
  <si>
    <t>Đăng cai tổ chức Liên hoan các Trung tâm hoạt động Thanh thiếu nhi khu vực phía Nam</t>
  </si>
  <si>
    <t>Đại hội LHTN VN và dự Đại hội toàn quốc</t>
  </si>
  <si>
    <t>Tổ chức CTr Tháng 3 biên giới</t>
  </si>
  <si>
    <t>Tổng dự toán chi NSNN năm 2020, số tiền bằng chữ: Bảy tỷ một trăm bốn mươi bốn triệu đồng.</t>
  </si>
  <si>
    <t>Ngày hội nét đẹp thầy trò</t>
  </si>
  <si>
    <t>Mua 02 máy in, thuê máy photo</t>
  </si>
  <si>
    <t>Trợ cấp cán bộ thôi tham gia công tác Hội</t>
  </si>
  <si>
    <t>Dự các cuộc hội nghị, hội thảo, tập huấn chuyên môn Hội</t>
  </si>
  <si>
    <t>Tổng dự toán chi NSNN năm 2020, số tiền bằng chữ: Hai tỷ bốn trăm lẻ hai triệu đồng.</t>
  </si>
  <si>
    <t>Hôm nay, vào lúc 07 giờ 30' phút ngày 09 tháng 9 năm 2019, tại Sở Tài chính tiến hành trao đổi số liệu dự toán NSNN năm 2020 và kế hoạch tài chính NS giai đoạn 03 năm 2020-2022.</t>
  </si>
  <si>
    <t xml:space="preserve">    - Ông: Mai Minh Chiến</t>
  </si>
  <si>
    <t>Tổ chức các cuộc hội nghị, tập huấn (tập huấn công tác kinh tế; triển khai thực hiện Quy chế GS theo QĐ 217; HN nhân rộng mô hình "CCB XD CS ấm no BV"; kiểm tra chéo, rút kinh nghiệm trong phong trào thi đua "CCB gương mẫu" Cụm thi đua 11, tổng kết thi đua Cụm 11)</t>
  </si>
  <si>
    <t>Tổ chức Hội nghị Tổng kết 5 năm thực hiện Chương trình hành động số 07-CTr/HNDT; Chương trình hành động số 176-CTr/TU …</t>
  </si>
  <si>
    <t xml:space="preserve">Tổ chức Hội thi “Nông dân với kiến thức pháp luật” </t>
  </si>
  <si>
    <t>Tổ chức 05 lớp tập huấn Nông dân về đảm bảo ATVSLĐ trong NN và lớp kiến thức PL về SXKD nông sản TP an toàn</t>
  </si>
  <si>
    <t>Phối hợp ngành chuyên môn tham gia, giám sát, hỗ trợ về an toàn vệ sinh thực phẩm theo NQ 111</t>
  </si>
  <si>
    <t>Triển khai bảng đăng ký nông dân cam kết sản xuất, kinh doanh nông sản, thực phẩm đảm bảo an toàn</t>
  </si>
  <si>
    <t>Tổ chức Đại hội thi đua yêu nước và biểu dương nông dân điển hình tiên tiến lần thứ IV (2015-2020) gắn với HN tổng kết phong trào NDSXKDG</t>
  </si>
  <si>
    <t>Tổ chức họp mặt kỷ niệm 90 năm ngày thành lập Hội</t>
  </si>
  <si>
    <t>Công tác phí dự hội nghị TW</t>
  </si>
  <si>
    <t>Hoạt động BCĐ thực hiện Đề án 61</t>
  </si>
  <si>
    <t>Tập huấn kỹ năng công tác tuyên truyền cho Chi hội trưởng; Tập huấn công tác tuyên truyền, vận động phát triển kinh tế tập thể cho cán bộ Hội</t>
  </si>
  <si>
    <t>Mua 03 máy in, 01 máy chiếu</t>
  </si>
  <si>
    <t>Tổng dự toán chi NSNN năm 2020, số tiền bằng chữ: Bốn tỷ bốn trăm sáu mươi ba triệu đồng.</t>
  </si>
  <si>
    <t>Hôm nay, vào lúc 08 giờ 50' phút ngày 09 tháng 9 năm 2019, tại Sở Tài chính tiến hành trao đổi số liệu dự toán NSNN năm 2020 và kế hoạch tài chính NS giai đoạn 03 năm 2020-2022.</t>
  </si>
  <si>
    <t>P</t>
  </si>
  <si>
    <t>Hôm nay, vào lúc 13 giờ 30' phút ngày 09 tháng 9 năm 2019, tại Sở Tài chính tiến hành trao đổi số liệu dự toán NSNN năm 2020 và kế hoạch tài chính NS giai đoạn 03 năm 2020-2022.</t>
  </si>
  <si>
    <r>
      <t xml:space="preserve"> - Quỹ lương của </t>
    </r>
    <r>
      <rPr>
        <sz val="14"/>
        <color rgb="FFFF0000"/>
        <rFont val="Times New Roman"/>
        <family val="1"/>
      </rPr>
      <t xml:space="preserve">16 </t>
    </r>
    <r>
      <rPr>
        <sz val="14"/>
        <color rgb="FF000000"/>
        <rFont val="Times New Roman"/>
        <family val="1"/>
      </rPr>
      <t>biên chế có mặt</t>
    </r>
  </si>
  <si>
    <t xml:space="preserve">    - Ông: Võ Trường Sơn</t>
  </si>
  <si>
    <t>Tổ chức hội nghị điển hình tiên tiến</t>
  </si>
  <si>
    <t>Sửa xe ô tô và thuê máy photo</t>
  </si>
  <si>
    <t>Mua sắm (01 máy vi tính, 18 ghế 27trđ, máy scan 25trđ)</t>
  </si>
  <si>
    <t>Tổng dự toán chi NSNN năm 2020, số tiền bằng chữ: Ba tỷ năm trăm sáu mơi chín triệu đồng.</t>
  </si>
  <si>
    <t>GĐ Trung tâm Khuyến công</t>
  </si>
  <si>
    <t xml:space="preserve">    - Ông: Nguyễn Văn Na</t>
  </si>
  <si>
    <t xml:space="preserve">    - Ông: Nguyễn Văn Luận</t>
  </si>
  <si>
    <r>
      <t xml:space="preserve"> - Quỹ lương của 44</t>
    </r>
    <r>
      <rPr>
        <sz val="14"/>
        <color rgb="FFFF0000"/>
        <rFont val="Times New Roman"/>
        <family val="1"/>
      </rPr>
      <t xml:space="preserve"> </t>
    </r>
    <r>
      <rPr>
        <sz val="14"/>
        <color rgb="FF000000"/>
        <rFont val="Times New Roman"/>
        <family val="1"/>
      </rPr>
      <t>biên chế có mặt</t>
    </r>
  </si>
  <si>
    <t xml:space="preserve"> - Quỹ lương 07 biên chế chưa có mặt</t>
  </si>
  <si>
    <t>Hôm nay, vào lúc 14 giờ 40' phút ngày 09 tháng 9 năm 2019, tại Sở Tài chính tiến hành trao đổi số liệu dự toán NSNN năm 2020 và kế hoạch tài chính NS giai đoạn 03 năm 2020-2022.</t>
  </si>
  <si>
    <t>Mua sắm 05 máy vi tính, 01 máy scan</t>
  </si>
  <si>
    <t>Hội thảo tuyên truyền bảo vệ quyền lợi người tiêu dùng</t>
  </si>
  <si>
    <t xml:space="preserve"> - 10% tiết kiệm chi thường xuyên [(2-3)x10%]</t>
  </si>
  <si>
    <t xml:space="preserve"> - 40% nguồn thu (sẽ theo dõi tiến độ thu thực hiện)</t>
  </si>
  <si>
    <t>KH phát triển thương mại điện tử (KH 181/KH-UBND ngày 30/6/2017)</t>
  </si>
  <si>
    <t>Tổng dự toán chi NSNN năm 2020, số tiền bằng chữ: Mười tám tỷ không trăm bốn mươi tám triệu đồng.</t>
  </si>
  <si>
    <t>Hôm nay, vào lúc 07 giờ 30' phút ngày 10 tháng 9 năm 2019, tại Sở Tài chính tiến hành trao đổi số liệu dự toán NSNN năm 2020 và kế hoạch tài chính NS giai đoạn 03 năm 2020-2022.</t>
  </si>
  <si>
    <t xml:space="preserve">    - Ông: Đoàn Thanh Bình</t>
  </si>
  <si>
    <t xml:space="preserve">    - Ông: Nguyễn Quốc Vinh</t>
  </si>
  <si>
    <t>TP Kỹ thuật</t>
  </si>
  <si>
    <r>
      <t xml:space="preserve"> - Quỹ lương của 25</t>
    </r>
    <r>
      <rPr>
        <sz val="14"/>
        <color rgb="FFFF0000"/>
        <rFont val="Times New Roman"/>
        <family val="1"/>
      </rPr>
      <t xml:space="preserve"> </t>
    </r>
    <r>
      <rPr>
        <sz val="14"/>
        <color rgb="FF000000"/>
        <rFont val="Times New Roman"/>
        <family val="1"/>
      </rPr>
      <t>biên chế có mặt</t>
    </r>
  </si>
  <si>
    <t xml:space="preserve"> - Tham dự Hội thi tuyên truyền bảo vệ chủ quyền biển, đảo; tình hình thế giới, hoạt động thông tin đối ngoại</t>
  </si>
  <si>
    <t xml:space="preserve"> - Tổ chức tổng kết thực hiện Đề án Tạo dựng hình ảnh ĐT</t>
  </si>
  <si>
    <t xml:space="preserve"> - Thuê dịch vụ viễn thông thực hiện SMS Brandname phục vụ nhắn tin tình trạng giải quyết hồ sơ cho HT một cửa và DV công toàn tỉnh, phòng chống thiên tai, dịch bệnh … (ghi nhận khi có chủ trương)</t>
  </si>
  <si>
    <t xml:space="preserve"> - Tập huấn kỹ năng đối ngoại; kỹ năng phát ngôn và cung cấp thông tin cho báo chí và xử lý khủng hoảng truyền thông; NV truyền thanh cơ sở; phổ biến văn bản PL về biển, đảo</t>
  </si>
  <si>
    <t xml:space="preserve"> - Đào tạo tin học theo kế hoạch: diễn tập ATTT cho đội ứng cứu. Lập trình GIS, lập trình API, lập trình di động nâng cao, ĐT ATTT cơ bản, duy trì chữ ký số; quản trị trang TTĐT trên công nghệ Liferay; sử dụng công cụ quản lý, phòng ngừa và khắc phục sự cố tại HT máy chủ, phát triển ứng dụng trên Liferay</t>
  </si>
  <si>
    <t xml:space="preserve"> - Triển khai DVC trực tuyến mức độ 4 cho Sở Công Thương</t>
  </si>
  <si>
    <t xml:space="preserve"> - Dịch vụ đánh giá ATTT cho HT mạng các sở, ngành tỉn và UBND cấp huyện</t>
  </si>
  <si>
    <t xml:space="preserve"> - Dịch vụ đánh giá ATTT cho Trung tâm tích hợp dữ liệu tỉnh</t>
  </si>
  <si>
    <t xml:space="preserve"> - Xây dựng hệ thóng thông tin báo cáo (KH 118/KH-UBND ngày 14/5/2019)</t>
  </si>
  <si>
    <t xml:space="preserve"> - HT quản lý, GS thông tin báo chí và mạng XH</t>
  </si>
  <si>
    <t xml:space="preserve"> - Nâng cấp khung kiến trúc Chính quyền điện tử tỉnh</t>
  </si>
  <si>
    <t xml:space="preserve"> - Kinh phí hoạt động Đảng và ĐH</t>
  </si>
  <si>
    <t>Tổng quỹ lương và dự kiến nâng lương định kỳ của 22 biên chế</t>
  </si>
  <si>
    <t>Phần 60% nguồn thu còn lại cân đối để đảm bảo hoạt động</t>
  </si>
  <si>
    <t>Hoạt động theo định mức của 22 biên chế (19 trđ/biên chế)</t>
  </si>
  <si>
    <t xml:space="preserve"> - Tổng số thu sau khi trừ chi phí (80% chi phí)</t>
  </si>
  <si>
    <t xml:space="preserve"> - Cân bằng tải</t>
  </si>
  <si>
    <t xml:space="preserve"> - Triển khai DNS Sec (bảo mật tên miền)</t>
  </si>
  <si>
    <t xml:space="preserve"> - Đường leased line (cổng thanh toán trực tuyến)</t>
  </si>
  <si>
    <t xml:space="preserve"> - Sửa chữa thường xuyên các thiết bị của TTTHDL, HNTT</t>
  </si>
  <si>
    <t>Hoạt động của Cổng, Trang Thông tin ĐT</t>
  </si>
  <si>
    <t xml:space="preserve"> - GeoTrust True BusinessID Wildcard (02 năm) - Chứng thư số cho các tên miền con</t>
  </si>
  <si>
    <t xml:space="preserve"> - License Firewall ASA 5545x - Bản quyền thiết bị tường lửa</t>
  </si>
  <si>
    <t xml:space="preserve"> - License Spam mail - Bản quyền PM chống thư rác</t>
  </si>
  <si>
    <t xml:space="preserve"> - GeoTrust True BusinessID With EV (02 năm) - Chứng thư số mở rộng cho tên miền dongthap.gov.vn</t>
  </si>
  <si>
    <t xml:space="preserve"> - License SAN HPE 3PAR - Bản quyền HT lưu trữ </t>
  </si>
  <si>
    <t xml:space="preserve"> - Switch Core C3850-24p - Thiết bị chuyển mạch lõi</t>
  </si>
  <si>
    <t>Biên bản kết thúc lúc 10 giờ 45' cùng ngày, tất cả cùng thống nhất ký tên./.</t>
  </si>
  <si>
    <t xml:space="preserve"> - Quỹ lương 04 biên chế chưa có mặt</t>
  </si>
  <si>
    <t>Chi hoạt động theo định mức của 24 biên chế (25 trđ/biên chế)</t>
  </si>
  <si>
    <t>Hôm nay, vào lúc 13 giờ 30' phút ngày 10 tháng 9 năm 2019, tại Sở Tài chính tiến hành trao đổi số liệu dự toán NSNN năm 2020 và kế hoạch tài chính NS giai đoạn 03 năm 2020-2022.</t>
  </si>
  <si>
    <r>
      <t xml:space="preserve"> - Quỹ lương </t>
    </r>
    <r>
      <rPr>
        <sz val="14"/>
        <rFont val="Times New Roman"/>
        <family val="1"/>
      </rPr>
      <t>10</t>
    </r>
    <r>
      <rPr>
        <sz val="14"/>
        <color rgb="FFFF0000"/>
        <rFont val="Times New Roman"/>
        <family val="1"/>
      </rPr>
      <t xml:space="preserve"> </t>
    </r>
    <r>
      <rPr>
        <sz val="14"/>
        <color rgb="FF000000"/>
        <rFont val="Times New Roman"/>
        <family val="1"/>
      </rPr>
      <t>biên chế có mặt</t>
    </r>
  </si>
  <si>
    <t>Mua 01 tủ lạnh</t>
  </si>
  <si>
    <t>Chi hoạt động theo định mức của 15 biên chế (22 trđ/biên chế)</t>
  </si>
  <si>
    <t>Tổ chức gặp gỡ họp mặt kêu gọi kiều bào; KN 50 năm gày QT Pháp ngữ; KN 70 năm thiết lập QHNG với TQ; 75 năm ngày QK Hàn Quốc; 70 năm thiết lạp QHNG với LBNga; 30 năm thiết lập QNG với LBNga; 60 năm thiết lập QHNG với Cuba; 40 năm QK Hà Lan; Đại hội Hữu nghị VN-TQ</t>
  </si>
  <si>
    <t>Tổng dự toán chi NSNN năm 2020, số tiền bằng chữ: Hai tỷ bốn trăm năm mươi triệu đồng.</t>
  </si>
  <si>
    <t>Tổng quỹ lương và dự kiến nâng lương định kỳ theo số biên chế và số LĐHĐ theo NĐ 68 được giao</t>
  </si>
  <si>
    <t>Mua BHYT cho ĐB không lương</t>
  </si>
  <si>
    <t>Trao đổi học tập kinh nghiệm trong và ngoài nước</t>
  </si>
  <si>
    <t>Tổng dự toán chi NSNN năm 2020, số tiền bằng chữ: Chín tỷ tám trăm lẻ chín triệu đồng.</t>
  </si>
  <si>
    <t>Hôm nay, vào lúc 15 giờ 00' phút ngày 10 tháng 9 năm 2019, tại Sở Tài chính tiến hành trao đổi số liệu dự toán NSNN năm 2020 và kế hoạch tài chính NS giai đoạn 03 năm 2020-2022.</t>
  </si>
  <si>
    <t>Mua sắm 03 máy in và 08 máy vi tính, sửa chữa</t>
  </si>
  <si>
    <t>Hoạt động theo định mức của 10 biên chế (19 trđ/biên chế)</t>
  </si>
  <si>
    <t>60% nguồn thu phải cân đối để đảm bảo hoạt động</t>
  </si>
  <si>
    <t xml:space="preserve"> - Tổng quỹ lương của 17 lao động HĐ theo NĐ 68</t>
  </si>
  <si>
    <t>Hôm nay, vào lúc 07 giờ 30' phút ngày 11 tháng 9 năm 2019, tại Sở Tài chính tiến hành trao đổi số liệu dự toán NSNN năm 2020 và kế hoạch tài chính NS giai đoạn 03 năm 2020-2022.</t>
  </si>
  <si>
    <t xml:space="preserve">    - Ông: Phan Văn Nhiều</t>
  </si>
  <si>
    <t>Hoạt động Đảng và ĐH</t>
  </si>
  <si>
    <t>Biên soạn biên niên sự kiện lịch sử ngành NV ĐT gđ 1977-2020</t>
  </si>
  <si>
    <t xml:space="preserve">    - Ông: Trần Minh Mẫn</t>
  </si>
  <si>
    <t>Điều chỉnh hồ sơ, bản đồ địa giới hành chính các cấp liên quan đến việc thành lập TT Thường Thới Tiền, xã Thường Lạc H.HN và thành lập TP Hồng Ngự</t>
  </si>
  <si>
    <t>Công tác đột xuất, giao tiếp, đi công tác nước ngoài, mua hoa và quà trao quyết định bổ nhiệm, quyết định nghỉ hưu</t>
  </si>
  <si>
    <t>Quỹ thi đua khen thưởng và ĐH thi đua yêu nước</t>
  </si>
  <si>
    <t>Các lớp đào tạo, bồi dưỡng, tập huấn nghiệp vụ cho CBCC; Đào tạo trung cấp, cao cấp lý luận chính trị của Sở Nội vụ</t>
  </si>
  <si>
    <t>Mua sắm (28 kệ HS 196trđ; 05 bộ bàn ghế 25trđ; 03 máy in 30trđ; 02 máy điều hòa phòng làm việc 32trđ; 02 máy điều hòa kho lưu trữ 100trđ; máy ảnh chuyên dùng 25trđ)</t>
  </si>
  <si>
    <t>Sửa chữa hệ thống điện kho, trang thiết bị phòng trưng bày triển lãm tài liệu lưu trữ lịch sử (thực hiện khi có chủ trương)</t>
  </si>
  <si>
    <t>Tổng quỹ lương, dự kiến nâng lương định kỳ của 09 biên chế</t>
  </si>
  <si>
    <t xml:space="preserve"> - Tổng số thu phí, lệ phí, thu khác</t>
  </si>
  <si>
    <t xml:space="preserve"> - Tổng quỹ lương 60 biên chế có mặt</t>
  </si>
  <si>
    <t xml:space="preserve"> - Quỹ lương 10 biên chế chưa có mặt</t>
  </si>
  <si>
    <t>Hôm nay, vào lúc 09 giờ 45' phút ngày 11 tháng 9 năm 2019, tại Sở Tài chính tiến hành trao đổi số liệu dự toán NSNN năm 2020 và kế hoạch tài chính NS giai đoạn 03 năm 2019-2021.</t>
  </si>
  <si>
    <r>
      <t xml:space="preserve"> - Quỹ lương của 54</t>
    </r>
    <r>
      <rPr>
        <sz val="14"/>
        <color rgb="FFFF0000"/>
        <rFont val="Times New Roman"/>
        <family val="1"/>
      </rPr>
      <t xml:space="preserve"> </t>
    </r>
    <r>
      <rPr>
        <sz val="14"/>
        <color rgb="FF000000"/>
        <rFont val="Times New Roman"/>
        <family val="1"/>
      </rPr>
      <t>biên chế có mặt</t>
    </r>
  </si>
  <si>
    <t xml:space="preserve"> - Quỹ lương của 07 biên chế chưa có mặt</t>
  </si>
  <si>
    <r>
      <t xml:space="preserve"> - Quỹ lương của </t>
    </r>
    <r>
      <rPr>
        <sz val="14"/>
        <color rgb="FFFF0000"/>
        <rFont val="Times New Roman"/>
        <family val="1"/>
      </rPr>
      <t>07</t>
    </r>
    <r>
      <rPr>
        <sz val="14"/>
        <color rgb="FF000000"/>
        <rFont val="Times New Roman"/>
        <family val="1"/>
      </rPr>
      <t xml:space="preserve"> lao động HĐ theo NĐ 68</t>
    </r>
  </si>
  <si>
    <t>Chi hoạt động theo định mức của 61 biên chế (20 trđ/biên chế)</t>
  </si>
  <si>
    <t>Gia hạn phần mềm diệt virut, sửa chữa nâng cấp máy vi tính</t>
  </si>
  <si>
    <t>Bồi dưỡng quyết toán</t>
  </si>
  <si>
    <t>Cấp lại nguồn thu qua công tác thanh tra</t>
  </si>
  <si>
    <t>Kinh phí đào tạo, bồi dưỡng CBCC từ năm 2018 trở về trước và đặt hàng các lớp bồi dưỡng</t>
  </si>
  <si>
    <t>Biên bản kết thúc lúc 10 giờ 35' cùng ngày, tất cả cùng thống nhất ký tên./.</t>
  </si>
  <si>
    <t xml:space="preserve"> - Nguồn thu dịch vụ</t>
  </si>
  <si>
    <t xml:space="preserve"> - Giao nhiệm vụ mua sắm tập trung</t>
  </si>
  <si>
    <t xml:space="preserve">    - Bà: Nguyễn Thị Kim Phượng</t>
  </si>
  <si>
    <t>Công tác đột xuất, giao tiếp, đi công tác trong nước</t>
  </si>
  <si>
    <t>Mua sắm (06 máy lạnh 108trđ, 16 máy vi tính 240trđ)</t>
  </si>
  <si>
    <t>Tổng dự toán chi NSNN năm 2020, số tiền bằng chữ: Mười chín tỷ một trăm bốn mươi sáu triệu đồng.</t>
  </si>
  <si>
    <r>
      <t xml:space="preserve"> - Quỹ lương của 41</t>
    </r>
    <r>
      <rPr>
        <sz val="14"/>
        <color rgb="FFFF0000"/>
        <rFont val="Times New Roman"/>
        <family val="1"/>
      </rPr>
      <t xml:space="preserve"> </t>
    </r>
    <r>
      <rPr>
        <sz val="14"/>
        <color rgb="FF000000"/>
        <rFont val="Times New Roman"/>
        <family val="1"/>
      </rPr>
      <t>biên chế có mặt</t>
    </r>
  </si>
  <si>
    <t xml:space="preserve"> - Quỹ lương của 05 biên chế chưa có mặt</t>
  </si>
  <si>
    <t>Chi hoạt động theo định mức của 41 biên chế (20 trđ/biên chế)</t>
  </si>
  <si>
    <r>
      <t xml:space="preserve"> - Tổng quỹ lương của </t>
    </r>
    <r>
      <rPr>
        <sz val="14"/>
        <color rgb="FFFF0000"/>
        <rFont val="Times New Roman"/>
        <family val="1"/>
      </rPr>
      <t>03</t>
    </r>
    <r>
      <rPr>
        <sz val="14"/>
        <rFont val="Times New Roman"/>
        <family val="1"/>
      </rPr>
      <t xml:space="preserve"> lao động HĐ theo NĐ 68</t>
    </r>
  </si>
  <si>
    <t>Chi cục Dân số KHHGĐ (1+2-3)</t>
  </si>
  <si>
    <t xml:space="preserve"> - Mua 04 máy vi tính (đơn vị cân đối từ nguồn thu để mua thêm 02 máy vi tính và 02 máy lạnh)</t>
  </si>
  <si>
    <t xml:space="preserve"> - Mua sắm 05 máy vi tính (đơn vị cân đối từ nguồn thu để mua thêm 02 máy vi tính, 05 máy lạnh; sẽ trình cấp lại từ nguồn thu bán HS thầu đã nộp NS để mua sắm khi đơn vị có nhu cầu)</t>
  </si>
  <si>
    <r>
      <t xml:space="preserve"> - Quỹ lương của </t>
    </r>
    <r>
      <rPr>
        <sz val="14"/>
        <color rgb="FFFF0000"/>
        <rFont val="Times New Roman"/>
        <family val="1"/>
      </rPr>
      <t>03</t>
    </r>
    <r>
      <rPr>
        <sz val="14"/>
        <rFont val="Times New Roman"/>
        <family val="1"/>
      </rPr>
      <t xml:space="preserve"> lao động HĐ theo NĐ 68</t>
    </r>
  </si>
  <si>
    <r>
      <t xml:space="preserve"> - Quỹ lương của 12</t>
    </r>
    <r>
      <rPr>
        <sz val="14"/>
        <color rgb="FFFF0000"/>
        <rFont val="Times New Roman"/>
        <family val="1"/>
      </rPr>
      <t xml:space="preserve"> </t>
    </r>
    <r>
      <rPr>
        <sz val="14"/>
        <color rgb="FF000000"/>
        <rFont val="Times New Roman"/>
        <family val="1"/>
      </rPr>
      <t>biên chế có mặt</t>
    </r>
  </si>
  <si>
    <t xml:space="preserve"> - Quỹ lương của 02 biên chế chưa có mặt</t>
  </si>
  <si>
    <r>
      <t xml:space="preserve"> - Tổng quỹ lương của </t>
    </r>
    <r>
      <rPr>
        <sz val="14"/>
        <color rgb="FFFF0000"/>
        <rFont val="Times New Roman"/>
        <family val="1"/>
      </rPr>
      <t>11</t>
    </r>
    <r>
      <rPr>
        <sz val="14"/>
        <rFont val="Times New Roman"/>
        <family val="1"/>
      </rPr>
      <t xml:space="preserve"> biên chế</t>
    </r>
  </si>
  <si>
    <r>
      <t xml:space="preserve">Chi hoạt động theo định mức của </t>
    </r>
    <r>
      <rPr>
        <sz val="14"/>
        <color rgb="FFFF0000"/>
        <rFont val="Times New Roman"/>
        <family val="1"/>
      </rPr>
      <t>11</t>
    </r>
    <r>
      <rPr>
        <sz val="14"/>
        <color rgb="FF000000"/>
        <rFont val="Times New Roman"/>
        <family val="1"/>
      </rPr>
      <t xml:space="preserve"> biên chế (19 trđ/biên chế)</t>
    </r>
  </si>
  <si>
    <t xml:space="preserve"> - Sửa chữa nhà cửa</t>
  </si>
  <si>
    <t xml:space="preserve"> - Hoạt động Đảng và Đại hội</t>
  </si>
  <si>
    <t xml:space="preserve">    - Bà: Trần Thị Kim Ngọc</t>
  </si>
  <si>
    <t>Kinh phí tự chủ của các Trung tâm tuyến tỉnh tính theo định mức biên chế 19trđ/bc, quỹ lương thực tế và dự toán thu thực hiện CCTL</t>
  </si>
  <si>
    <t>Trạm Y tế tuyến xã (bao gồm quỹ lương thực tế; hỗ trợ hoạt động, mua sắm, sửa chữa 40trđ/trạm)</t>
  </si>
  <si>
    <t>Thực hiện chính sách BHYT cho các đối tượng</t>
  </si>
  <si>
    <t>Tổng dự toán chi NSNN năm 2020, số tiền bằng chữ: Bốn trăm mười ba tỷ sáu trăm hai mươi bốn triệu đồng.</t>
  </si>
  <si>
    <t>Hôm nay, vào lúc 13 giờ 30' phút ngày 11 tháng 9 năm 2019, tại Sở Tài chính tiến hành trao đổi số liệu dự toán NSNN năm 2020 và kế hoạch tài chính NS giai đoạn 03 năm 2020-2022.</t>
  </si>
  <si>
    <t>Hôm nay, vào lúc 07 giờ 30' phút ngày 12 tháng 9 năm 2019, tại Sở Tài chính tiến hành trao đổi số liệu dự toán NSNN năm 2020 và kế hoạch tài chính NS giai đoạn 03 năm 2020-2022.</t>
  </si>
  <si>
    <t xml:space="preserve"> - Tổng quỹ lương của 28 biên chế</t>
  </si>
  <si>
    <t>Chi hoạt động theo định mức của 28 biên chế (21 trđ/biên chế)</t>
  </si>
  <si>
    <t>Chi cục Bảo vệ Môi trường (1+2-3)</t>
  </si>
  <si>
    <t>Chi hoạt động theo định mức của 17 biên chế (19 trđ/biên chế)</t>
  </si>
  <si>
    <t>QUẢN LÝ HÀNH CHÍNH (I+II+III)</t>
  </si>
  <si>
    <t xml:space="preserve">    - Ông: Hồ Thanh Phương</t>
  </si>
  <si>
    <t xml:space="preserve">    - Ông: Huỳnh Xuân Bình</t>
  </si>
  <si>
    <t>GĐ Văn phòng ĐKĐĐ</t>
  </si>
  <si>
    <t>GĐ Trung tâm PTQĐ</t>
  </si>
  <si>
    <t>Kinh phí hoạt động đảng và Đại hội</t>
  </si>
  <si>
    <t>Sữa chửa trụ sở đợt 2</t>
  </si>
  <si>
    <t>Duy trì đường truyền thuộc Dự án HT mạng TNMT</t>
  </si>
  <si>
    <t>Mua sắm (bộ bàn ghế làm việc và bàn ghế tiếp khách phòng GĐ 20trđ; 02 máy vi tính 30trđ; 01 máy in 10trđ; 01 áy in A3 25trđ; 02 tủ HS 10trđ)</t>
  </si>
  <si>
    <t>Công tác đoàn KT rà soát các vụ khiếu nại phức tạp; xử phạt VPHC; kiểm tra lĩnh vực TNN-KS; kiểm tra, kiểm soát ô nhiễm MT, tuyên truyền BVMT; ứng phó sự cố MT; công tác đột xuất, giao tiếp, làm thêm giờ</t>
  </si>
  <si>
    <t>Công tác thống kê đất đai</t>
  </si>
  <si>
    <t>Xây dựng hiện trạng môi trường 2016-2020</t>
  </si>
  <si>
    <t>DA điều tra kiểm kê đa dạng sinh học tỉnh ĐT</t>
  </si>
  <si>
    <t>Đơn vị sử dụng từ nguồn thu được để lại để mua sắm, sửa chữa</t>
  </si>
  <si>
    <t>Đơn vị sử dụng từ nguồn thu để chi công tác của đoàn kiểm tra liên ngành và mua sắm</t>
  </si>
  <si>
    <t>Phòng ngừa ứng phó sự cố MT và các nhiệm vụ đột xuất khác</t>
  </si>
  <si>
    <t xml:space="preserve">    - Ông: La Tấn Phong</t>
  </si>
  <si>
    <t xml:space="preserve">    - Ông: Nguyễn Ngọc Sen</t>
  </si>
  <si>
    <t>Chi cục trưởng CCBVMT</t>
  </si>
  <si>
    <t>GĐ Trung tâm Quan trắc TNMT</t>
  </si>
  <si>
    <t>PGĐ Trung tâm Quan trắc TNMT</t>
  </si>
  <si>
    <t xml:space="preserve">  * Đại diện đơn vị: Sở Tài nguyên và Môi trường</t>
  </si>
  <si>
    <t xml:space="preserve">    - Ông: Nguyễn Tân Đông</t>
  </si>
  <si>
    <t>Phó Chánh Thanh tra</t>
  </si>
  <si>
    <r>
      <t xml:space="preserve">Hôm nay, vào lúc 13 giờ 30' phút ngày </t>
    </r>
    <r>
      <rPr>
        <sz val="14"/>
        <color rgb="FFFF0000"/>
        <rFont val="Times New Roman"/>
        <family val="1"/>
      </rPr>
      <t>12</t>
    </r>
    <r>
      <rPr>
        <sz val="14"/>
        <color theme="1"/>
        <rFont val="Times New Roman"/>
        <family val="1"/>
      </rPr>
      <t xml:space="preserve"> tháng 9 năm 2019, tại Sở Tài chính tiến hành trao đổi số liệu dự toán NSNN năm 2020 và kế hoạch tài chính NS giai đoạn 03 năm 2020-2022.</t>
    </r>
  </si>
  <si>
    <t>Đặt báo tuyên truyền, PBGDPL và các lớp tập huấn</t>
  </si>
  <si>
    <t>Mua (05 máy vi tính; tủ HS; 02 bộ bàn ghế tiếp khách)</t>
  </si>
  <si>
    <t>Nguồn thu trích lại 30%</t>
  </si>
  <si>
    <t>Hôm nay, vào lúc 14 giờ 30' phút ngày 12 tháng 9 năm 2019, tại Sở Tài chính tiến hành trao đổi số liệu dự toán NSNN năm 2020 và kế hoạch tài chính NS giai đoạn 03 năm 2020-2022.</t>
  </si>
  <si>
    <r>
      <t xml:space="preserve"> - Quỹ lương của 13</t>
    </r>
    <r>
      <rPr>
        <sz val="14"/>
        <color rgb="FFFF0000"/>
        <rFont val="Times New Roman"/>
        <family val="1"/>
      </rPr>
      <t xml:space="preserve"> </t>
    </r>
    <r>
      <rPr>
        <sz val="14"/>
        <color rgb="FF000000"/>
        <rFont val="Times New Roman"/>
        <family val="1"/>
      </rPr>
      <t>biên chế, phụ cấp công vụ của đ/c Nguyễn Văn Hiếu và đ/c Lê Quang Cường</t>
    </r>
  </si>
  <si>
    <t xml:space="preserve"> - Quỹ lương của 04 biên chế chưa có mặt</t>
  </si>
  <si>
    <r>
      <t xml:space="preserve"> - Quỹ lương của </t>
    </r>
    <r>
      <rPr>
        <sz val="14"/>
        <color rgb="FFFF0000"/>
        <rFont val="Times New Roman"/>
        <family val="1"/>
      </rPr>
      <t>03</t>
    </r>
    <r>
      <rPr>
        <sz val="14"/>
        <color rgb="FF000000"/>
        <rFont val="Times New Roman"/>
        <family val="1"/>
      </rPr>
      <t xml:space="preserve"> lao động HĐ theo NĐ 68</t>
    </r>
  </si>
  <si>
    <t>Tổng quỹ lương và dự kiến nâng lương định kỳ của biên chế và số LĐHĐ theo NĐ68 được duyệt</t>
  </si>
  <si>
    <t>Tổng kết, triển khai kế hoạch</t>
  </si>
  <si>
    <t>Đại hội giữa nhiệm kỳ</t>
  </si>
  <si>
    <t>Tổng dự toán chi NSNN năm 2020, số tiền bằng chữ: Hai tỷ bảy trăm ba mươi chín triệu đồng.</t>
  </si>
  <si>
    <t>Biên bản kết thúc lúc 15 giờ 30' cùng ngày, tất cả cùng thống nhất ký tên./.</t>
  </si>
  <si>
    <t xml:space="preserve"> - Sửa chữa xe ô tô và tài sản</t>
  </si>
  <si>
    <t xml:space="preserve"> - 10% tiết kiệm chi thường xuyên [(2-4)x10%]</t>
  </si>
  <si>
    <t>Tổng dự toán chi NSNN năm 2020, số tiền bằng chữ: Mười tám tỷ bốn trăm lẻ sáu triệu đồng.</t>
  </si>
  <si>
    <t>Chỉ tiêu TS</t>
  </si>
  <si>
    <t>Cao đẳng khóa 6 (2017)</t>
  </si>
  <si>
    <t>Cao đẳng khóa 7 (2018)</t>
  </si>
  <si>
    <t>Cao đẳng khóa 8 (2019)</t>
  </si>
  <si>
    <t>Các lớp khai giảng năm 2020</t>
  </si>
  <si>
    <t>Cao đẳng khóa 9 (2020)</t>
  </si>
  <si>
    <t>Cao đẳng dinh dưỡng khóa 1 (2020)</t>
  </si>
  <si>
    <t>Kinh phí đặt hàng đào tạo (hệ CĐ)</t>
  </si>
  <si>
    <t>Kinh phí đặt hàng đào tạo (hệ TC)</t>
  </si>
  <si>
    <t>Trung cấp Y sĩ khóa 39 (2018)</t>
  </si>
  <si>
    <t>Trung cấp Y sĩ khóa 40 (2019)</t>
  </si>
  <si>
    <t>Trung cấp Y sĩ khóa 41 (2020)</t>
  </si>
  <si>
    <t>Hỗ trợ học bỗng cho học sinh Lào và Campuchia</t>
  </si>
  <si>
    <t>MGHP theo NĐ 86/2015</t>
  </si>
  <si>
    <t>Tổng dự toán chi NSNN năm 2020, số tiền bằng chữ: Ba tỷ tám trăm năm mươi chín triệu đồng.</t>
  </si>
  <si>
    <r>
      <t xml:space="preserve">Hôm nay, vào lúc 7 giờ 30' phút ngày </t>
    </r>
    <r>
      <rPr>
        <sz val="14"/>
        <color rgb="FFFF0000"/>
        <rFont val="Times New Roman"/>
        <family val="1"/>
      </rPr>
      <t>13</t>
    </r>
    <r>
      <rPr>
        <sz val="14"/>
        <color theme="1"/>
        <rFont val="Times New Roman"/>
        <family val="1"/>
      </rPr>
      <t xml:space="preserve"> tháng 9 năm 2019, tại Sở Tài chính tiến hành trao đổi số liệu dự toán NSNN năm 2020 và kế hoạch tài chính NS giai đoạn 03 năm 2020-2022.</t>
    </r>
  </si>
  <si>
    <t xml:space="preserve">    - Ông: Phan Huỳnh Đăng Khoa</t>
  </si>
  <si>
    <r>
      <t xml:space="preserve">Hôm nay, vào lúc 8 giờ 30' phút ngày </t>
    </r>
    <r>
      <rPr>
        <sz val="14"/>
        <color rgb="FFFF0000"/>
        <rFont val="Times New Roman"/>
        <family val="1"/>
      </rPr>
      <t>13</t>
    </r>
    <r>
      <rPr>
        <sz val="14"/>
        <color theme="1"/>
        <rFont val="Times New Roman"/>
        <family val="1"/>
      </rPr>
      <t xml:space="preserve"> tháng 9 năm 2019, tại Sở Tài chính tiến hành trao đổi số liệu dự toán NSNN năm 2020 và kế hoạch tài chính NS giai đoạn 03 năm 2020-2022.</t>
    </r>
  </si>
  <si>
    <t>Biên soạn và chỉnh sửa chương trình</t>
  </si>
  <si>
    <t>Hỗ trợ học bổng cho lưu học sinh</t>
  </si>
  <si>
    <t xml:space="preserve"> - Quỹ lương 45 biên chế có mặt</t>
  </si>
  <si>
    <t>Chi hoạt động theo định mức của 49 biên chế (20 trđ/biên chế)</t>
  </si>
  <si>
    <t>Sửa chữa thiết bị</t>
  </si>
  <si>
    <t>Sửa chữa các phòng, khoa</t>
  </si>
  <si>
    <t>Kinh phí không tự chủ</t>
  </si>
  <si>
    <t>Tổng dự toán chi NSNN năm 2020, số tiền bằng chữ: Ba mươi chín tỷ tám trăm mười bốn triệu đồng.</t>
  </si>
  <si>
    <t>Phó Chánh VP</t>
  </si>
  <si>
    <t xml:space="preserve">    - Ông: Nguyễn Nam Xuân</t>
  </si>
  <si>
    <t>GĐ Trung tâm QHĐTNT</t>
  </si>
  <si>
    <t xml:space="preserve">    - Ông: Nguyễn Tuấn Anh</t>
  </si>
  <si>
    <t>Trung tâm QHĐTNT</t>
  </si>
  <si>
    <t>Trung tâm Quy hoạch ĐTNT</t>
  </si>
  <si>
    <t xml:space="preserve"> - Nguồn thu nhà ở SV</t>
  </si>
  <si>
    <t xml:space="preserve"> - Nguồn thu nhà ở SV, nhà công vụ</t>
  </si>
  <si>
    <t xml:space="preserve"> - Nguồn thu nhà công vụ</t>
  </si>
  <si>
    <t xml:space="preserve"> - Nguồn thu được sử dụng sau khi trừ chi phí bảo trì</t>
  </si>
  <si>
    <t xml:space="preserve"> =&gt; Tổng nguồn thu được sử dụng</t>
  </si>
  <si>
    <t xml:space="preserve"> - Dự toán chi phí bao gồm 07 người quản lý, 08 bảo vệ, 03 tạp vụ</t>
  </si>
  <si>
    <t xml:space="preserve"> =&gt; Chênh lệch ngân sách hỗ trợ</t>
  </si>
  <si>
    <t xml:space="preserve"> - Nguồn thu được để lại</t>
  </si>
  <si>
    <t xml:space="preserve"> - Nguồn thu sau khi trừ chi phí chuyên môn</t>
  </si>
  <si>
    <t>Quỹ lương và các khoản phụ cấp của 33 biên chế</t>
  </si>
  <si>
    <t>Hoạt động theo định mức</t>
  </si>
  <si>
    <t>60% nguồn thu đảm bảo hoạt động</t>
  </si>
  <si>
    <t>Trung tâm Giám định chất lượng XD (1+2-3-4)</t>
  </si>
  <si>
    <t>Kinh phí hoạt động đảng và ĐH</t>
  </si>
  <si>
    <t>Mua sắm (máy chủ 140 trđ, 02 máy vi tính 30 trđ, 02 máy in 20 trđ, 02 máy chiếu 60 trđ, 02 máy lạnh 30 trđ, 01 bộ bàn ghế làm việc 5 trđ)</t>
  </si>
  <si>
    <t>Thực hiện các bộ đơn giá xây dựng theo NĐ 68/2019/NĐ-CP</t>
  </si>
  <si>
    <t xml:space="preserve">Mua 02 bộ bàn ghế làm việc, 01 máy in, 02 kệ HS, </t>
  </si>
  <si>
    <t>Tổng dự toán chi NSNN năm 2020, số tiền bằng chữ: Chín tỷ hai trăm ba mươi lăm triệu đồng.</t>
  </si>
  <si>
    <t xml:space="preserve">    - Ông: Lê Hữu Lợi</t>
  </si>
  <si>
    <t>GĐ Trung tâm GĐXD</t>
  </si>
  <si>
    <t xml:space="preserve">    - Bà: Huỳnh Thị Bích Lam</t>
  </si>
  <si>
    <t xml:space="preserve">    - Bà: Huỳnh Thị Nguyệt Nga</t>
  </si>
  <si>
    <t>Văn phòng Sở (I+II)</t>
  </si>
  <si>
    <t>Hôm nay, vào lúc 13 giờ 30' phút ngày 13 tháng 9 năm 2019, tại Sở Tài chính tiến hành trao đổi số liệu dự toán NSNN năm 2020 và kế hoạch tài chính NS giai đoạn 03 năm 2020-2022.</t>
  </si>
  <si>
    <r>
      <t xml:space="preserve">Hôm nay, vào lúc 15 giờ 40' phút ngày </t>
    </r>
    <r>
      <rPr>
        <sz val="14"/>
        <color rgb="FFFF0000"/>
        <rFont val="Times New Roman"/>
        <family val="1"/>
      </rPr>
      <t>13</t>
    </r>
    <r>
      <rPr>
        <sz val="14"/>
        <color theme="1"/>
        <rFont val="Times New Roman"/>
        <family val="1"/>
      </rPr>
      <t xml:space="preserve"> tháng 9 năm 2019, tại Sở Tài chính tiến hành trao đổi số liệu dự toán NSNN năm 2020 và kế hoạch tài chính NS giai đoạn 03 năm 2020-2022.</t>
    </r>
  </si>
  <si>
    <t>Hoạt động theo định mức (20trđ/biên chế)</t>
  </si>
  <si>
    <t>Quỹ lương và dự kiến nâng lương của 39 biên chế và 06 LĐHĐ theo NĐ68 được giao</t>
  </si>
  <si>
    <t xml:space="preserve">  + Thu câu cá, tận thu thủy sản, khác</t>
  </si>
  <si>
    <t xml:space="preserve"> - Quỹ lương 06 LĐHĐ theo NĐ 68</t>
  </si>
  <si>
    <t xml:space="preserve"> - Quỹ lương 33 biên chế có mặt</t>
  </si>
  <si>
    <t xml:space="preserve">  + Tiền lương 42 HĐ có mặt</t>
  </si>
  <si>
    <t xml:space="preserve">  + Tiền lương 08 HĐ chưa có mặt</t>
  </si>
  <si>
    <t>Sửa chữa tài sản</t>
  </si>
  <si>
    <t xml:space="preserve">  + 04 máy vi tính</t>
  </si>
  <si>
    <t xml:space="preserve">  + 01 máy in</t>
  </si>
  <si>
    <t xml:space="preserve">  + Bàn ghế làm việc GĐ</t>
  </si>
  <si>
    <t xml:space="preserve">  + 10 tủ hồ sơ</t>
  </si>
  <si>
    <t xml:space="preserve">  + Tủ tài liệu phòng GĐ</t>
  </si>
  <si>
    <t xml:space="preserve">  + Trang phục lực lượng bảo vệ rừng chuyên trách đối với HĐ từ 24 tháng trở lên: 46 người x 4trđ/người theo Thông tư 08</t>
  </si>
  <si>
    <t xml:space="preserve">  + Bảo hộ lao động của 28 b/c, 06 HĐ 68: 41 người x 1trđ/người theo QĐ 481/QĐ-UBND-HC</t>
  </si>
  <si>
    <t>KH bảo tồn cây bản địa (77/UBND-KT ngày 01/02/2019)</t>
  </si>
  <si>
    <t>KH bảo tồn phát triển sinh vật (482/UBND-KTN ngày 21/11/2018)</t>
  </si>
  <si>
    <t>Kế hoạch phục hồi và giám sát đa dạng sinh học (482/UBND-KTN ngày 21/11/2018)</t>
  </si>
  <si>
    <t>Đề án ngăn ngừa và kiểm soát sinh vật ngoại lai (744/QĐ-UBND-HC ngày 24/6/2016)</t>
  </si>
  <si>
    <t>Trồng và chăm sóc rừng theo CV 329/UBND-KTN ngày 20/8/2018</t>
  </si>
  <si>
    <t>Đối ứng dự án viện trợ phi chính phủ nước ngoài (DA APFNET)
754/QĐ-UBND-HC ngày 26/7/2019</t>
  </si>
  <si>
    <t>Mua sắm tài sản (TTBTPTSV)</t>
  </si>
  <si>
    <t xml:space="preserve">  + Cột thu lôi chống sét 6 trạm BV</t>
  </si>
  <si>
    <t xml:space="preserve">Số người được giao </t>
  </si>
  <si>
    <t>Số người thực tế</t>
  </si>
  <si>
    <t xml:space="preserve">  + Mua camera từ nguồn thu</t>
  </si>
  <si>
    <t>Tổng dự toán chi NSNN năm 2020, số tiền bằng chữ: Mười ba tỷ không trăm lẻ chín triệu đồng.</t>
  </si>
  <si>
    <t xml:space="preserve"> - Tiền lương của 09 biên chế có mặt</t>
  </si>
  <si>
    <t xml:space="preserve"> - Tổng quỹ lương của 11 biên chế chưa có mặt</t>
  </si>
  <si>
    <t>Chi hoạt động theo định mức của 20 biên chế (19 trđ/biên chế)</t>
  </si>
  <si>
    <t xml:space="preserve"> - Tổng quỹ lương của 2 lao động HĐ theo NĐ 68</t>
  </si>
  <si>
    <t>Triển khai, tập huấn Luật trợ giúp pháp lý cho hòa giải viên cơ sở</t>
  </si>
  <si>
    <t>Mua 07 bộ bàn ghế làm việc, 08 máy vi tính</t>
  </si>
  <si>
    <t>Trung tâm Trợ giúp pháp lý (I+II)</t>
  </si>
  <si>
    <t>Chi phí phục vụ công tác tuyên truyền, phổ biến giáo dục pháp luật (quản lý văn bản; phổ biến GDPL, triển khai, tập huấn hòa giải cơ sở; VPP, bưu chính, chi phí công tác ...)</t>
  </si>
  <si>
    <t xml:space="preserve"> - Tiền lương của 28 biên chế có mặt</t>
  </si>
  <si>
    <t xml:space="preserve"> - Tiền lương 07 biên chế chưa có mặt</t>
  </si>
  <si>
    <t>Hôm nay, vào lúc 07 giờ 30' phút ngày 16 tháng 9 năm 2019, tại Sở Tài chính tiến hành trao đổi số liệu dự toán NSNN năm 2020 và kế hoạch tài chính NS giai đoạn 03 năm 2020-2022.</t>
  </si>
  <si>
    <t>Tổng dự toán chi NSNN năm 2020, số tiền bằng chữ: Chín tỷ bốn trăm tám mươi ba triệu đồng.</t>
  </si>
  <si>
    <t>Mua sắm (05 máy vi tính cho 05 công chức mới tuyển, 01 máy chủ 140 trđ. Đơn vị sử dụng từ nguồn thu được để lại để trang bị thay thế một số máy vi tính cũ)</t>
  </si>
  <si>
    <t>Sửa chữa Hội trường xét xử của Tòa án cũ để giao cho 02 đơn vị sự nghiệp trực thuộc</t>
  </si>
  <si>
    <t>Tổng dự toán chi NSNN năm 2020, số tiền bằng chữ: Mười ba tỷ bốn trăm lẻ tám triệu đồng.</t>
  </si>
  <si>
    <t>Biên bản kết thúc lúc 09 giờ 30' cùng ngày, tất cả cùng thống nhất ký tên./.</t>
  </si>
  <si>
    <t xml:space="preserve"> - Tổng số thu nộp NSNN, chi đơn vị phối hợp</t>
  </si>
  <si>
    <t>Công tác đột xuất, giao tiếp, tiếp công dân</t>
  </si>
  <si>
    <t>Hôm nay, vào lúc 13 giờ 30' phút ngày 16 tháng 9 năm 2019, tại Sở Tài chính tiến hành trao đổi số liệu dự toán NSNN năm 2020 và kế hoạch tài chính NS giai đoạn 03 năm 2020-2022.</t>
  </si>
  <si>
    <t xml:space="preserve">    - Ông: Trần Trí Quang</t>
  </si>
  <si>
    <t xml:space="preserve"> - Tổng số thu phí được để lại sau khi trừ chi phí</t>
  </si>
  <si>
    <t xml:space="preserve">    - Ông: Lê Minh Phong</t>
  </si>
  <si>
    <t>Giám đốc Cảng vụ ĐTNĐ</t>
  </si>
  <si>
    <t>Mua sắm (01 máy đo độ sâu cầm tay 8trđ; 02 máy vi tính chuyên dùng và 04 máy vi tính 90trđ; 01 chiếc phương tiện thủy 110trđ)</t>
  </si>
  <si>
    <t>Kinh phí thực hiện công tác thu lệ phí ra, vào cảng, bến thủy nội địa sử dụng từ nguồn phí được để lại</t>
  </si>
  <si>
    <r>
      <t xml:space="preserve"> - Quỹ lương của 07</t>
    </r>
    <r>
      <rPr>
        <sz val="14"/>
        <color rgb="FFFF0000"/>
        <rFont val="Times New Roman"/>
        <family val="1"/>
      </rPr>
      <t xml:space="preserve"> </t>
    </r>
    <r>
      <rPr>
        <sz val="14"/>
        <color rgb="FF000000"/>
        <rFont val="Times New Roman"/>
        <family val="1"/>
      </rPr>
      <t>biên chế có mặt</t>
    </r>
  </si>
  <si>
    <r>
      <t xml:space="preserve">Trung tâm Đăng kiểm phương tiện thủy bộ </t>
    </r>
    <r>
      <rPr>
        <sz val="14"/>
        <rFont val="Times New Roman"/>
        <family val="1"/>
      </rPr>
      <t>(cấp lại kinh phí thu lệ phí nộp ngân sách)</t>
    </r>
  </si>
  <si>
    <t xml:space="preserve"> - Quỹ lương của 65 biên chế có mặt</t>
  </si>
  <si>
    <t>Chi hoạt động theo định mức của 69 biên chế (20 trđ/biên chế)</t>
  </si>
  <si>
    <t xml:space="preserve"> - Nguồn thu sau khi trừ chi phí thuê sân, hội trường … sát hạch GPLX</t>
  </si>
  <si>
    <t>Công tác đột xuất, giao tiếp (sử dụng thêm từ nguồn thu 100 trđ)</t>
  </si>
  <si>
    <t>Trang phục thanh tra (31 người)</t>
  </si>
  <si>
    <t>Sửa chữa xe, tài sản khác và nâng cấp máy chủ</t>
  </si>
  <si>
    <t>Tổng quỹ lương và dự kiến nâng lương định kỳ của 04 biên chế phục vụ công tác quản lý và ĐT các lớp dài hạn</t>
  </si>
  <si>
    <t>Tổng dự toán chi NSNN năm 2020, số tiền bằng chữ: Năm mươi bốn tỷ một trăm năm mươi triệu đồng.</t>
  </si>
  <si>
    <t>Mua sắm (06 máy vi tính 90 trđ; 03 máy in 30 trđ). Đơn vị sử dụng từ nguồn thu phí được để lại để mua máy ảnh, máy scan, tủ hồ sơ, hệ thống âm thanh, phần mềm …</t>
  </si>
  <si>
    <t xml:space="preserve">    - Ông: Huỳnh Văn Quản</t>
  </si>
  <si>
    <t>Sửa chữa trụ sở phục vụ hoạt động khởi nghiệp đổi mới sáng tạo và sàn giao dịch công nghệ</t>
  </si>
  <si>
    <t>Sửa chữa phục vụ công tác QLNN về KHCN</t>
  </si>
  <si>
    <t>Chi hoạt động theo định mức của 12 biên chế (19 trđ/biên chế)</t>
  </si>
  <si>
    <t>Trang phục ngành</t>
  </si>
  <si>
    <t>Công tác phí thẩm định giá tài sản</t>
  </si>
  <si>
    <t>Mua 02 kệ hồ sơ, 01 tủ để mẫu</t>
  </si>
  <si>
    <t>Biên bản kết thúc lúc 08 giờ 45' cùng ngày, tất cả cùng thống nhất ký tên./.</t>
  </si>
  <si>
    <r>
      <t xml:space="preserve"> - Quỹ lương của 10</t>
    </r>
    <r>
      <rPr>
        <sz val="14"/>
        <color rgb="FFFF0000"/>
        <rFont val="Times New Roman"/>
        <family val="1"/>
      </rPr>
      <t xml:space="preserve"> </t>
    </r>
    <r>
      <rPr>
        <sz val="14"/>
        <color rgb="FF000000"/>
        <rFont val="Times New Roman"/>
        <family val="1"/>
      </rPr>
      <t>biên chế có mặt</t>
    </r>
  </si>
  <si>
    <t>Hôm nay, vào lúc 07 giờ 30' phút ngày 17 tháng 9 năm 2019, tại Sở Tài chính tiến hành trao đổi số liệu dự toán NSNN năm 2020 và kế hoạch tài chính NS giai đoạn 03 năm 2020-2022.</t>
  </si>
  <si>
    <t>Tổng dự toán chi NSNN năm 2020, số tiền bằng chữ: Ba mươi mốt tỷ chín trăm tám mươi tám triệu đồng.</t>
  </si>
  <si>
    <t>Mua sắm (02 máy lạnh, 05 kệ HS, 30 ghế HT, 05 máy vi tính, 15 tích điện, bảo trì HT mạng, thiết bị tin học …)</t>
  </si>
  <si>
    <r>
      <t xml:space="preserve"> - Quỹ lương của 26</t>
    </r>
    <r>
      <rPr>
        <sz val="14"/>
        <color rgb="FFFF0000"/>
        <rFont val="Times New Roman"/>
        <family val="1"/>
      </rPr>
      <t xml:space="preserve"> </t>
    </r>
    <r>
      <rPr>
        <sz val="14"/>
        <color rgb="FF000000"/>
        <rFont val="Times New Roman"/>
        <family val="1"/>
      </rPr>
      <t>biên chế có mặt</t>
    </r>
  </si>
  <si>
    <r>
      <t xml:space="preserve"> - Quỹ lương của </t>
    </r>
    <r>
      <rPr>
        <sz val="14"/>
        <color rgb="FFFF0000"/>
        <rFont val="Times New Roman"/>
        <family val="1"/>
      </rPr>
      <t>05</t>
    </r>
    <r>
      <rPr>
        <sz val="14"/>
        <color rgb="FF000000"/>
        <rFont val="Times New Roman"/>
        <family val="1"/>
      </rPr>
      <t xml:space="preserve"> lao động HĐ theo NĐ 68</t>
    </r>
  </si>
  <si>
    <t xml:space="preserve"> - Quỹ lương của 08 lao động HĐ theo NĐ 68</t>
  </si>
  <si>
    <r>
      <t>Chi hoạt động theo định mức của 52</t>
    </r>
    <r>
      <rPr>
        <sz val="14"/>
        <color rgb="FFFF0000"/>
        <rFont val="Times New Roman"/>
        <family val="1"/>
      </rPr>
      <t xml:space="preserve"> </t>
    </r>
    <r>
      <rPr>
        <sz val="14"/>
        <rFont val="Times New Roman"/>
        <family val="1"/>
      </rPr>
      <t>biên chế (20 trđ/biên chế)</t>
    </r>
  </si>
  <si>
    <t xml:space="preserve">    - Ông: Huỳnh Kim Khuê</t>
  </si>
  <si>
    <t xml:space="preserve">  * Đại diện đơn vị: Trung tâm Xúc tiến, Thương mại Du lịch và ĐT</t>
  </si>
  <si>
    <t>GĐ Trung tâm XTTMDL&amp;ĐT</t>
  </si>
  <si>
    <t>Phó GĐ Trung tâm XTTMDL&amp;ĐT</t>
  </si>
  <si>
    <t>Trung tâm Xúc tiến, TMDL&amp;ĐT (I+II)</t>
  </si>
  <si>
    <t xml:space="preserve"> - Tổng số thu dịch vụ</t>
  </si>
  <si>
    <t xml:space="preserve"> - Tổng số thu dịch vụ sau khi trừ chi phí</t>
  </si>
  <si>
    <t xml:space="preserve"> - Quỹ lương 16 biên chế chưa có mặt</t>
  </si>
  <si>
    <t>Hoạt động đảng và ĐH</t>
  </si>
  <si>
    <t>Mua 08 máy vi tính, 02 máy in</t>
  </si>
  <si>
    <t>60% nguồn thu để bổ sung hoạt động dành tái đầu tư, mua sắm, sửa chữa</t>
  </si>
  <si>
    <t xml:space="preserve"> - Tổng số thu dịch vụ được để lại</t>
  </si>
  <si>
    <t xml:space="preserve">  + Sửa chữa Trạm dừng chân C4</t>
  </si>
  <si>
    <t xml:space="preserve">  + Sửa chữa hệ thống ván lót cầu dẫn lên cầu vượt</t>
  </si>
  <si>
    <t xml:space="preserve">  + Năm 2019: Trang bị bàn, ghế, mua sắm dụng cụ khu ẩm thực; Xây dựng bến tàu khu ẩm thực; Sửa chữa nhà che tắc ráng; Cải tạo cảnh quan, tiểu cảnh các điểm đón khách; Sửa chữa nhà chiếu phim; Sửa chữa nhà trưng bày trứng chim và các nước ngọt</t>
  </si>
  <si>
    <t>Dọn vệ sinh, PCCC rừng khu vực 2 phục vụ khách tham quan; Nạo vét các tuyến kênh PCCCR; Phục dựng nhà Nam bộ, vườn trồng rau, trưng bày nông ngư cụ phục vụ khách tham quan</t>
  </si>
  <si>
    <t>Đơn vị sử dụng nguồn thu để thực hiện các nội dung, gồm: sửa chữa nhà chờ xe ô tô Trạm dừng chân C4, mái che nhà xe 2 bánh, quầy bán vé khu đón khách: 140 trđ</t>
  </si>
  <si>
    <t>Hôm nay, vào lúc 09 giờ 00' phút ngày 17 tháng 9 năm 2019, tại Sở Tài chính tiến hành trao đổi số liệu dự toán NSNN năm 2020 và kế hoạch tài chính NS giai đoạn 03 năm 2020-2022.</t>
  </si>
  <si>
    <t xml:space="preserve">  + Sửa chữa nhà VS khu đón khách</t>
  </si>
  <si>
    <t>Tổng dự toán chi NSNN năm 2020, số tiền bằng chữ: Mười lăm tỷ ba trăm tám mươi tám triệu đồng.</t>
  </si>
  <si>
    <t xml:space="preserve"> - Quỹ lương 47 biên chế có mặt</t>
  </si>
  <si>
    <t>Chi hoạt động theo định mức của 57 biên chế (20 trđ/biên chế)</t>
  </si>
  <si>
    <t xml:space="preserve">    - Ông: Ngô Quang Tuyên</t>
  </si>
  <si>
    <t>Hôm nay, vào lúc 13 giờ 40' phút ngày 17 tháng 9 năm 2019, tại Sở Tài chính tiến hành trao đổi số liệu dự toán NSNN năm 2020 và kế hoạch tài chính NS giai đoạn 03 năm 2020-2022.</t>
  </si>
  <si>
    <t xml:space="preserve">    - Bà: Huỳnh Thị Loan Anh</t>
  </si>
  <si>
    <t>KP xử phạt vi phạm hành chính, trang phục thanh tra</t>
  </si>
  <si>
    <t>Mua sắm (04 máy in, 01 máy scan, 10 máy vi tính)</t>
  </si>
  <si>
    <t>Mua sắm (10 máy vi tính 150 trđ; máy quay phim kết hợp chụp ảnh 30 trđ; máy bơm hút vệ sinh hồ cá 20 trđ)</t>
  </si>
  <si>
    <t>Tổng quỹ lương và hoạt động của số biên chế và số LĐHĐ theo NĐ 68 được giao</t>
  </si>
  <si>
    <t>Chi thường xuyên (a-b-c)</t>
  </si>
  <si>
    <t>Hoạt động kỷ niệm ngày 08/3; HM các nữ LĐ qua các thời kỳ</t>
  </si>
  <si>
    <t>HN biểu dương điển hình tiên tiến</t>
  </si>
  <si>
    <t>Mua sắm, sửa chữa</t>
  </si>
  <si>
    <t>Tập huấn, bồi dưỡng nghiệp vụ công tác Hội CTXH, kiến thức kỹ năng ... (Đề án 1893)</t>
  </si>
  <si>
    <t>Tập huấn nâng cao NL CB cấp xã thực hiện công tác GS, phản biện XH (KH 298/KH-UBND)</t>
  </si>
  <si>
    <t xml:space="preserve"> - Tổng kinh phí hoạt động theo định mức 19trđ/biên chế</t>
  </si>
  <si>
    <t>Kinh phí hoạt động chuyên môn của ngành (mừng Đảng mừng xuân, CTr nghệ thuật Lễ hội Giao thừa, kỷ niệm các ngày lễ lớn …, mua sắm, sửa chữa của các đơn vị trực thuộc)</t>
  </si>
  <si>
    <t>Đề án Phát triển du lịch</t>
  </si>
  <si>
    <t xml:space="preserve"> - Tổng số thu dự kiến (đơn vị tính toán lại số thu để trích nguồn CCTL và cân đối bù hoạt động)</t>
  </si>
  <si>
    <t>Tổng quỹ lương và hoạt động của số biên chế được giao</t>
  </si>
  <si>
    <t xml:space="preserve"> - Quỹ lương của 81 biên chế có mặt</t>
  </si>
  <si>
    <t xml:space="preserve"> - Quỹ lương 19 biên chế chưa có mặt</t>
  </si>
  <si>
    <t xml:space="preserve"> - Quỹ lương 05 LĐHĐ theo NĐ 68</t>
  </si>
  <si>
    <t>Hoạt động theo định mức của 100 biên chế (19trđ/biên chế)</t>
  </si>
  <si>
    <t>60% nguồn thu phải cân đối đảm bảo hoạt động</t>
  </si>
  <si>
    <t>Chi thường xuyên (a+b-c-d)</t>
  </si>
  <si>
    <t xml:space="preserve"> - 10% tiết kiệm chi thường xuyên [(b-d)x10%]</t>
  </si>
  <si>
    <t>Kinh phí đào tạo VĐV bóng đá U13, năng khiếu, tuyển, trẻ …</t>
  </si>
  <si>
    <t>Hoạt động thể thao cho mọi người</t>
  </si>
  <si>
    <t>SN THỂ DỤC THỂ THAO</t>
  </si>
  <si>
    <t>Ghi nhận kinh phí lập hồ sơ đề cử UNESCO vinh danh Di sản văn hóa thế giới đối với Khu Di tích QG đặc biệt Gò Tháp khi có chủ trương (327/UBND-THVX ngày 16/8/2019)</t>
  </si>
  <si>
    <t>Kinh phí chênh lệch do điều chỉnh định mức chế độ dinh dưỡng</t>
  </si>
  <si>
    <t>Kinh phí đào tạo theo KH 75</t>
  </si>
  <si>
    <t>Chiến lược bóng đá theo KH 74</t>
  </si>
  <si>
    <t>Kinh phí đăng cai các giải</t>
  </si>
  <si>
    <t>Kinh phí đào tạo VĐV bóng đá U13, năng khiếu, tuyển, trẻ … (bố trí thêm do SNTT không cân đối được)</t>
  </si>
  <si>
    <t>Đăng cai các giải thể thao khu vực, quốc gia</t>
  </si>
  <si>
    <t>Tổng dự toán chi NSNN năm 2020, số tiền bằng chữ: Một trăm mười chín tỷ bảy trăm mười triệu đồng.</t>
  </si>
  <si>
    <t xml:space="preserve"> - Tổng số thu (đơn vị tính toán lại nguồn thu để trích nguồn CCTL và cân đối bù hoạt động)</t>
  </si>
  <si>
    <t>Kinh phí tự chủ của Trung tâm Huấn luyện và TĐTDTT</t>
  </si>
  <si>
    <r>
      <rPr>
        <b/>
        <sz val="14"/>
        <rFont val="Times New Roman"/>
        <family val="1"/>
      </rPr>
      <t>* Ghi chú:</t>
    </r>
    <r>
      <rPr>
        <sz val="14"/>
        <rFont val="Times New Roman"/>
        <family val="1"/>
      </rPr>
      <t xml:space="preserve"> Đề nghị Sở Văn hóa, Thể thao và Du lịch tính toán lại số thu, kinh phí tự chủ các đơn vị trực thuộc và phân bổ chi tiết kinh phí không tự chủ gửi Sở Tài chính chậm nhất vào ngày 19/9/2019.</t>
    </r>
  </si>
  <si>
    <t>Kinh phí tự chủ các đơn vị trực thuộc</t>
  </si>
  <si>
    <t>Quỹ lương, dự kiến nâng lương của số biên chế được giao</t>
  </si>
  <si>
    <t xml:space="preserve"> - Quỹ lương 38 biên chế có mặt</t>
  </si>
  <si>
    <t xml:space="preserve"> - Quỹ lương 14 biên chế chưa có mặt</t>
  </si>
  <si>
    <t xml:space="preserve"> - Quỹ lương 09 biên chế chưa có mặt</t>
  </si>
  <si>
    <t xml:space="preserve"> - Quỹ lương 39 biên chế có mặt</t>
  </si>
  <si>
    <t xml:space="preserve"> - Quỹ lương 08 biên chế chưa có mặt</t>
  </si>
  <si>
    <t>Quỹ lương, dự kiến nâng lương của số biên chế và số LĐHĐ theo NĐ 68 được giao</t>
  </si>
  <si>
    <t>Hôm nay, vào lúc 07 giờ 30' phút ngày 18 tháng 9 năm 2019, tại Sở Tài chính tiến hành trao đổi số liệu dự toán NSNN năm 2020 và kế hoạch tài chính NS giai đoạn 03 năm 2020-2022.</t>
  </si>
  <si>
    <r>
      <t xml:space="preserve"> - Quỹ lương 52</t>
    </r>
    <r>
      <rPr>
        <sz val="14"/>
        <color rgb="FFFF0000"/>
        <rFont val="Times New Roman"/>
        <family val="1"/>
      </rPr>
      <t xml:space="preserve"> </t>
    </r>
    <r>
      <rPr>
        <sz val="14"/>
        <color rgb="FF000000"/>
        <rFont val="Times New Roman"/>
        <family val="1"/>
      </rPr>
      <t>biên chế có mặt</t>
    </r>
  </si>
  <si>
    <t>Trang phục thanh tra 05 người</t>
  </si>
  <si>
    <t>Mua sắm (03 máy vi tính 45 trđ, 01 máy scan 20 trđ, 01 máy in 10 trđ, 01 máy lạnh 16 trđ)</t>
  </si>
  <si>
    <t>Trang bị sách giáo khoa phục vụ thay sách đổi mới chương trình lớp 1 theo Quyết định 1152/QĐ-UBND-HC</t>
  </si>
  <si>
    <t>Thực hiện chuyên mục Giáo dục đào tạo (Báo, Đài)</t>
  </si>
  <si>
    <t xml:space="preserve">Thiết bị dạy học khối 12 trường THCS-THPT Tân Mỹ </t>
  </si>
  <si>
    <t>Phần mềm chấm thi, máy quét cấp THPT theo cv 379/UBND-KGVX ngày 26/10/2018</t>
  </si>
  <si>
    <t xml:space="preserve">    - Bà: Huỳnh Thị Diện</t>
  </si>
  <si>
    <t xml:space="preserve">    - Ông: Từ Ngọc Văn</t>
  </si>
  <si>
    <t>Phó TP Tiểu học</t>
  </si>
  <si>
    <t>Học bổng cho học sinh trường Nguyễn Đình Chiểu và trường Nguyễn Quang Diêu</t>
  </si>
  <si>
    <t>Tiền ăn trường Nuôi dạy trẻ khuyết tật</t>
  </si>
  <si>
    <t>Miễn, giảm học phí</t>
  </si>
  <si>
    <t>Hỗ trợ chi phí học tập cho học sinh khuyết tật theo TT 42</t>
  </si>
  <si>
    <t>Bồi dưỡng nâng cao năng lực sư phạm và ứng dụng công nghệ thông tin trong giảng dạy ngoại ngữ theo KH 40/KH-UBND ngày 26/02/2019</t>
  </si>
  <si>
    <t>Khen thưởng thường xuyên và đột xuất hoạt động ngành, trường đạt chuẩn quốc gia</t>
  </si>
  <si>
    <t>Kinh phí hoạt động Đảng và ĐH Đảng các trường</t>
  </si>
  <si>
    <t>Kinh phí NS cấp thêm để đảm bảo các đề án, kế hoạch và hoạt động chuyên môn của ngành (109.049 trđ) sau khi cân đối từ phần kinh phí CL giữa hoạt động tỷ lệ 18% và 15%</t>
  </si>
  <si>
    <t>SỰ NGHIỆP THỂ DỤC TT</t>
  </si>
  <si>
    <t>Mua thiết bị TDTT bổ sung cho sân tập các trường theo Đề án tổng thể phát triển giáo dục thể chất và Thể thao trường học 2018-2020, tầm nhìn đến năm 2025</t>
  </si>
  <si>
    <t>Đào tạo vận động viên tham gia Hội khỏe Phù Đổng theo Đề án tổng thể phát triển giáo dục thể chất và Thể thao trường học 2018-2020, tầm nhìn đến năm 2025 (bổ sung có mục tiêu về huyện)</t>
  </si>
  <si>
    <t>Chi hoạt động (theo tỷ lệ 18%)</t>
  </si>
  <si>
    <t xml:space="preserve"> - Thu căn tin, nhà xe</t>
  </si>
  <si>
    <t>02 trung tâm GDTX (2+3-4)</t>
  </si>
  <si>
    <t>Mua 01 máy in phục vụ in bằng tốt nghiệp và cấp bảng sao THPT</t>
  </si>
  <si>
    <t>Sửa chữa các đơn vị trực thuộc</t>
  </si>
  <si>
    <t xml:space="preserve"> - Thẩm định sáng kiến kinh nghiệm,thi đua năm học 2019-2020</t>
  </si>
  <si>
    <t xml:space="preserve"> - Tổ chức Ngày hội giao lưu của Bé, Hội khỏe măng non …</t>
  </si>
  <si>
    <t xml:space="preserve"> - Tổ chức thi giáo viên dạy giỏi cấp MN, THCS, THPT </t>
  </si>
  <si>
    <t xml:space="preserve"> - Tổ chức hội nghị, hội thảo, hội giảng, tập huấn chuyên môn, họp trực tuyến</t>
  </si>
  <si>
    <t xml:space="preserve"> - Tổ chức ra đề thi diễn tập TN THPT; tập huấn ôn thi THPT quốc gia 9 môn; thuê bao server điểm thi THPT quốc gia, ôn thi THPT quốc gia trực tuyến (3 môn: Ngữ văn, Toán, Tiếng Anh); hội thảo, hội giảng chuyên môn các môn thi THPT quốc gia</t>
  </si>
  <si>
    <t xml:space="preserve"> - Tổ chức Tuần lễ học tập suốt đời; hoạt động vì sự tiến bộ phụ nữ</t>
  </si>
  <si>
    <t xml:space="preserve"> - Công tác kiểm định chất lượng giáo dục, trường đạt chuẩn quốc gia</t>
  </si>
  <si>
    <t xml:space="preserve"> - Tổ chức thi học sinh giỏi Tin học trẻ Vòng tỉnh, bồi dưỡng học sinh giỏi dự thi cấp quốc gia</t>
  </si>
  <si>
    <t xml:space="preserve"> - Tổ chức tuyên truyền biển, đảo; Phổ biến giáo dục pháp luật, tổ chức thi tuyên truyền (biểu diễn tiểu phẩm)</t>
  </si>
  <si>
    <t>Đơn vị cân đối từ KP hoạt động (18%) để thực hiện các nội dung:</t>
  </si>
  <si>
    <t xml:space="preserve"> - Triển khai GD STEM; giáo dục theo định hướng tích hợp khoa học, công nghệ, kỹ thuật - toán theo KH 143/KH-UBND</t>
  </si>
  <si>
    <t xml:space="preserve"> - Khảo sát mức độ hài lòng</t>
  </si>
  <si>
    <t xml:space="preserve"> - Sơ kết 05 năm thực hiện Chỉ thị 05 và PTr thi đua đổi mới sáng tạo trong dạy và học</t>
  </si>
  <si>
    <t xml:space="preserve"> - Phòng họp trực tuyến của các đơn vị trực thuộc (NS hỗ trợ 50% 2.150trđ, KP hoạt động SN đối ứng 50%)</t>
  </si>
  <si>
    <t xml:space="preserve"> - Phần mềm quản lý thiết bị trường học THPT</t>
  </si>
  <si>
    <t xml:space="preserve"> - Trang bị tài liệu (tấm gương đạo đức HCM) thực hiện Chỉ thị 05 và kỹ năng sống cho các đơn vị</t>
  </si>
  <si>
    <t xml:space="preserve"> - Trang bị tài liệu kỹ năng và các tình huống ứng xử sư phạm cấp Tiểu học, THCS, THPT</t>
  </si>
  <si>
    <t xml:space="preserve"> - Công tác thanh tra</t>
  </si>
  <si>
    <t xml:space="preserve"> - Hỗ trợ cơ sở vật chất, trang thiết bị 02 Trung tâm GDTX</t>
  </si>
  <si>
    <t xml:space="preserve"> - Dự hội nghị, hội thảo, tập huấn chuyên môn do Bộ và các tỉnh tổ chức</t>
  </si>
  <si>
    <t xml:space="preserve"> - Làm bảng lo go, in bằng công nhận khen thưởng trường đạt chuẩn QG, giấy chứng nhận cá nhân LĐTT, chiến sĩ TĐ cấp cơ sở và khung tập thể LĐTT cho các cơ sở giáo dục</t>
  </si>
  <si>
    <t xml:space="preserve"> - Tổ chức cuộc thi ý tưởng khởi nghiệp, thi tìm hiểu về thế giới nghề nghiệp theo KH 143/KH-UBND</t>
  </si>
  <si>
    <t xml:space="preserve"> - Thi hùng biện Tiếng Anh HS TH, THCS, THPT cấp tỉnh; hội thi KHKT cấp tỉnh và dự thi cấp QG; hội thi pháp ngữ; tham dự Hội thi Cambridge tài năng Khu vực ĐBSCL</t>
  </si>
  <si>
    <t xml:space="preserve"> - Tài liệu chuyên môn; Thẩm định tài liệu văn hóa địa phương giảng dạy ở các trường phổ thông, thẩm định phân phối chương trình</t>
  </si>
  <si>
    <t>Tập huấn CTr thay sách lớp 1</t>
  </si>
  <si>
    <t xml:space="preserve"> - Tập huấn chương trình GDPT mới</t>
  </si>
  <si>
    <t>Thi học sỉnh giỏi lớp 12, lớp 9</t>
  </si>
  <si>
    <t xml:space="preserve"> - Thi diễn tập học sinh giỏi QG, thi chọn đội tuyển học sinh giỏi quốc gia; mời chuyên gia BD học sinh giỏi quốc gia</t>
  </si>
  <si>
    <t>Bồi dưỡng đội tuyển HSG dự thi các đội tuyển Olympic QT</t>
  </si>
  <si>
    <t xml:space="preserve"> - Văn nghệ học đường; hội thi ứng xử tình huống sư phạm</t>
  </si>
  <si>
    <t>Tổ chức giải bơi lội, điền kinh, bóng chuyền, bóng đá Milo HS cấp tỉnh</t>
  </si>
  <si>
    <t>Tổng quỹ lương và dự kiến nâng lương định kỳ của biên chế có mặt</t>
  </si>
  <si>
    <t>Tổng quỹ lương và dự kiến nâng lương định kỳ của số biên chế có mặt</t>
  </si>
  <si>
    <t>Tổng quỹ lương và dự kiến nâng lương định kỳ của số biên chế có mặt (bao gồm 13 LĐHĐ phục vụ)</t>
  </si>
  <si>
    <t>TỔNG CỘNG (A+B+C)</t>
  </si>
  <si>
    <t>Phụ cấp ưu đãi giáo viên dạy hòa nhập (6 trường)</t>
  </si>
  <si>
    <t xml:space="preserve"> - Ngày hội tư vấn, hướng nghiệp</t>
  </si>
  <si>
    <t>Bồi dưỡng học sinh giỏi thi vòng quốc gia THPT (bao gồm cả phần chênh lệch theo QĐ 653: 827 trđ)</t>
  </si>
  <si>
    <t>Thi tuyển vào lớp 10 chuyên, lớp 10 thường</t>
  </si>
  <si>
    <t xml:space="preserve"> - Kiểm tra HKI, HKII cấp THCS</t>
  </si>
  <si>
    <t>Lương và hoạt động của 160 biên chế chưa có mặt theo tỷ lệ 82/18 (4 tháng, đã trừ 10% TK chi TX)</t>
  </si>
  <si>
    <t>Hôm nay, vào lúc 13 giờ 30' phút ngày 18 tháng 9 năm 2019, tại Sở Tài chính tiến hành trao đổi số liệu dự toán NSNN năm 2020 và kế hoạch tài chish NS giai đoạn 03 năm 2020-2022.</t>
  </si>
  <si>
    <t xml:space="preserve">    - Bà: Nguyễn Thị Ánh Xuân</t>
  </si>
  <si>
    <t>Phó TP. Đào tạo</t>
  </si>
  <si>
    <t>Tổng quỹ lương và dự kiến nâng lương định kỳ của 47 biên chế</t>
  </si>
  <si>
    <t>* Tổng số thu dự kiến</t>
  </si>
  <si>
    <t>Cao cấp LLCT-HC Khóa 25 (90 hv)</t>
  </si>
  <si>
    <t>Cao cấp LLCT-HC Khóa 26 (90 hv)</t>
  </si>
  <si>
    <t>Đại học VB 2 chuyên ngành tổ chức (80 hv)</t>
  </si>
  <si>
    <t>Hỗ trợ chi phí đi nghiên cứu thực tế 05 lớp TCLLCT-HC (260hv)</t>
  </si>
  <si>
    <t>Cao cấp LLCT-HC khóa 27 (90 hv)</t>
  </si>
  <si>
    <t>Hỗ trợ chi phí đi nghiên cứu thực tế 05 lớp TCLLCT-HC (310hv)</t>
  </si>
  <si>
    <t>Các lớp LLCTHC mới mở</t>
  </si>
  <si>
    <t>Các lớp bồi dưỡng CBCC</t>
  </si>
  <si>
    <t>Chuyên viên chính K28, K29 (160 hv)</t>
  </si>
  <si>
    <t>Chuyên viên 04 lớp  K50, K51, 52, K53 (320 hv)</t>
  </si>
  <si>
    <t>Bồi dưỡng CBLĐQL cấp phòng (04 lớp) - K21, K22, K23 , K24 (320 hv)</t>
  </si>
  <si>
    <t>Bồi dưỡng đoàn thể 16 lớp (1460 hv)</t>
  </si>
  <si>
    <t>Bồi dưỡng kỹ năng cấp xã (04 lớp-320 hv) theo QĐ 1956</t>
  </si>
  <si>
    <t xml:space="preserve"> - Trung cấp LLCT -HC C154 - Công an tỉnh (797)</t>
  </si>
  <si>
    <t xml:space="preserve"> - Trung cấp LLCT -HC C159 - Công an tỉnh (797)</t>
  </si>
  <si>
    <t>Sơn sửa 08 phòng học</t>
  </si>
  <si>
    <t>Cải tạo phòng ăn GV</t>
  </si>
  <si>
    <t>Sửa chữa tài sản và TB VP</t>
  </si>
  <si>
    <t>Mua sắm (06 máy vi tính; 02 máy đèn chiếu; 06 máy điều hòa; 04 máy nước nóng lạnh)</t>
  </si>
  <si>
    <t>Sửa chữa nâng cấp Khu vệ sinh dãy 08 phòng học và HT</t>
  </si>
  <si>
    <t>Sơn P nhà ăn học viên</t>
  </si>
  <si>
    <t>* Các lớp năm trước chuyển sang</t>
  </si>
  <si>
    <t>* Các lớp mới mở năm nay</t>
  </si>
  <si>
    <t>Kinh phí đào tạo các lớp (a+b+c+d)</t>
  </si>
  <si>
    <r>
      <t xml:space="preserve">Các lớp đào tạo trung cấp LLCTHC chuyển về huyện </t>
    </r>
    <r>
      <rPr>
        <i/>
        <sz val="14"/>
        <rFont val="Times New Roman"/>
        <family val="1"/>
      </rPr>
      <t>(ghi dự toán của huyện và các ngành)</t>
    </r>
  </si>
  <si>
    <t>Hoạt động không thường xuyên</t>
  </si>
  <si>
    <t>Xuất bản ấn phẩm thông tin lý luận và thực tiễn, hội thảo khoa học, in kỷ yếu</t>
  </si>
  <si>
    <t>Cải tạo khối hiệu bộ</t>
  </si>
  <si>
    <t>Hội thao các Trường Chính trị KV ĐBSCL lần VII</t>
  </si>
  <si>
    <t>Mua sắm (04 máy chiếu; 01 máy scan; 02 máy in; 06 máy vi tính; 04 máy điều hòa; 08 máy nước nóng lạnh 02 vòi; 02 bộ bàn làm việc)</t>
  </si>
  <si>
    <t>Hoạt động Đảng và Đại hội</t>
  </si>
  <si>
    <t>Sử dụng từ nguồn thu để lại: 390 trđ (Gồm: sửa chữa hàng rào, nhà bảo vê 50trđ; cải tạo sân và khuôn viên 50trđ; cải tạo hệ thống điện nước 100trđ; sửa chữa xe và tài sản khác...)</t>
  </si>
  <si>
    <t xml:space="preserve"> - Trung cấp LLCT - HC (01 lớp 
gồm 3 Huyện Cao Lãnh, Tháp Mười, TP.Cao Lãnh) C143</t>
  </si>
  <si>
    <t>Tổng dự toán chi NSNN năm 2020, số tiền bằng chữ: Hai mươi tám tỷ sáu trăm mười một triệu đồng.</t>
  </si>
  <si>
    <t>Tiền ăn của 05 lớp TC LLCT-HC
(260 hv)</t>
  </si>
  <si>
    <t>Tiền ăn của 05 lớp TC LLCT-HC
(310 hv)</t>
  </si>
  <si>
    <t>Tiền tài liệu 05 lớp TC LLCT-HC
(310 hv)</t>
  </si>
  <si>
    <t xml:space="preserve"> - Trung cấp LLCT - HC C146
(ĐUKCCQ)</t>
  </si>
  <si>
    <t xml:space="preserve"> - Trung cấp LLCT - HC C149
(ĐUKCCQ)</t>
  </si>
  <si>
    <t xml:space="preserve"> - Trung cấp LLCT - HC C151
(H. Tân Hồng)</t>
  </si>
  <si>
    <t xml:space="preserve"> - Trung cấp LLCT - HC C155
(ĐUKCCQ)</t>
  </si>
  <si>
    <t xml:space="preserve"> - Trung cấp LLCT - HC C156
(H. Tháp Mưởi)</t>
  </si>
  <si>
    <t xml:space="preserve"> - Trung cấp LLCT - HC C158
(ĐUKCCQ)</t>
  </si>
  <si>
    <t xml:space="preserve"> - Trung cấp LLCT - HC C160
(H. Châu Thành)</t>
  </si>
  <si>
    <t>Chi phí đào tạo các lớp đào tạo mở tại trường (gồm chi phí điện, nước, thêm giờ, nhiên liệu, văn phòng phẩm, hoạt động Đảng và Đại hội Đảng. Đơn vị sử dụng từ nguồn thu để chi phần chi phí phát sinh)</t>
  </si>
  <si>
    <t>Phòng họp trực tuyến của các đơn vị trực thuộc (NS hỗ trợ 50% 2.150trđ, KP hoạt động SN đối ứng 50%)</t>
  </si>
  <si>
    <t xml:space="preserve">    - Ông: Nguyễn Thành Hưởng</t>
  </si>
  <si>
    <t>Hôm nay, vào lúc 07 giờ 30' phút ngày 19 tháng 9 năm 2019, tại Sở Tài chính tiến hành trao đổi số liệu dự toán NSNN năm 2020 và kế hoạch tài chính NS giai đoạn 03 năm 2020-2022.</t>
  </si>
  <si>
    <t xml:space="preserve"> - Quỹ lương 49 biên chế có mặt</t>
  </si>
  <si>
    <t xml:space="preserve"> - Quỹ lương của 10 lao động HĐ theo NĐ 68</t>
  </si>
  <si>
    <t>Trang phục thanh tra 15 người</t>
  </si>
  <si>
    <t>Sửa chữa lát đan, trồng cây trước sân Sở NN</t>
  </si>
  <si>
    <t xml:space="preserve"> - Quỹ lương 22 biên chế</t>
  </si>
  <si>
    <t xml:space="preserve"> - Quỹ lương 03 LĐHĐ theo NĐ 68</t>
  </si>
  <si>
    <t>a/ Tổng quỹ lương và dự kiến nâng lương định kỳ theo số biên chế và số LĐHĐ theo NĐ 68 được giao</t>
  </si>
  <si>
    <t>c/ 10% tiết kiệm chi thường xuyên để thực hiện CCTL</t>
  </si>
  <si>
    <t>b/ Chi hoạt động theo định mức của 22 biên chế (19 trđ/biên chế)</t>
  </si>
  <si>
    <t>VPĐP Xây dựng NTM và Tái cơ cấu ngành NN</t>
  </si>
  <si>
    <t>Hoạt động Văn phòng Điều phối</t>
  </si>
  <si>
    <t>Trang thông tin điện tử nông thôn mới</t>
  </si>
  <si>
    <t>SỰ NGHIỆP MÔI TRƯỜNG (Chi cục Kiểm lâm)</t>
  </si>
  <si>
    <t xml:space="preserve"> - Quỹ lương 40 biên chế</t>
  </si>
  <si>
    <t>b/ Chi hoạt động theo định mức của 40 biên chế (19 trđ/biên chế)</t>
  </si>
  <si>
    <t xml:space="preserve"> - Quỹ lương 23 biên chế</t>
  </si>
  <si>
    <t>b/ Chi hoạt động theo định mức của 23 biên chế (19 trđ/biên chế)</t>
  </si>
  <si>
    <t xml:space="preserve"> - Mua 05 máy vi tính</t>
  </si>
  <si>
    <t xml:space="preserve"> - Kiểm tra, kiểm soát và quản lý bảo vệ rừng; công tác phối hợp chống buôn lậu, xử phạt vi phạm hành chính</t>
  </si>
  <si>
    <t>Chi cục Trồng trọt và BVTV</t>
  </si>
  <si>
    <t>c/ Nguồn thực hiện CCTL</t>
  </si>
  <si>
    <t xml:space="preserve"> - Quỹ lương 45 biên chế</t>
  </si>
  <si>
    <t xml:space="preserve"> - Quỹ lương 04 LĐHĐ theo NĐ 68</t>
  </si>
  <si>
    <t>b/ Chi hoạt động theo định mức của 45 biên chế (19 trđ/biên chế)</t>
  </si>
  <si>
    <t xml:space="preserve"> - Nguồn thu dự kiến</t>
  </si>
  <si>
    <t xml:space="preserve"> - Số thu được để lại</t>
  </si>
  <si>
    <t xml:space="preserve"> - Sửa chữa trụ sở cơ quan</t>
  </si>
  <si>
    <t xml:space="preserve"> - Mua sắm (03 máy vi tính 45trđ; 10 bộ bàn ghế làm việc 50trđ; 08 tủ HS 40trđ; 01 máy in 10trđ; 01 máy scan 20trđ; 01 máy fax 7trđ)</t>
  </si>
  <si>
    <t>Chi cục Chăn nuôi, Thú y và TS</t>
  </si>
  <si>
    <t xml:space="preserve"> - Quỹ lương 119 biên chế</t>
  </si>
  <si>
    <t>b/ Chi hoạt động theo định mức của 119 biên chế (19 trđ/biên chế)</t>
  </si>
  <si>
    <t xml:space="preserve"> - Kinh phí điều tra chi phí và giá thành sản xuất lúa</t>
  </si>
  <si>
    <t xml:space="preserve"> - Công tác thanh tra chuyên ngành và an toàn thực phẩm</t>
  </si>
  <si>
    <t>Trung tâm DVNN và NSNT</t>
  </si>
  <si>
    <t>c/ 10% tiết kiệm chi thường xuyên thực hiện CCTL</t>
  </si>
  <si>
    <t xml:space="preserve"> - Quỹ lương 60 biên chế</t>
  </si>
  <si>
    <t>b/ Chi hoạt động theo định mức của 60 biên chế (19 trđ/biên chế)</t>
  </si>
  <si>
    <t>Chi cục Kiểm lâm</t>
  </si>
  <si>
    <t>Chi cục QLCL NLS&amp;TS</t>
  </si>
  <si>
    <t>d/ Nguồn thu phải cân đối để đảm bảo hoạt động</t>
  </si>
  <si>
    <t xml:space="preserve"> - Công tác KT QLCL ATVSTP</t>
  </si>
  <si>
    <t xml:space="preserve"> - Công tác KT chất lượng giống theo TT 26; công tác đánh giá, KT cơ sở theo TT 45; công tác KT đánh giá điều kiện bảo đảm ATTP và phương thức quản lý đối với các cơ sở ban đầu nhỏ lẻ theo TT 51; công tác QLCL ATTP có nguồn gốc động vật</t>
  </si>
  <si>
    <t xml:space="preserve"> - Công tác quản lý chất lượng ATTP có nguồn gốc thực vật; tập huấn tuyên truyền văn bản QPPL trong lĩnh vực trồng trọt và BVTV, kiểm tra chuyên ngành BVTV</t>
  </si>
  <si>
    <t xml:space="preserve"> - Xây dựng kho chứa vật tư</t>
  </si>
  <si>
    <t xml:space="preserve"> - Di dời nhà xe</t>
  </si>
  <si>
    <t xml:space="preserve"> - Mua sắm (07 máy vi tính 105trđ; máy scan 20trđ, 07 máy lạnh 112trđ)</t>
  </si>
  <si>
    <t>VI</t>
  </si>
  <si>
    <t>Trung tâm Ứng dụng NNCNC</t>
  </si>
  <si>
    <t xml:space="preserve"> - Số thu nộp NS</t>
  </si>
  <si>
    <t xml:space="preserve"> - Số thu sau khi trừ chi phí (CP dự kiến 85% theo tỷ lệ 2019)</t>
  </si>
  <si>
    <t>Chi thường xuyên (a-b)</t>
  </si>
  <si>
    <t>a/ Quỹ lương và dự kiến nâng lương TX theo số biên chế giao</t>
  </si>
  <si>
    <t>b/ 40% nguồn thu để thực hiện CCTL</t>
  </si>
  <si>
    <t xml:space="preserve"> - Mua thức ăn và thuốc cho cá</t>
  </si>
  <si>
    <t xml:space="preserve"> - Hoàn chỉnh giai đoạn 1 Trại Tân Khánh Đông (Hồ ngâm, xã nguyên vật liệu trồng; Xây lắp kệ và che lưới khu SX các loại giống hoa kiểng ngoài trời; HT xử lý nước đạt tiêu chuẩn dùng tưới cây hoa kiểng)</t>
  </si>
  <si>
    <t>VII</t>
  </si>
  <si>
    <t>VIII</t>
  </si>
  <si>
    <t>IX</t>
  </si>
  <si>
    <t>Kinh phí sự nghiệp do Sở quản lý</t>
  </si>
  <si>
    <t xml:space="preserve"> - Thủy lợi phí, hỗ trợ đất lúa</t>
  </si>
  <si>
    <t xml:space="preserve"> - Đề án Tái cơ cấu NN</t>
  </si>
  <si>
    <t xml:space="preserve"> - Đối ứng dự án VnSat</t>
  </si>
  <si>
    <t xml:space="preserve"> - Chương trình khuyến nông</t>
  </si>
  <si>
    <t xml:space="preserve"> - Các chính sách NN khác</t>
  </si>
  <si>
    <t xml:space="preserve"> - Đề án tái cơ cấu NN, đối ứng dự án VnSat, chương trình khuyến nông và các chính sách</t>
  </si>
  <si>
    <t xml:space="preserve"> - Các chính sách hỗ trợ phát triển SXNN theo NQ138</t>
  </si>
  <si>
    <t xml:space="preserve"> - DA đo đạc GS đánh giá ổn định bờ sông Tiền …</t>
  </si>
  <si>
    <t>Biên bản kết thúc lúc 12 giờ 45' cùng ngày, tất cả cùng thống nhất ký tên./.</t>
  </si>
  <si>
    <t>Mua sắm (04 máy vi tính 60trđ; 01 máy in 10trđ; 01 máy scan 20 trđ; 01 máy chụp hình 10trđ)</t>
  </si>
  <si>
    <t>Nâng cấp sân trước và sơn hàng rào</t>
  </si>
  <si>
    <t>Sửa xe ô tô và máy chủ</t>
  </si>
  <si>
    <t xml:space="preserve">    - Ông: Lý Văn Vĩnh</t>
  </si>
  <si>
    <t>Phó HT Trường TCN-GDTX Tháp Mười</t>
  </si>
  <si>
    <t xml:space="preserve">    - Bà: Nguyễn Thị Phương Dung</t>
  </si>
  <si>
    <t>Hôm nay, vào lúc 13 giờ 30' phút ngày 19 tháng 9 năm 2019, tại Sở Tài chính tiến hành trao đổi số liệu dự toán NSNN năm 2020 và kế hoạch tài chính NS giai đoạn 03 năm 2020-2022.</t>
  </si>
  <si>
    <t xml:space="preserve">Dự kiến kinh phí tự chủ của 3 trường thuộc Sở </t>
  </si>
  <si>
    <t>Kinh phí sự nghiệp tại Sở (gồm đào tạo nghề theo địa chỉ, đào tạo nghề nông thôn, miễn giảm học phí, hỗ trợ chi phí học tập, trợ cấp xã hội, tổ chức hội thi, hội giảng, kiểm định chất lượng GDNN, bồi dưỡng giáo viên, dự giờ, đánh giá chất lượng đào tạo xây dựng chương trình giáo trình, mua sắm trang thiết bị dạy nghề cho các trường, phần mềm quản lý dạy nghề ...)</t>
  </si>
  <si>
    <t>Kinh phí tự chủ các đơn vị trực thuộc (bao gồm Quỹ Bảo trợ TE)</t>
  </si>
  <si>
    <t>Kinh phí sự nghiệp tại Sở quản lý (gồm các Đề án, KH, chế độ, chính sách đối tượng và hoạt động chuyên môn của ngành)</t>
  </si>
  <si>
    <t>Tổng dự toán chi NSNN năm 2020, số tiền bằng chữ: Một trăm mười ba tỷ hai trăm mười sáu triệu đồng.</t>
  </si>
  <si>
    <t>ĐẢM BẢO XÃ HỘI</t>
  </si>
  <si>
    <t>TỔNG CỘNG (I+II+III)</t>
  </si>
  <si>
    <t>Mua 04 máy lạnh</t>
  </si>
  <si>
    <t>Hôm nay, vào lúc 09 giờ 45' phút ngày 16 tháng 9 năm 2019, tại Sở Tài chính tiến hành trao đổi số liệu dự toán NSNN năm 2020 và kế hoạch tài chính NS giai đoạn 03 năm 2020-2022.</t>
  </si>
  <si>
    <t>Biên bản kết thúc lúc 11 giờ 00' cùng ngày, tất cả cùng thống nhất ký tên./.</t>
  </si>
  <si>
    <t>Tổng dự toán chi NSNN năm 2020, số tiền bằng chữ: Bốn tỷ sáu trăm bảy mươi tám triệu đồng.</t>
  </si>
  <si>
    <t>Mua cửa sắt cơ quan</t>
  </si>
  <si>
    <t>Tổng dự toán chi NSNN năm 2020, số tiền bằng chữ: Mười tỷ bảy trăm mười ba triệu đồng.</t>
  </si>
  <si>
    <t>Tổng dự toán chi NSNN năm 2020, số tiền bằng chữ: Bốn trăm chín mươi ba tỷ không trăm hai mươi ba triệu đồng.</t>
  </si>
  <si>
    <t>Tổ chức thi THPT quốc gia</t>
  </si>
  <si>
    <t>Di dời hệ thống mạng khối nhà VP Sở</t>
  </si>
  <si>
    <t>XD cơ sở dữ liệu đất đai đối với tổ chức trên địa bàn tỉnh theo cv 386/UBND-KT ngày 15/7/2019</t>
  </si>
  <si>
    <t>Kiểm kê đất đai, lập bản đồ hiện trạng sử dụng đất năm 2019</t>
  </si>
  <si>
    <t>Công tác đăng ký, cấp GCN lần đầu đối với tổ chức, cá nhân và đăng ký biến động đất đai đối với tổ chức (2.393 HS x 1.254.242đ/HS=3.001trđ)</t>
  </si>
  <si>
    <t>Công tác đăng ký cấp đổi GCN quyền sử dụng đất theo cv 576/UBND-KTTH ngày 06/11/2018 (54.017HS x 415.349 đ/HS = 22.436trđ/HS)</t>
  </si>
  <si>
    <t>Công tác đăng ký, cấp GCN lần đầu đơn lẻ từng hộ GĐ cá nhân và đăng ký biến động đất đai đối với hộ GĐ cá nhân (48.401 HS x 655.567đ/HS = 31.730 trđ)</t>
  </si>
  <si>
    <t>Công tác xây dựng lưới địa chính, đo đạc bản đồ địa chính chính quy theo cv 576/UBND-KTTH ngày 06/11/2018 (Đo đạc 09 xã: huyện Tam Nông 03 xã, huyện Tân Hồng 06 xã)</t>
  </si>
  <si>
    <t>DA "lập danh mục các vùng hạn chế khai thác nước dưới đất và lập bản đồ phân vùng hạn chế khai thác nước dưới đất trên địa bàn tỉnh" theo QĐ 866/QĐ-UBND-HC ngày 19/8/2019</t>
  </si>
  <si>
    <t>Công tác chỉnh lý HS địa chính theo QĐ 513/QĐ-TTg ngày 2/5/2012</t>
  </si>
  <si>
    <t>Tổng dự toán chi NSNN năm 2020, số tiền bằng chữ: Một trăm hai mươi chín tỷ sáu trăm bốn mươi chín triệu đồng.</t>
  </si>
  <si>
    <t>Xây dựng cơ sở dữ liệu (Số hóa một phần kho lưu trữ dữ liệu. Số hồ sơ: 34.629 HS)</t>
  </si>
  <si>
    <t>Dự án "Xây dựng, cập nhật Kế hoạch hành động ứng phó với BĐKH giai đoạn 2021-2030, tầm nhìn đến năm 2050 &amp; ĐGKH tỉnh Đồng Tháp</t>
  </si>
  <si>
    <r>
      <t>Dự án xử lý nước thải, chất thải BVĐK KVHN, BVĐKTM, PK Quân dân y Dinh Bà</t>
    </r>
    <r>
      <rPr>
        <i/>
        <sz val="14"/>
        <color rgb="FFFF0000"/>
        <rFont val="Times New Roman"/>
        <family val="1"/>
      </rPr>
      <t xml:space="preserve"> (Sở Y tế)</t>
    </r>
  </si>
  <si>
    <r>
      <t xml:space="preserve">Cải tạo, nâng cấp , xử lý ô nhiễm MT và đóng cửa bãi rác xã Hòa Thành - </t>
    </r>
    <r>
      <rPr>
        <i/>
        <sz val="14"/>
        <color rgb="FFFF0000"/>
        <rFont val="Times New Roman"/>
        <family val="1"/>
      </rPr>
      <t>Lai Vung</t>
    </r>
  </si>
  <si>
    <r>
      <t>Kinh phí truyền thông BVMT của</t>
    </r>
    <r>
      <rPr>
        <sz val="14"/>
        <color rgb="FFFF0000"/>
        <rFont val="Times New Roman"/>
        <family val="1"/>
      </rPr>
      <t xml:space="preserve"> các Sở, ngành</t>
    </r>
  </si>
  <si>
    <t>Đào tạo vận động viên chuẩn bị tham dự HKPĐ thi đấu khu vực và TQ theo KH 298/KH-UBND ngày 28/12/2018</t>
  </si>
  <si>
    <t>Tham dự Hội khỏe Phù Đổng khu vực và toàn quốc theo KH 298/KH-UBND ngày 28/12/2018</t>
  </si>
  <si>
    <t>Thiết bi dạy học tối thiểu phục vụ thay sách giáo khoa lớp 1 năm học 2020-2021 (40trđ/bộ x 306 trường)</t>
  </si>
  <si>
    <t>Mua sắm (04 máy vi tính 60trđ; 01 máy scan 20trđ; 01 máy in A3 10trđ; 02 bộ bàn ghế làm việc 10trđ)</t>
  </si>
  <si>
    <t>Tổng dự toán chi NSNN năm 2020, số tiền bằng chữ: Một trăm bảy mươi bốn tỷ bốn trăm hai mươi hai triệu đồng.</t>
  </si>
  <si>
    <t>Tổng dự toán chi NSNN năm 2020, số tiền bằng chữ: Bốn mươi tỷ bốn trăm bảy mươi hai triệu đồng.</t>
  </si>
  <si>
    <t>Mua sắm (12 máy vi tính 180trđ; 01 máy chủ 140trđ; máy vi tính chuyên dùng 35trđ; 02 TV 30trđ; 01 máy scan 25trđ; 10 bộ bàn ghế làm việc 50trđ; 10 kệ HS 50trđ)</t>
  </si>
  <si>
    <t>Kinh phí thực hiện đề án, kế hoạch được duyệt, đối ứng các dự án và dự phòng ngành</t>
  </si>
  <si>
    <r>
      <t xml:space="preserve">Mua 08 máy vi tính, 04 máy in A4, 02 máy in A3, 04 máy lạnh, </t>
    </r>
    <r>
      <rPr>
        <sz val="14"/>
        <color rgb="FFFF0000"/>
        <rFont val="Times New Roman"/>
        <family val="1"/>
      </rPr>
      <t xml:space="preserve">máy in </t>
    </r>
  </si>
</sst>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_-;\-* #,##0.00_-;_-* &quot;-&quot;??_-;_-@_-"/>
    <numFmt numFmtId="164" formatCode="_(* #,##0_);_(* \(#,##0\);_(* &quot;-&quot;_);_(@_)"/>
    <numFmt numFmtId="165" formatCode="_(* #,##0.00_);_(* \(#,##0.00\);_(* &quot;-&quot;??_);_(@_)"/>
    <numFmt numFmtId="166" formatCode="_-* #,##0_-;\-* #,##0_-;_-* &quot;-&quot;??_-;_-@_-"/>
    <numFmt numFmtId="167" formatCode="0.0"/>
    <numFmt numFmtId="168" formatCode="#,##0.0"/>
    <numFmt numFmtId="169" formatCode="_-* #,##0.0_-;\-* #,##0.0_-;_-* &quot;-&quot;??_-;_-@_-"/>
  </numFmts>
  <fonts count="39" x14ac:knownFonts="1">
    <font>
      <sz val="11"/>
      <color theme="1"/>
      <name val="Calibri"/>
      <family val="2"/>
      <charset val="163"/>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4"/>
      <color theme="1"/>
      <name val="Times New Roman"/>
      <family val="1"/>
    </font>
    <font>
      <b/>
      <sz val="14"/>
      <color rgb="FF000000"/>
      <name val="Times New Roman"/>
      <family val="1"/>
    </font>
    <font>
      <sz val="14"/>
      <color theme="1"/>
      <name val="Times New Roman"/>
      <family val="1"/>
    </font>
    <font>
      <sz val="14"/>
      <color rgb="FF000000"/>
      <name val="Times New Roman"/>
      <family val="1"/>
    </font>
    <font>
      <i/>
      <sz val="14"/>
      <color rgb="FF000000"/>
      <name val="Times New Roman"/>
      <family val="1"/>
    </font>
    <font>
      <b/>
      <sz val="16"/>
      <color theme="1"/>
      <name val="Times New Roman"/>
      <family val="1"/>
    </font>
    <font>
      <sz val="14"/>
      <color rgb="FFFF0000"/>
      <name val="Times New Roman"/>
      <family val="1"/>
    </font>
    <font>
      <i/>
      <sz val="14"/>
      <color theme="1"/>
      <name val="Times New Roman"/>
      <family val="1"/>
    </font>
    <font>
      <i/>
      <sz val="14"/>
      <color theme="0"/>
      <name val="Times New Roman"/>
      <family val="1"/>
    </font>
    <font>
      <sz val="11"/>
      <color theme="1"/>
      <name val="Calibri"/>
      <family val="2"/>
      <charset val="163"/>
      <scheme val="minor"/>
    </font>
    <font>
      <sz val="9"/>
      <color indexed="81"/>
      <name val="Tahoma"/>
      <family val="2"/>
    </font>
    <font>
      <b/>
      <sz val="9"/>
      <color indexed="81"/>
      <name val="Tahoma"/>
      <family val="2"/>
    </font>
    <font>
      <sz val="12"/>
      <name val="Times New Roman"/>
      <family val="1"/>
    </font>
    <font>
      <sz val="14"/>
      <name val="Times New Roman"/>
      <family val="1"/>
    </font>
    <font>
      <b/>
      <sz val="16"/>
      <name val="Times New Roman"/>
      <family val="1"/>
    </font>
    <font>
      <b/>
      <sz val="14"/>
      <name val="Times New Roman"/>
      <family val="1"/>
    </font>
    <font>
      <i/>
      <sz val="14"/>
      <name val="Times New Roman"/>
      <family val="1"/>
    </font>
    <font>
      <b/>
      <sz val="14"/>
      <color rgb="FFFF0000"/>
      <name val="Times New Roman"/>
      <family val="1"/>
    </font>
    <font>
      <b/>
      <i/>
      <sz val="14"/>
      <name val="Times New Roman"/>
      <family val="1"/>
    </font>
    <font>
      <b/>
      <i/>
      <sz val="14"/>
      <color theme="1"/>
      <name val="Times New Roman"/>
      <family val="1"/>
    </font>
    <font>
      <sz val="14"/>
      <color theme="0"/>
      <name val="Times New Roman"/>
      <family val="1"/>
    </font>
    <font>
      <b/>
      <i/>
      <sz val="14"/>
      <color rgb="FF000000"/>
      <name val="Times New Roman"/>
      <family val="1"/>
    </font>
    <font>
      <b/>
      <i/>
      <sz val="11"/>
      <name val="Calibri"/>
      <family val="2"/>
      <charset val="163"/>
      <scheme val="minor"/>
    </font>
    <font>
      <sz val="10"/>
      <name val="VNI-Times"/>
    </font>
    <font>
      <b/>
      <i/>
      <sz val="14"/>
      <color rgb="FFFF0000"/>
      <name val="Times New Roman"/>
      <family val="1"/>
    </font>
    <font>
      <sz val="11"/>
      <color rgb="FF000000"/>
      <name val="Calibri"/>
      <family val="2"/>
    </font>
    <font>
      <b/>
      <sz val="14"/>
      <color theme="0"/>
      <name val="Times New Roman"/>
      <family val="1"/>
    </font>
    <font>
      <b/>
      <sz val="12"/>
      <name val="Times New Roman"/>
      <family val="1"/>
    </font>
    <font>
      <sz val="13.5"/>
      <color indexed="12"/>
      <name val="Times New Roman"/>
      <family val="1"/>
    </font>
    <font>
      <sz val="12"/>
      <name val="VNI-Times"/>
    </font>
    <font>
      <b/>
      <i/>
      <sz val="14"/>
      <color theme="0"/>
      <name val="Times New Roman"/>
      <family val="1"/>
    </font>
    <font>
      <sz val="14"/>
      <color rgb="FF0000FF"/>
      <name val="Times New Roman"/>
      <family val="1"/>
    </font>
    <font>
      <i/>
      <sz val="14"/>
      <color rgb="FFFF0000"/>
      <name val="Times New Roman"/>
      <family val="1"/>
    </font>
  </fonts>
  <fills count="6">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0" tint="-0.249977111117893"/>
        <bgColor indexed="64"/>
      </patternFill>
    </fill>
    <fill>
      <patternFill patternType="solid">
        <fgColor theme="0" tint="-4.9989318521683403E-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thin">
        <color indexed="64"/>
      </top>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right style="thin">
        <color indexed="64"/>
      </right>
      <top style="hair">
        <color indexed="64"/>
      </top>
      <bottom style="hair">
        <color indexed="64"/>
      </bottom>
      <diagonal/>
    </border>
  </borders>
  <cellStyleXfs count="39">
    <xf numFmtId="0" fontId="0" fillId="0" borderId="0"/>
    <xf numFmtId="0" fontId="18" fillId="0" borderId="0"/>
    <xf numFmtId="165" fontId="18" fillId="0" borderId="0" applyFont="0" applyFill="0" applyBorder="0" applyAlignment="0" applyProtection="0"/>
    <xf numFmtId="165" fontId="5"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0" fontId="15" fillId="0" borderId="0"/>
    <xf numFmtId="0" fontId="18" fillId="0" borderId="0"/>
    <xf numFmtId="0" fontId="18" fillId="0" borderId="0"/>
    <xf numFmtId="43" fontId="15" fillId="0" borderId="0" applyFont="0" applyFill="0" applyBorder="0" applyAlignment="0" applyProtection="0"/>
    <xf numFmtId="0" fontId="29" fillId="0" borderId="0"/>
    <xf numFmtId="165" fontId="29" fillId="0" borderId="0" applyFont="0" applyFill="0" applyBorder="0" applyAlignment="0" applyProtection="0"/>
    <xf numFmtId="0" fontId="4" fillId="0" borderId="0"/>
    <xf numFmtId="43" fontId="4" fillId="0" borderId="0" applyFont="0" applyFill="0" applyBorder="0" applyAlignment="0" applyProtection="0"/>
    <xf numFmtId="0" fontId="3" fillId="0" borderId="0"/>
    <xf numFmtId="164" fontId="29"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0" fontId="31" fillId="0" borderId="0"/>
    <xf numFmtId="165"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1" fillId="0" borderId="0"/>
    <xf numFmtId="43" fontId="1" fillId="0" borderId="0" applyFont="0" applyFill="0" applyBorder="0" applyAlignment="0" applyProtection="0"/>
    <xf numFmtId="165" fontId="3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cellStyleXfs>
  <cellXfs count="585">
    <xf numFmtId="0" fontId="0" fillId="0" borderId="0" xfId="0"/>
    <xf numFmtId="0" fontId="7" fillId="0" borderId="0" xfId="0" applyFont="1" applyAlignment="1">
      <alignment horizontal="center" vertical="center" wrapText="1"/>
    </xf>
    <xf numFmtId="0" fontId="9" fillId="0" borderId="0" xfId="0" applyFont="1" applyAlignment="1">
      <alignment vertical="center"/>
    </xf>
    <xf numFmtId="0" fontId="7" fillId="0" borderId="0" xfId="0" applyFont="1" applyAlignment="1">
      <alignment vertical="center"/>
    </xf>
    <xf numFmtId="0" fontId="10" fillId="0" borderId="0" xfId="0" applyFont="1" applyAlignment="1">
      <alignment horizontal="right" vertical="center"/>
    </xf>
    <xf numFmtId="0" fontId="9" fillId="0" borderId="1" xfId="0" applyFont="1" applyBorder="1" applyAlignment="1">
      <alignment horizontal="center" vertical="center" wrapText="1"/>
    </xf>
    <xf numFmtId="0" fontId="6" fillId="0" borderId="0" xfId="0" applyFont="1" applyAlignment="1">
      <alignment vertical="center"/>
    </xf>
    <xf numFmtId="0" fontId="8" fillId="0" borderId="0" xfId="0" applyFont="1" applyAlignment="1">
      <alignment vertical="center"/>
    </xf>
    <xf numFmtId="0" fontId="9" fillId="0" borderId="0" xfId="0" applyFont="1" applyAlignment="1">
      <alignment horizontal="center" vertical="center" wrapText="1"/>
    </xf>
    <xf numFmtId="0" fontId="7" fillId="0" borderId="4" xfId="0" applyFont="1" applyBorder="1" applyAlignment="1">
      <alignment horizontal="center" vertical="center" wrapText="1"/>
    </xf>
    <xf numFmtId="0" fontId="7" fillId="0" borderId="4" xfId="0" applyFont="1" applyBorder="1" applyAlignment="1">
      <alignment vertical="center" wrapText="1"/>
    </xf>
    <xf numFmtId="0" fontId="9" fillId="0" borderId="5" xfId="0" applyFont="1" applyBorder="1" applyAlignment="1">
      <alignment horizontal="center" vertical="center" wrapText="1"/>
    </xf>
    <xf numFmtId="0" fontId="9" fillId="0" borderId="5" xfId="0" applyFont="1" applyBorder="1" applyAlignment="1">
      <alignment vertical="center" wrapText="1"/>
    </xf>
    <xf numFmtId="0" fontId="7" fillId="0" borderId="5" xfId="0" applyFont="1" applyBorder="1" applyAlignment="1">
      <alignment horizontal="center" vertical="center" wrapText="1"/>
    </xf>
    <xf numFmtId="0" fontId="7" fillId="0" borderId="5" xfId="0" applyFont="1" applyBorder="1" applyAlignment="1">
      <alignment vertical="center" wrapText="1"/>
    </xf>
    <xf numFmtId="0" fontId="9" fillId="0" borderId="6" xfId="0" applyFont="1" applyBorder="1" applyAlignment="1">
      <alignment horizontal="center" vertical="center" wrapText="1"/>
    </xf>
    <xf numFmtId="0" fontId="9" fillId="0" borderId="6" xfId="0" applyFont="1" applyBorder="1" applyAlignment="1">
      <alignment vertical="center" wrapText="1"/>
    </xf>
    <xf numFmtId="0" fontId="6" fillId="0" borderId="0" xfId="0" applyFont="1" applyAlignment="1">
      <alignment horizontal="center" vertical="center"/>
    </xf>
    <xf numFmtId="0" fontId="7" fillId="0" borderId="1" xfId="0" applyFont="1" applyBorder="1" applyAlignment="1">
      <alignment horizontal="center" vertical="center" wrapText="1"/>
    </xf>
    <xf numFmtId="0" fontId="7" fillId="0" borderId="1" xfId="0" applyFont="1" applyBorder="1" applyAlignment="1">
      <alignment horizontal="center" vertical="center" wrapText="1"/>
    </xf>
    <xf numFmtId="3" fontId="7" fillId="0" borderId="4" xfId="0" applyNumberFormat="1" applyFont="1" applyBorder="1" applyAlignment="1">
      <alignment vertical="center" wrapText="1"/>
    </xf>
    <xf numFmtId="3" fontId="9" fillId="0" borderId="5" xfId="0" applyNumberFormat="1" applyFont="1" applyBorder="1" applyAlignment="1">
      <alignment vertical="center" wrapText="1"/>
    </xf>
    <xf numFmtId="3" fontId="7" fillId="0" borderId="5" xfId="0" applyNumberFormat="1" applyFont="1" applyBorder="1" applyAlignment="1">
      <alignment vertical="center" wrapText="1"/>
    </xf>
    <xf numFmtId="3" fontId="9" fillId="0" borderId="6" xfId="0" applyNumberFormat="1" applyFont="1" applyBorder="1" applyAlignment="1">
      <alignment vertical="center" wrapText="1"/>
    </xf>
    <xf numFmtId="0" fontId="10" fillId="0" borderId="5" xfId="0" applyFont="1" applyBorder="1" applyAlignment="1">
      <alignment horizontal="center" vertical="center" wrapText="1"/>
    </xf>
    <xf numFmtId="3" fontId="10" fillId="0" borderId="5" xfId="0" applyNumberFormat="1" applyFont="1" applyBorder="1" applyAlignment="1">
      <alignment vertical="center" wrapText="1"/>
    </xf>
    <xf numFmtId="0" fontId="13" fillId="0" borderId="0" xfId="0" applyFont="1" applyAlignment="1">
      <alignment vertical="center"/>
    </xf>
    <xf numFmtId="0" fontId="10" fillId="0" borderId="5" xfId="0" applyFont="1" applyBorder="1" applyAlignment="1">
      <alignment horizontal="left" vertical="center" wrapText="1"/>
    </xf>
    <xf numFmtId="0" fontId="7" fillId="0" borderId="1" xfId="0" applyFont="1" applyBorder="1" applyAlignment="1">
      <alignment horizontal="center" vertical="center" wrapText="1"/>
    </xf>
    <xf numFmtId="0" fontId="8" fillId="0" borderId="0" xfId="0" applyFont="1" applyAlignment="1">
      <alignment horizontal="left" vertical="center"/>
    </xf>
    <xf numFmtId="0" fontId="9" fillId="0" borderId="0" xfId="0" applyFont="1" applyBorder="1" applyAlignment="1">
      <alignment horizontal="center" vertical="center" wrapText="1"/>
    </xf>
    <xf numFmtId="0" fontId="10" fillId="0" borderId="5" xfId="0" applyFont="1" applyBorder="1" applyAlignment="1">
      <alignment vertical="center" wrapText="1"/>
    </xf>
    <xf numFmtId="3" fontId="7" fillId="0" borderId="1" xfId="0" applyNumberFormat="1" applyFont="1" applyBorder="1" applyAlignment="1">
      <alignment vertical="center" wrapText="1"/>
    </xf>
    <xf numFmtId="0" fontId="8" fillId="0" borderId="5" xfId="0" applyFont="1" applyBorder="1"/>
    <xf numFmtId="0" fontId="7" fillId="0" borderId="1" xfId="0" applyFont="1" applyBorder="1" applyAlignment="1">
      <alignment horizontal="center" vertical="center" wrapText="1"/>
    </xf>
    <xf numFmtId="0" fontId="8" fillId="0" borderId="0" xfId="0" applyFont="1" applyAlignment="1">
      <alignment horizontal="left" vertical="center"/>
    </xf>
    <xf numFmtId="3" fontId="9" fillId="2" borderId="5" xfId="0" applyNumberFormat="1" applyFont="1" applyFill="1" applyBorder="1" applyAlignment="1">
      <alignment vertical="center" wrapText="1"/>
    </xf>
    <xf numFmtId="0" fontId="8" fillId="0" borderId="5" xfId="0" applyFont="1" applyBorder="1" applyAlignment="1">
      <alignment wrapText="1"/>
    </xf>
    <xf numFmtId="0" fontId="8" fillId="0" borderId="0" xfId="0" applyFont="1" applyAlignment="1">
      <alignment horizontal="left" vertical="center"/>
    </xf>
    <xf numFmtId="0" fontId="8" fillId="0" borderId="0" xfId="0" applyFont="1"/>
    <xf numFmtId="0" fontId="8" fillId="0" borderId="0" xfId="0" applyFont="1" applyAlignment="1"/>
    <xf numFmtId="0" fontId="8" fillId="0" borderId="0" xfId="0" applyFont="1" applyAlignment="1">
      <alignment horizontal="center"/>
    </xf>
    <xf numFmtId="0" fontId="6" fillId="0" borderId="5" xfId="0" applyFont="1" applyBorder="1"/>
    <xf numFmtId="0" fontId="7" fillId="0" borderId="9" xfId="0" applyFont="1" applyBorder="1" applyAlignment="1">
      <alignment horizontal="center" vertical="center" wrapText="1"/>
    </xf>
    <xf numFmtId="0" fontId="7" fillId="0" borderId="9" xfId="0" applyFont="1" applyBorder="1" applyAlignment="1">
      <alignment vertical="center" wrapText="1"/>
    </xf>
    <xf numFmtId="3" fontId="7" fillId="0" borderId="9" xfId="0" applyNumberFormat="1" applyFont="1" applyBorder="1" applyAlignment="1">
      <alignment vertical="center" wrapText="1"/>
    </xf>
    <xf numFmtId="0" fontId="6" fillId="0" borderId="0" xfId="0" applyFont="1" applyAlignment="1">
      <alignment vertical="center"/>
    </xf>
    <xf numFmtId="0" fontId="8" fillId="0" borderId="0" xfId="0" applyFont="1" applyAlignment="1">
      <alignment horizontal="left" vertical="center"/>
    </xf>
    <xf numFmtId="0" fontId="6" fillId="0" borderId="0" xfId="0" applyFont="1" applyAlignment="1">
      <alignment vertical="center"/>
    </xf>
    <xf numFmtId="0" fontId="19" fillId="0" borderId="0" xfId="0" applyFont="1" applyAlignment="1">
      <alignment vertical="center"/>
    </xf>
    <xf numFmtId="0" fontId="21" fillId="0" borderId="0" xfId="0" applyFont="1" applyAlignment="1">
      <alignment vertical="center"/>
    </xf>
    <xf numFmtId="0" fontId="21" fillId="0" borderId="0" xfId="0" applyFont="1" applyAlignment="1">
      <alignment horizontal="center" vertical="center" wrapText="1"/>
    </xf>
    <xf numFmtId="0" fontId="19" fillId="0" borderId="0" xfId="0" applyFont="1" applyAlignment="1">
      <alignment horizontal="center" vertical="center" wrapText="1"/>
    </xf>
    <xf numFmtId="0" fontId="19" fillId="0" borderId="0" xfId="0" applyFont="1" applyAlignment="1">
      <alignment horizontal="left" vertical="center"/>
    </xf>
    <xf numFmtId="0" fontId="22" fillId="0" borderId="0" xfId="0" applyFont="1" applyAlignment="1">
      <alignment horizontal="right" vertical="center"/>
    </xf>
    <xf numFmtId="0" fontId="21" fillId="0" borderId="1" xfId="0" applyFont="1" applyBorder="1" applyAlignment="1">
      <alignment horizontal="center" vertical="center" wrapText="1"/>
    </xf>
    <xf numFmtId="0" fontId="19" fillId="0" borderId="1" xfId="0" applyFont="1" applyBorder="1" applyAlignment="1">
      <alignment horizontal="center" vertical="center" wrapText="1"/>
    </xf>
    <xf numFmtId="3" fontId="21" fillId="0" borderId="1" xfId="0" applyNumberFormat="1" applyFont="1" applyBorder="1" applyAlignment="1">
      <alignment vertical="center" wrapText="1"/>
    </xf>
    <xf numFmtId="0" fontId="19" fillId="0" borderId="5" xfId="0" applyFont="1" applyBorder="1" applyAlignment="1">
      <alignment horizontal="center" vertical="center" wrapText="1"/>
    </xf>
    <xf numFmtId="0" fontId="19" fillId="0" borderId="5" xfId="0" applyFont="1" applyBorder="1" applyAlignment="1">
      <alignment vertical="center" wrapText="1"/>
    </xf>
    <xf numFmtId="3" fontId="19" fillId="0" borderId="5" xfId="0" applyNumberFormat="1" applyFont="1" applyBorder="1" applyAlignment="1">
      <alignment vertical="center" wrapText="1"/>
    </xf>
    <xf numFmtId="3" fontId="19" fillId="2" borderId="5" xfId="0" applyNumberFormat="1" applyFont="1" applyFill="1" applyBorder="1" applyAlignment="1">
      <alignment vertical="center" wrapText="1"/>
    </xf>
    <xf numFmtId="0" fontId="21" fillId="0" borderId="5" xfId="0" applyFont="1" applyBorder="1" applyAlignment="1">
      <alignment horizontal="center" vertical="center" wrapText="1"/>
    </xf>
    <xf numFmtId="0" fontId="21" fillId="0" borderId="5" xfId="0" applyFont="1" applyBorder="1" applyAlignment="1">
      <alignment vertical="center" wrapText="1"/>
    </xf>
    <xf numFmtId="3" fontId="21" fillId="0" borderId="5" xfId="0" applyNumberFormat="1" applyFont="1" applyBorder="1" applyAlignment="1">
      <alignment vertical="center" wrapText="1"/>
    </xf>
    <xf numFmtId="0" fontId="19" fillId="0" borderId="5" xfId="0" applyFont="1" applyBorder="1"/>
    <xf numFmtId="0" fontId="21" fillId="0" borderId="5" xfId="0" applyFont="1" applyBorder="1"/>
    <xf numFmtId="0" fontId="19" fillId="0" borderId="6" xfId="0" applyFont="1" applyBorder="1" applyAlignment="1">
      <alignment horizontal="center" vertical="center" wrapText="1"/>
    </xf>
    <xf numFmtId="0" fontId="19" fillId="0" borderId="6" xfId="0" applyFont="1" applyBorder="1" applyAlignment="1">
      <alignment vertical="center" wrapText="1"/>
    </xf>
    <xf numFmtId="3" fontId="19" fillId="0" borderId="6" xfId="0" applyNumberFormat="1" applyFont="1" applyBorder="1" applyAlignment="1">
      <alignment vertical="center" wrapText="1"/>
    </xf>
    <xf numFmtId="0" fontId="19" fillId="0" borderId="0" xfId="0" applyFont="1" applyBorder="1" applyAlignment="1">
      <alignment horizontal="center" vertical="center" wrapText="1"/>
    </xf>
    <xf numFmtId="0" fontId="6" fillId="0" borderId="0" xfId="0" applyFont="1" applyAlignment="1">
      <alignment vertical="center"/>
    </xf>
    <xf numFmtId="0" fontId="19" fillId="0" borderId="5" xfId="0" applyFont="1" applyBorder="1" applyAlignment="1">
      <alignment wrapText="1"/>
    </xf>
    <xf numFmtId="0" fontId="7" fillId="2" borderId="5" xfId="0" applyFont="1" applyFill="1" applyBorder="1" applyAlignment="1">
      <alignment horizontal="center" vertical="center" wrapText="1"/>
    </xf>
    <xf numFmtId="0" fontId="7" fillId="2" borderId="5" xfId="0" applyFont="1" applyFill="1" applyBorder="1" applyAlignment="1">
      <alignment vertical="center" wrapText="1"/>
    </xf>
    <xf numFmtId="3" fontId="7" fillId="2" borderId="5" xfId="0" applyNumberFormat="1" applyFont="1" applyFill="1" applyBorder="1" applyAlignment="1">
      <alignment vertical="center" wrapText="1"/>
    </xf>
    <xf numFmtId="0" fontId="6" fillId="2" borderId="0" xfId="0" applyFont="1" applyFill="1" applyAlignment="1">
      <alignment vertical="center"/>
    </xf>
    <xf numFmtId="0" fontId="9" fillId="2" borderId="5" xfId="0" applyFont="1" applyFill="1" applyBorder="1" applyAlignment="1">
      <alignment horizontal="center" vertical="center" wrapText="1"/>
    </xf>
    <xf numFmtId="0" fontId="9" fillId="2" borderId="5" xfId="0" applyFont="1" applyFill="1" applyBorder="1" applyAlignment="1">
      <alignment vertical="center" wrapText="1"/>
    </xf>
    <xf numFmtId="0" fontId="8" fillId="2" borderId="0" xfId="0" applyFont="1" applyFill="1" applyAlignment="1">
      <alignment vertical="center"/>
    </xf>
    <xf numFmtId="0" fontId="6" fillId="0" borderId="0" xfId="0" applyFont="1" applyAlignment="1">
      <alignment vertical="center"/>
    </xf>
    <xf numFmtId="0" fontId="8" fillId="0" borderId="0" xfId="0" applyFont="1" applyAlignment="1">
      <alignment horizontal="left" vertical="center"/>
    </xf>
    <xf numFmtId="0" fontId="7" fillId="0" borderId="1" xfId="0" applyFont="1" applyBorder="1" applyAlignment="1">
      <alignment horizontal="center" vertical="center" wrapText="1"/>
    </xf>
    <xf numFmtId="0" fontId="9" fillId="2" borderId="0" xfId="0" applyFont="1" applyFill="1" applyAlignment="1">
      <alignment vertical="center"/>
    </xf>
    <xf numFmtId="0" fontId="22" fillId="0" borderId="5" xfId="0" applyFont="1" applyBorder="1" applyAlignment="1">
      <alignment horizontal="center" vertical="center" wrapText="1"/>
    </xf>
    <xf numFmtId="0" fontId="22" fillId="0" borderId="5" xfId="0" applyFont="1" applyBorder="1" applyAlignment="1">
      <alignment vertical="center" wrapText="1"/>
    </xf>
    <xf numFmtId="3" fontId="22" fillId="0" borderId="5" xfId="0" applyNumberFormat="1" applyFont="1" applyBorder="1" applyAlignment="1">
      <alignment vertical="center" wrapText="1"/>
    </xf>
    <xf numFmtId="0" fontId="22" fillId="0" borderId="0" xfId="0" applyFont="1" applyAlignment="1">
      <alignment vertical="center"/>
    </xf>
    <xf numFmtId="0" fontId="6" fillId="0" borderId="0" xfId="0" applyFont="1" applyAlignment="1">
      <alignment vertical="center"/>
    </xf>
    <xf numFmtId="0" fontId="8" fillId="0" borderId="0" xfId="0" applyFont="1" applyAlignment="1">
      <alignment horizontal="left" vertical="center"/>
    </xf>
    <xf numFmtId="0" fontId="19" fillId="0" borderId="0" xfId="0" applyFont="1" applyAlignment="1">
      <alignment horizontal="left" vertical="center"/>
    </xf>
    <xf numFmtId="0" fontId="19" fillId="0" borderId="0" xfId="0" applyFont="1" applyAlignment="1">
      <alignment horizontal="left" vertical="center"/>
    </xf>
    <xf numFmtId="0" fontId="21" fillId="0" borderId="9" xfId="0" applyFont="1" applyBorder="1" applyAlignment="1">
      <alignment horizontal="center" vertical="center" wrapText="1"/>
    </xf>
    <xf numFmtId="0" fontId="21" fillId="0" borderId="9" xfId="0" applyFont="1" applyBorder="1" applyAlignment="1">
      <alignment vertical="center" wrapText="1"/>
    </xf>
    <xf numFmtId="3" fontId="21" fillId="0" borderId="9" xfId="0" applyNumberFormat="1" applyFont="1" applyBorder="1" applyAlignment="1">
      <alignment vertical="center" wrapText="1"/>
    </xf>
    <xf numFmtId="0" fontId="19" fillId="2" borderId="5" xfId="0" applyFont="1" applyFill="1" applyBorder="1" applyAlignment="1">
      <alignment vertical="center" wrapText="1"/>
    </xf>
    <xf numFmtId="0" fontId="21" fillId="0" borderId="4" xfId="0" applyFont="1" applyBorder="1" applyAlignment="1">
      <alignment horizontal="center" vertical="center" wrapText="1"/>
    </xf>
    <xf numFmtId="0" fontId="21" fillId="0" borderId="4" xfId="0" applyFont="1" applyBorder="1" applyAlignment="1">
      <alignment vertical="center" wrapText="1"/>
    </xf>
    <xf numFmtId="3" fontId="21" fillId="0" borderId="4" xfId="0" applyNumberFormat="1" applyFont="1" applyBorder="1" applyAlignment="1">
      <alignment vertical="center" wrapText="1"/>
    </xf>
    <xf numFmtId="0" fontId="6" fillId="0" borderId="0" xfId="0" applyFont="1" applyAlignment="1">
      <alignment vertical="center"/>
    </xf>
    <xf numFmtId="0" fontId="19" fillId="0" borderId="0" xfId="0" applyFont="1" applyAlignment="1">
      <alignment horizontal="left" vertical="center"/>
    </xf>
    <xf numFmtId="0" fontId="21" fillId="0" borderId="5" xfId="0" applyFont="1" applyBorder="1" applyAlignment="1">
      <alignment horizontal="center" vertical="center" shrinkToFit="1"/>
    </xf>
    <xf numFmtId="0" fontId="19" fillId="0" borderId="5" xfId="0" applyFont="1" applyBorder="1" applyAlignment="1">
      <alignment horizontal="center" vertical="center" shrinkToFit="1"/>
    </xf>
    <xf numFmtId="0" fontId="19" fillId="0" borderId="6" xfId="0" applyFont="1" applyBorder="1" applyAlignment="1">
      <alignment horizontal="center" vertical="center" shrinkToFit="1"/>
    </xf>
    <xf numFmtId="0" fontId="19" fillId="0" borderId="0" xfId="0" applyFont="1" applyBorder="1" applyAlignment="1">
      <alignment horizontal="center" vertical="center" shrinkToFit="1"/>
    </xf>
    <xf numFmtId="0" fontId="21" fillId="0" borderId="0" xfId="0" applyFont="1" applyAlignment="1">
      <alignment vertical="center" shrinkToFit="1"/>
    </xf>
    <xf numFmtId="0" fontId="19" fillId="0" borderId="0" xfId="0" applyFont="1" applyAlignment="1">
      <alignment vertical="center" shrinkToFit="1"/>
    </xf>
    <xf numFmtId="0" fontId="19" fillId="2" borderId="0" xfId="0" applyFont="1" applyFill="1" applyAlignment="1">
      <alignment vertical="center"/>
    </xf>
    <xf numFmtId="0" fontId="22" fillId="0" borderId="0" xfId="0" applyFont="1" applyAlignment="1">
      <alignment horizontal="right" vertical="center" shrinkToFit="1"/>
    </xf>
    <xf numFmtId="0" fontId="19" fillId="0" borderId="1" xfId="0" applyFont="1" applyBorder="1" applyAlignment="1">
      <alignment horizontal="center" vertical="center" shrinkToFit="1"/>
    </xf>
    <xf numFmtId="0" fontId="21" fillId="0" borderId="4" xfId="0" applyFont="1" applyBorder="1" applyAlignment="1">
      <alignment horizontal="center" vertical="center" shrinkToFit="1"/>
    </xf>
    <xf numFmtId="0" fontId="21" fillId="2" borderId="5" xfId="0" applyFont="1" applyFill="1" applyBorder="1" applyAlignment="1">
      <alignment horizontal="center" vertical="center" shrinkToFit="1"/>
    </xf>
    <xf numFmtId="0" fontId="21" fillId="2" borderId="5" xfId="0" applyFont="1" applyFill="1" applyBorder="1" applyAlignment="1">
      <alignment vertical="center" wrapText="1"/>
    </xf>
    <xf numFmtId="3" fontId="21" fillId="2" borderId="5" xfId="0" applyNumberFormat="1" applyFont="1" applyFill="1" applyBorder="1" applyAlignment="1">
      <alignment vertical="center" wrapText="1"/>
    </xf>
    <xf numFmtId="0" fontId="21" fillId="2" borderId="0" xfId="0" applyFont="1" applyFill="1" applyAlignment="1">
      <alignment vertical="center"/>
    </xf>
    <xf numFmtId="0" fontId="19" fillId="0" borderId="8" xfId="0" applyFont="1" applyBorder="1" applyAlignment="1">
      <alignment horizontal="center" vertical="center" shrinkToFit="1"/>
    </xf>
    <xf numFmtId="0" fontId="19" fillId="0" borderId="8" xfId="0" applyFont="1" applyBorder="1" applyAlignment="1">
      <alignment vertical="center" wrapText="1"/>
    </xf>
    <xf numFmtId="3" fontId="19" fillId="0" borderId="8" xfId="0" applyNumberFormat="1" applyFont="1" applyBorder="1" applyAlignment="1">
      <alignment vertical="center" wrapText="1"/>
    </xf>
    <xf numFmtId="0" fontId="19" fillId="2" borderId="5" xfId="0" applyFont="1" applyFill="1" applyBorder="1" applyAlignment="1">
      <alignment horizontal="center" vertical="center" shrinkToFit="1"/>
    </xf>
    <xf numFmtId="0" fontId="21" fillId="2" borderId="5" xfId="0" applyFont="1" applyFill="1" applyBorder="1" applyAlignment="1">
      <alignment horizontal="center" vertical="center" wrapText="1"/>
    </xf>
    <xf numFmtId="0" fontId="6" fillId="0" borderId="0" xfId="0" applyFont="1" applyAlignment="1">
      <alignment horizontal="center" vertical="center"/>
    </xf>
    <xf numFmtId="3" fontId="12" fillId="0" borderId="5" xfId="0" applyNumberFormat="1" applyFont="1" applyBorder="1" applyAlignment="1">
      <alignment vertical="center" wrapText="1"/>
    </xf>
    <xf numFmtId="0" fontId="19" fillId="2" borderId="5" xfId="0" applyFont="1" applyFill="1" applyBorder="1" applyAlignment="1">
      <alignment vertical="center"/>
    </xf>
    <xf numFmtId="0" fontId="21" fillId="2" borderId="5" xfId="0" applyFont="1" applyFill="1" applyBorder="1" applyAlignment="1">
      <alignment vertical="center"/>
    </xf>
    <xf numFmtId="0" fontId="6" fillId="0" borderId="0" xfId="0" applyFont="1" applyAlignment="1">
      <alignment vertical="center"/>
    </xf>
    <xf numFmtId="0" fontId="7" fillId="0" borderId="1" xfId="0" applyFont="1" applyBorder="1" applyAlignment="1">
      <alignment horizontal="center" vertical="center" wrapText="1"/>
    </xf>
    <xf numFmtId="0" fontId="19" fillId="0" borderId="0" xfId="0" applyFont="1" applyAlignment="1">
      <alignment horizontal="left" vertical="center"/>
    </xf>
    <xf numFmtId="0" fontId="19" fillId="0" borderId="0" xfId="0" applyFont="1" applyAlignment="1">
      <alignment horizontal="left" vertical="center" wrapText="1"/>
    </xf>
    <xf numFmtId="0" fontId="21" fillId="0" borderId="1" xfId="0" applyFont="1" applyBorder="1" applyAlignment="1">
      <alignment horizontal="center" vertical="center" wrapText="1"/>
    </xf>
    <xf numFmtId="0" fontId="19" fillId="3" borderId="0" xfId="0" applyFont="1" applyFill="1" applyAlignment="1">
      <alignment vertical="center"/>
    </xf>
    <xf numFmtId="0" fontId="21" fillId="0" borderId="5" xfId="0" applyFont="1" applyBorder="1" applyAlignment="1">
      <alignment vertical="center" shrinkToFit="1"/>
    </xf>
    <xf numFmtId="0" fontId="6" fillId="0" borderId="0" xfId="0" applyFont="1" applyAlignment="1">
      <alignment vertical="center"/>
    </xf>
    <xf numFmtId="0" fontId="19" fillId="0" borderId="0" xfId="0" applyFont="1" applyAlignment="1">
      <alignment horizontal="left" vertical="center"/>
    </xf>
    <xf numFmtId="3" fontId="19" fillId="0" borderId="5" xfId="0" applyNumberFormat="1" applyFont="1" applyBorder="1" applyAlignment="1">
      <alignment vertical="center"/>
    </xf>
    <xf numFmtId="3" fontId="19" fillId="2" borderId="6" xfId="0" applyNumberFormat="1" applyFont="1" applyFill="1" applyBorder="1" applyAlignment="1">
      <alignment vertical="center" wrapText="1"/>
    </xf>
    <xf numFmtId="0" fontId="6" fillId="0" borderId="0" xfId="0" applyFont="1" applyAlignment="1">
      <alignment vertical="center"/>
    </xf>
    <xf numFmtId="0" fontId="6" fillId="0" borderId="0" xfId="0" applyFont="1" applyAlignment="1">
      <alignment vertical="center"/>
    </xf>
    <xf numFmtId="0" fontId="8" fillId="0" borderId="0" xfId="0" applyFont="1" applyAlignment="1">
      <alignment horizontal="left" vertical="center"/>
    </xf>
    <xf numFmtId="0" fontId="7" fillId="0" borderId="1" xfId="0" applyFont="1" applyBorder="1" applyAlignment="1">
      <alignment horizontal="center" vertical="center" wrapText="1"/>
    </xf>
    <xf numFmtId="0" fontId="24" fillId="0" borderId="5" xfId="0" applyFont="1" applyBorder="1" applyAlignment="1">
      <alignment horizontal="center" vertical="center" wrapText="1"/>
    </xf>
    <xf numFmtId="0" fontId="24" fillId="0" borderId="5" xfId="0" applyFont="1" applyBorder="1" applyAlignment="1">
      <alignment vertical="center" wrapText="1"/>
    </xf>
    <xf numFmtId="3" fontId="24" fillId="0" borderId="5" xfId="0" applyNumberFormat="1" applyFont="1" applyBorder="1" applyAlignment="1">
      <alignment vertical="center" wrapText="1"/>
    </xf>
    <xf numFmtId="0" fontId="24" fillId="0" borderId="0" xfId="0" applyFont="1" applyAlignment="1">
      <alignment vertical="center"/>
    </xf>
    <xf numFmtId="3" fontId="21" fillId="0" borderId="0" xfId="0" applyNumberFormat="1" applyFont="1" applyAlignment="1">
      <alignment vertical="center"/>
    </xf>
    <xf numFmtId="0" fontId="6" fillId="0" borderId="0" xfId="0" applyFont="1" applyAlignment="1">
      <alignment vertical="center"/>
    </xf>
    <xf numFmtId="0" fontId="8" fillId="0" borderId="0" xfId="0" applyFont="1" applyAlignment="1">
      <alignment horizontal="left" vertical="center"/>
    </xf>
    <xf numFmtId="0" fontId="6" fillId="0" borderId="0" xfId="0" applyFont="1" applyAlignment="1">
      <alignment vertical="center"/>
    </xf>
    <xf numFmtId="0" fontId="8" fillId="0" borderId="0" xfId="0" applyFont="1" applyAlignment="1">
      <alignment horizontal="left" vertical="center"/>
    </xf>
    <xf numFmtId="3" fontId="19" fillId="0" borderId="0" xfId="0" applyNumberFormat="1" applyFont="1" applyAlignment="1">
      <alignment vertical="center"/>
    </xf>
    <xf numFmtId="166" fontId="8" fillId="0" borderId="0" xfId="9" applyNumberFormat="1" applyFont="1" applyAlignment="1">
      <alignment vertical="center"/>
    </xf>
    <xf numFmtId="0" fontId="6" fillId="0" borderId="0" xfId="0" applyFont="1" applyAlignment="1">
      <alignment horizontal="center" vertical="center"/>
    </xf>
    <xf numFmtId="0" fontId="21" fillId="0" borderId="1" xfId="0" applyFont="1" applyBorder="1" applyAlignment="1">
      <alignment horizontal="center" vertical="center" wrapText="1"/>
    </xf>
    <xf numFmtId="9" fontId="8" fillId="0" borderId="1" xfId="0" applyNumberFormat="1" applyFont="1" applyBorder="1" applyAlignment="1">
      <alignment vertical="center"/>
    </xf>
    <xf numFmtId="167" fontId="8" fillId="0" borderId="1" xfId="0" applyNumberFormat="1" applyFont="1" applyBorder="1" applyAlignment="1"/>
    <xf numFmtId="0" fontId="6" fillId="0" borderId="1" xfId="0" applyFont="1" applyBorder="1" applyAlignment="1">
      <alignment horizontal="center" vertical="center"/>
    </xf>
    <xf numFmtId="10" fontId="6" fillId="0" borderId="1" xfId="0" applyNumberFormat="1" applyFont="1" applyBorder="1" applyAlignment="1">
      <alignment horizontal="center" vertical="center"/>
    </xf>
    <xf numFmtId="0" fontId="19" fillId="0" borderId="0" xfId="0" applyFont="1" applyAlignment="1">
      <alignment horizontal="left" vertical="center"/>
    </xf>
    <xf numFmtId="16" fontId="6" fillId="0" borderId="0" xfId="0" quotePrefix="1" applyNumberFormat="1" applyFont="1" applyAlignment="1">
      <alignment horizontal="center"/>
    </xf>
    <xf numFmtId="0" fontId="8" fillId="0" borderId="2" xfId="0" applyFont="1" applyBorder="1" applyAlignment="1">
      <alignment horizontal="right" vertical="center"/>
    </xf>
    <xf numFmtId="167" fontId="8" fillId="0" borderId="2" xfId="0" applyNumberFormat="1" applyFont="1" applyBorder="1" applyAlignment="1"/>
    <xf numFmtId="0" fontId="8" fillId="0" borderId="0" xfId="0" applyFont="1" applyAlignment="1">
      <alignment horizontal="right" vertical="center"/>
    </xf>
    <xf numFmtId="0" fontId="8" fillId="0" borderId="0" xfId="0" applyFont="1" applyBorder="1" applyAlignment="1">
      <alignment horizontal="center" vertical="center"/>
    </xf>
    <xf numFmtId="0" fontId="8" fillId="0" borderId="0" xfId="0" applyFont="1" applyAlignment="1">
      <alignment horizontal="center" vertical="center"/>
    </xf>
    <xf numFmtId="0" fontId="8" fillId="0" borderId="0" xfId="0" applyFont="1" applyBorder="1" applyAlignment="1">
      <alignment horizontal="left" vertical="center"/>
    </xf>
    <xf numFmtId="0" fontId="19" fillId="0" borderId="0" xfId="0" applyFont="1" applyBorder="1" applyAlignment="1">
      <alignment vertical="center" wrapText="1"/>
    </xf>
    <xf numFmtId="3" fontId="19" fillId="0" borderId="0" xfId="0" applyNumberFormat="1" applyFont="1" applyBorder="1" applyAlignment="1">
      <alignment vertical="center" wrapText="1"/>
    </xf>
    <xf numFmtId="0" fontId="19" fillId="0" borderId="0" xfId="0" applyFont="1" applyBorder="1" applyAlignment="1">
      <alignment horizontal="left" vertical="center"/>
    </xf>
    <xf numFmtId="0" fontId="21" fillId="0" borderId="5" xfId="0" quotePrefix="1" applyFont="1" applyBorder="1" applyAlignment="1">
      <alignment horizontal="center" vertical="center" wrapText="1"/>
    </xf>
    <xf numFmtId="0" fontId="8" fillId="0" borderId="0" xfId="0" applyFont="1" applyBorder="1" applyAlignment="1">
      <alignment vertical="center"/>
    </xf>
    <xf numFmtId="0" fontId="19" fillId="0" borderId="5" xfId="0" quotePrefix="1" applyFont="1" applyBorder="1" applyAlignment="1">
      <alignment horizontal="center" vertical="center" wrapText="1"/>
    </xf>
    <xf numFmtId="0" fontId="24" fillId="0" borderId="5" xfId="0" quotePrefix="1" applyFont="1" applyBorder="1" applyAlignment="1">
      <alignment horizontal="center" vertical="center" wrapText="1"/>
    </xf>
    <xf numFmtId="166" fontId="8" fillId="0" borderId="0" xfId="9" applyNumberFormat="1" applyFont="1" applyAlignment="1"/>
    <xf numFmtId="0" fontId="12" fillId="0" borderId="0" xfId="0" applyFont="1" applyAlignment="1">
      <alignment vertical="center" shrinkToFit="1"/>
    </xf>
    <xf numFmtId="0" fontId="12" fillId="0" borderId="0" xfId="0" applyFont="1" applyAlignment="1">
      <alignment vertical="center"/>
    </xf>
    <xf numFmtId="0" fontId="25" fillId="0" borderId="0" xfId="0" applyFont="1" applyAlignment="1">
      <alignment horizontal="left" vertical="center"/>
    </xf>
    <xf numFmtId="0" fontId="6" fillId="0" borderId="0" xfId="0" applyFont="1" applyAlignment="1">
      <alignment horizontal="center" vertical="center" wrapText="1"/>
    </xf>
    <xf numFmtId="0" fontId="8" fillId="0" borderId="0" xfId="0" applyFont="1" applyAlignment="1">
      <alignment wrapText="1"/>
    </xf>
    <xf numFmtId="0" fontId="6" fillId="0" borderId="1" xfId="0" applyFont="1" applyBorder="1" applyAlignment="1">
      <alignment horizontal="center" vertical="center" wrapText="1"/>
    </xf>
    <xf numFmtId="0" fontId="8" fillId="0" borderId="0" xfId="0" applyFont="1" applyBorder="1" applyAlignment="1">
      <alignment horizontal="center" vertical="center" wrapText="1"/>
    </xf>
    <xf numFmtId="0" fontId="8" fillId="0" borderId="10" xfId="0" applyFont="1" applyBorder="1" applyAlignment="1">
      <alignment horizontal="center"/>
    </xf>
    <xf numFmtId="0" fontId="8" fillId="0" borderId="1" xfId="0" applyFont="1" applyBorder="1" applyAlignment="1">
      <alignment horizontal="center"/>
    </xf>
    <xf numFmtId="0" fontId="8" fillId="0" borderId="1" xfId="0" applyFont="1" applyBorder="1" applyAlignment="1">
      <alignment horizontal="center" vertical="center"/>
    </xf>
    <xf numFmtId="0" fontId="22" fillId="2" borderId="5" xfId="0" applyFont="1" applyFill="1" applyBorder="1" applyAlignment="1">
      <alignment horizontal="center" vertical="center" shrinkToFit="1"/>
    </xf>
    <xf numFmtId="0" fontId="22" fillId="2" borderId="5" xfId="0" applyFont="1" applyFill="1" applyBorder="1" applyAlignment="1">
      <alignment vertical="center" wrapText="1"/>
    </xf>
    <xf numFmtId="3" fontId="22" fillId="2" borderId="5" xfId="0" applyNumberFormat="1" applyFont="1" applyFill="1" applyBorder="1" applyAlignment="1">
      <alignment vertical="center" wrapText="1"/>
    </xf>
    <xf numFmtId="0" fontId="22" fillId="2" borderId="0" xfId="0" applyFont="1" applyFill="1" applyAlignment="1">
      <alignment vertical="center"/>
    </xf>
    <xf numFmtId="9" fontId="22" fillId="2" borderId="5" xfId="0" applyNumberFormat="1" applyFont="1" applyFill="1" applyBorder="1" applyAlignment="1">
      <alignment vertical="center" wrapText="1"/>
    </xf>
    <xf numFmtId="0" fontId="19" fillId="0" borderId="0" xfId="0" applyFont="1" applyAlignment="1">
      <alignment horizontal="left" vertical="center"/>
    </xf>
    <xf numFmtId="0" fontId="21" fillId="0" borderId="1" xfId="0" applyFont="1" applyBorder="1" applyAlignment="1">
      <alignment horizontal="center" vertical="center" wrapText="1"/>
    </xf>
    <xf numFmtId="0" fontId="24" fillId="0" borderId="5" xfId="0" applyFont="1" applyBorder="1"/>
    <xf numFmtId="0" fontId="6" fillId="0" borderId="0" xfId="0" applyFont="1" applyAlignment="1">
      <alignment wrapText="1"/>
    </xf>
    <xf numFmtId="0" fontId="6" fillId="0" borderId="0" xfId="0" applyFont="1"/>
    <xf numFmtId="0" fontId="6" fillId="0" borderId="0" xfId="0" applyFont="1" applyAlignment="1"/>
    <xf numFmtId="166" fontId="6" fillId="0" borderId="0" xfId="9" applyNumberFormat="1" applyFont="1" applyAlignment="1"/>
    <xf numFmtId="14" fontId="6" fillId="0" borderId="0" xfId="0" applyNumberFormat="1" applyFont="1" applyAlignment="1">
      <alignment horizontal="center"/>
    </xf>
    <xf numFmtId="0" fontId="22" fillId="0" borderId="5" xfId="0" applyFont="1" applyBorder="1" applyAlignment="1">
      <alignment horizontal="center" vertical="center" shrinkToFit="1"/>
    </xf>
    <xf numFmtId="3" fontId="10" fillId="2" borderId="5" xfId="0" applyNumberFormat="1" applyFont="1" applyFill="1" applyBorder="1" applyAlignment="1">
      <alignment vertical="center" wrapText="1"/>
    </xf>
    <xf numFmtId="9" fontId="22" fillId="0" borderId="5" xfId="0" applyNumberFormat="1" applyFont="1" applyBorder="1" applyAlignment="1">
      <alignment horizontal="center" vertical="center" wrapText="1"/>
    </xf>
    <xf numFmtId="0" fontId="19" fillId="0" borderId="0" xfId="0" applyFont="1" applyAlignment="1">
      <alignment horizontal="left" vertical="center"/>
    </xf>
    <xf numFmtId="0" fontId="8" fillId="0" borderId="0" xfId="0" applyFont="1" applyAlignment="1">
      <alignment horizontal="left" vertical="center"/>
    </xf>
    <xf numFmtId="0" fontId="7" fillId="0" borderId="1" xfId="0" applyFont="1" applyBorder="1" applyAlignment="1">
      <alignment horizontal="center" vertical="center" wrapText="1"/>
    </xf>
    <xf numFmtId="0" fontId="27" fillId="0" borderId="5" xfId="0" applyFont="1" applyBorder="1" applyAlignment="1">
      <alignment horizontal="center" vertical="center" wrapText="1"/>
    </xf>
    <xf numFmtId="0" fontId="27" fillId="0" borderId="5" xfId="0" applyFont="1" applyBorder="1" applyAlignment="1">
      <alignment vertical="center" wrapText="1"/>
    </xf>
    <xf numFmtId="3" fontId="27" fillId="0" borderId="5" xfId="0" applyNumberFormat="1" applyFont="1" applyBorder="1" applyAlignment="1">
      <alignment vertical="center" wrapText="1"/>
    </xf>
    <xf numFmtId="0" fontId="9" fillId="0" borderId="5" xfId="0" quotePrefix="1" applyFont="1" applyBorder="1" applyAlignment="1">
      <alignment horizontal="center" vertical="center" wrapText="1"/>
    </xf>
    <xf numFmtId="3" fontId="27" fillId="2" borderId="5" xfId="0" applyNumberFormat="1" applyFont="1" applyFill="1" applyBorder="1" applyAlignment="1">
      <alignment vertical="center" wrapText="1"/>
    </xf>
    <xf numFmtId="0" fontId="28" fillId="0" borderId="5" xfId="0" quotePrefix="1" applyFont="1" applyBorder="1" applyAlignment="1">
      <alignment horizontal="center" vertical="center" wrapText="1"/>
    </xf>
    <xf numFmtId="0" fontId="19" fillId="0" borderId="5" xfId="10" applyFont="1" applyBorder="1"/>
    <xf numFmtId="168" fontId="9" fillId="2" borderId="5" xfId="0" applyNumberFormat="1" applyFont="1" applyFill="1" applyBorder="1" applyAlignment="1">
      <alignment vertical="center" wrapText="1"/>
    </xf>
    <xf numFmtId="168" fontId="27" fillId="2" borderId="5" xfId="0" applyNumberFormat="1" applyFont="1" applyFill="1" applyBorder="1" applyAlignment="1">
      <alignment vertical="center" wrapText="1"/>
    </xf>
    <xf numFmtId="0" fontId="25" fillId="0" borderId="0" xfId="0" applyFont="1" applyAlignment="1">
      <alignment vertical="center"/>
    </xf>
    <xf numFmtId="0" fontId="26" fillId="0" borderId="5" xfId="10" applyFont="1" applyBorder="1"/>
    <xf numFmtId="0" fontId="26" fillId="0" borderId="5" xfId="10" applyFont="1" applyBorder="1" applyAlignment="1">
      <alignment vertical="center"/>
    </xf>
    <xf numFmtId="3" fontId="26" fillId="0" borderId="5" xfId="0" applyNumberFormat="1" applyFont="1" applyBorder="1" applyAlignment="1">
      <alignment vertical="center" wrapText="1"/>
    </xf>
    <xf numFmtId="0" fontId="8" fillId="0" borderId="0" xfId="0" applyFont="1" applyAlignment="1">
      <alignment horizontal="left" vertical="center"/>
    </xf>
    <xf numFmtId="0" fontId="6" fillId="0" borderId="0" xfId="0" applyFont="1" applyAlignment="1">
      <alignment horizontal="center" vertical="center"/>
    </xf>
    <xf numFmtId="0" fontId="13" fillId="0" borderId="5" xfId="12" quotePrefix="1" applyFont="1" applyBorder="1" applyAlignment="1">
      <alignment wrapText="1"/>
    </xf>
    <xf numFmtId="0" fontId="13" fillId="0" borderId="5" xfId="12" quotePrefix="1" applyFont="1" applyBorder="1" applyAlignment="1">
      <alignment vertical="center" wrapText="1"/>
    </xf>
    <xf numFmtId="0" fontId="19" fillId="0" borderId="0" xfId="0" applyFont="1" applyAlignment="1">
      <alignment horizontal="left" vertical="center"/>
    </xf>
    <xf numFmtId="0" fontId="21" fillId="0" borderId="1" xfId="0" applyFont="1" applyBorder="1" applyAlignment="1">
      <alignment horizontal="center" vertical="center" wrapText="1"/>
    </xf>
    <xf numFmtId="0" fontId="21" fillId="0" borderId="1" xfId="0" applyFont="1" applyBorder="1" applyAlignment="1">
      <alignment horizontal="center" vertical="center" shrinkToFit="1"/>
    </xf>
    <xf numFmtId="0" fontId="9" fillId="0" borderId="0" xfId="0" applyFont="1" applyAlignment="1">
      <alignment horizontal="center" vertical="center"/>
    </xf>
    <xf numFmtId="0" fontId="7" fillId="0" borderId="0" xfId="0" applyFont="1" applyAlignment="1">
      <alignment horizontal="center" vertical="center"/>
    </xf>
    <xf numFmtId="0" fontId="10" fillId="0" borderId="0" xfId="0" applyFont="1" applyAlignment="1">
      <alignment horizontal="center" vertical="center"/>
    </xf>
    <xf numFmtId="0" fontId="19" fillId="2" borderId="5" xfId="0" applyFont="1" applyFill="1" applyBorder="1" applyAlignment="1">
      <alignment horizontal="center" vertical="center" wrapText="1"/>
    </xf>
    <xf numFmtId="0" fontId="6" fillId="0" borderId="5" xfId="14" applyFont="1" applyBorder="1"/>
    <xf numFmtId="0" fontId="8" fillId="0" borderId="5" xfId="14" applyFont="1" applyBorder="1" applyAlignment="1">
      <alignment wrapText="1"/>
    </xf>
    <xf numFmtId="0" fontId="19" fillId="0" borderId="5" xfId="0" applyFont="1" applyBorder="1" applyAlignment="1">
      <alignment vertical="center"/>
    </xf>
    <xf numFmtId="0" fontId="7" fillId="0" borderId="1" xfId="0" applyFont="1" applyBorder="1" applyAlignment="1">
      <alignment horizontal="center" vertical="center" wrapText="1"/>
    </xf>
    <xf numFmtId="0" fontId="8" fillId="0" borderId="0" xfId="0" applyFont="1" applyAlignment="1">
      <alignment horizontal="left" vertical="center"/>
    </xf>
    <xf numFmtId="0" fontId="19" fillId="0" borderId="0" xfId="0" applyFont="1" applyAlignment="1">
      <alignment horizontal="left" vertical="center"/>
    </xf>
    <xf numFmtId="9" fontId="9" fillId="0" borderId="5" xfId="0" applyNumberFormat="1" applyFont="1" applyBorder="1" applyAlignment="1">
      <alignment vertical="center" wrapText="1"/>
    </xf>
    <xf numFmtId="169" fontId="7" fillId="0" borderId="0" xfId="9" applyNumberFormat="1" applyFont="1" applyAlignment="1">
      <alignment horizontal="center" vertical="center" wrapText="1"/>
    </xf>
    <xf numFmtId="169" fontId="9" fillId="0" borderId="0" xfId="9" applyNumberFormat="1" applyFont="1" applyAlignment="1">
      <alignment horizontal="center" vertical="center" wrapText="1"/>
    </xf>
    <xf numFmtId="169" fontId="6" fillId="0" borderId="0" xfId="9" applyNumberFormat="1" applyFont="1" applyAlignment="1">
      <alignment vertical="center"/>
    </xf>
    <xf numFmtId="169" fontId="8" fillId="0" borderId="0" xfId="9" applyNumberFormat="1" applyFont="1" applyAlignment="1">
      <alignment horizontal="left" vertical="center"/>
    </xf>
    <xf numFmtId="169" fontId="7" fillId="0" borderId="0" xfId="9" applyNumberFormat="1" applyFont="1" applyAlignment="1">
      <alignment vertical="center"/>
    </xf>
    <xf numFmtId="169" fontId="8" fillId="0" borderId="0" xfId="9" applyNumberFormat="1" applyFont="1" applyAlignment="1">
      <alignment vertical="center"/>
    </xf>
    <xf numFmtId="169" fontId="7" fillId="0" borderId="1" xfId="9" applyNumberFormat="1" applyFont="1" applyBorder="1" applyAlignment="1">
      <alignment horizontal="center" vertical="center" wrapText="1"/>
    </xf>
    <xf numFmtId="169" fontId="9" fillId="0" borderId="1" xfId="9" applyNumberFormat="1" applyFont="1" applyBorder="1" applyAlignment="1">
      <alignment horizontal="center" vertical="center" wrapText="1"/>
    </xf>
    <xf numFmtId="169" fontId="7" fillId="0" borderId="1" xfId="9" applyNumberFormat="1" applyFont="1" applyBorder="1" applyAlignment="1">
      <alignment vertical="center" wrapText="1"/>
    </xf>
    <xf numFmtId="169" fontId="7" fillId="0" borderId="4" xfId="9" applyNumberFormat="1" applyFont="1" applyBorder="1" applyAlignment="1">
      <alignment vertical="center" wrapText="1"/>
    </xf>
    <xf numFmtId="169" fontId="9" fillId="0" borderId="5" xfId="9" applyNumberFormat="1" applyFont="1" applyBorder="1" applyAlignment="1">
      <alignment vertical="center" wrapText="1"/>
    </xf>
    <xf numFmtId="169" fontId="27" fillId="0" borderId="5" xfId="9" applyNumberFormat="1" applyFont="1" applyBorder="1" applyAlignment="1">
      <alignment vertical="center" wrapText="1"/>
    </xf>
    <xf numFmtId="169" fontId="9" fillId="2" borderId="5" xfId="9" applyNumberFormat="1" applyFont="1" applyFill="1" applyBorder="1" applyAlignment="1">
      <alignment vertical="center" wrapText="1"/>
    </xf>
    <xf numFmtId="169" fontId="21" fillId="0" borderId="5" xfId="9" applyNumberFormat="1" applyFont="1" applyBorder="1" applyAlignment="1">
      <alignment vertical="center" wrapText="1"/>
    </xf>
    <xf numFmtId="169" fontId="19" fillId="0" borderId="5" xfId="9" applyNumberFormat="1" applyFont="1" applyBorder="1" applyAlignment="1">
      <alignment vertical="center" wrapText="1"/>
    </xf>
    <xf numFmtId="166" fontId="9" fillId="0" borderId="5" xfId="9" applyNumberFormat="1" applyFont="1" applyBorder="1" applyAlignment="1">
      <alignment vertical="center" wrapText="1"/>
    </xf>
    <xf numFmtId="166" fontId="9" fillId="2" borderId="5" xfId="9" applyNumberFormat="1" applyFont="1" applyFill="1" applyBorder="1" applyAlignment="1">
      <alignment vertical="center" wrapText="1"/>
    </xf>
    <xf numFmtId="169" fontId="7" fillId="0" borderId="5" xfId="9" applyNumberFormat="1" applyFont="1" applyBorder="1" applyAlignment="1">
      <alignment vertical="center" wrapText="1"/>
    </xf>
    <xf numFmtId="169" fontId="19" fillId="0" borderId="6" xfId="9" applyNumberFormat="1" applyFont="1" applyBorder="1" applyAlignment="1">
      <alignment vertical="center" wrapText="1"/>
    </xf>
    <xf numFmtId="0" fontId="19" fillId="0" borderId="5" xfId="1" quotePrefix="1" applyFont="1" applyBorder="1"/>
    <xf numFmtId="0" fontId="21" fillId="0" borderId="5" xfId="1" applyFont="1" applyBorder="1"/>
    <xf numFmtId="0" fontId="21" fillId="0" borderId="5" xfId="1" quotePrefix="1" applyFont="1" applyFill="1" applyBorder="1"/>
    <xf numFmtId="0" fontId="21" fillId="4" borderId="4" xfId="0" applyFont="1" applyFill="1" applyBorder="1" applyAlignment="1">
      <alignment horizontal="center" vertical="center" shrinkToFit="1"/>
    </xf>
    <xf numFmtId="0" fontId="21" fillId="4" borderId="4" xfId="0" applyFont="1" applyFill="1" applyBorder="1" applyAlignment="1">
      <alignment vertical="center" wrapText="1"/>
    </xf>
    <xf numFmtId="3" fontId="21" fillId="4" borderId="4" xfId="0" applyNumberFormat="1" applyFont="1" applyFill="1" applyBorder="1" applyAlignment="1">
      <alignment vertical="center" wrapText="1"/>
    </xf>
    <xf numFmtId="0" fontId="21" fillId="4" borderId="5" xfId="0" applyFont="1" applyFill="1" applyBorder="1" applyAlignment="1">
      <alignment horizontal="center" vertical="center" shrinkToFit="1"/>
    </xf>
    <xf numFmtId="0" fontId="21" fillId="4" borderId="5" xfId="0" applyFont="1" applyFill="1" applyBorder="1" applyAlignment="1">
      <alignment vertical="center" wrapText="1"/>
    </xf>
    <xf numFmtId="3" fontId="21" fillId="4" borderId="5" xfId="0" applyNumberFormat="1" applyFont="1" applyFill="1" applyBorder="1" applyAlignment="1">
      <alignment vertical="center" wrapText="1"/>
    </xf>
    <xf numFmtId="0" fontId="24" fillId="2" borderId="0" xfId="0" applyFont="1" applyFill="1" applyAlignment="1">
      <alignment vertical="center"/>
    </xf>
    <xf numFmtId="0" fontId="12" fillId="0" borderId="5" xfId="0" applyFont="1" applyBorder="1" applyAlignment="1">
      <alignment vertical="center" wrapText="1"/>
    </xf>
    <xf numFmtId="0" fontId="8" fillId="0" borderId="0" xfId="0" applyFont="1" applyAlignment="1">
      <alignment horizontal="left" vertical="center"/>
    </xf>
    <xf numFmtId="0" fontId="7" fillId="0" borderId="1" xfId="0" applyFont="1" applyBorder="1" applyAlignment="1">
      <alignment horizontal="center" vertical="center" wrapText="1"/>
    </xf>
    <xf numFmtId="0" fontId="8" fillId="0" borderId="0" xfId="0" applyFont="1" applyAlignment="1">
      <alignment horizontal="left" vertical="center"/>
    </xf>
    <xf numFmtId="0" fontId="19" fillId="0" borderId="0" xfId="0" applyFont="1" applyAlignment="1">
      <alignment horizontal="left" vertical="center"/>
    </xf>
    <xf numFmtId="0" fontId="8" fillId="0" borderId="0" xfId="0" applyFont="1" applyAlignment="1">
      <alignment horizontal="left" vertical="center"/>
    </xf>
    <xf numFmtId="3" fontId="6" fillId="0" borderId="0" xfId="0" applyNumberFormat="1" applyFont="1" applyAlignment="1">
      <alignment vertical="center"/>
    </xf>
    <xf numFmtId="0" fontId="19" fillId="0" borderId="0" xfId="0" applyFont="1" applyAlignment="1">
      <alignment horizontal="left" vertical="center"/>
    </xf>
    <xf numFmtId="0" fontId="21" fillId="0" borderId="1" xfId="0" applyFont="1" applyBorder="1" applyAlignment="1">
      <alignment horizontal="center" vertical="center" wrapText="1"/>
    </xf>
    <xf numFmtId="0" fontId="21" fillId="0" borderId="1" xfId="0" applyFont="1" applyBorder="1" applyAlignment="1">
      <alignment horizontal="center" vertical="center" shrinkToFit="1"/>
    </xf>
    <xf numFmtId="0" fontId="8" fillId="0" borderId="0" xfId="20" applyFont="1" applyBorder="1"/>
    <xf numFmtId="0" fontId="8" fillId="0" borderId="0" xfId="20" applyFont="1"/>
    <xf numFmtId="0" fontId="6" fillId="0" borderId="1" xfId="20" applyFont="1" applyBorder="1" applyAlignment="1">
      <alignment horizontal="center" vertical="center"/>
    </xf>
    <xf numFmtId="0" fontId="6" fillId="0" borderId="0" xfId="20" applyFont="1" applyBorder="1" applyAlignment="1">
      <alignment horizontal="center" vertical="center"/>
    </xf>
    <xf numFmtId="0" fontId="6" fillId="0" borderId="0" xfId="20" applyFont="1" applyAlignment="1">
      <alignment horizontal="center" vertical="center"/>
    </xf>
    <xf numFmtId="0" fontId="12" fillId="0" borderId="0" xfId="20" applyFont="1" applyBorder="1"/>
    <xf numFmtId="0" fontId="12" fillId="0" borderId="0" xfId="20" applyFont="1"/>
    <xf numFmtId="0" fontId="8" fillId="0" borderId="0" xfId="20" applyFont="1" applyFill="1" applyBorder="1" applyAlignment="1">
      <alignment vertical="center"/>
    </xf>
    <xf numFmtId="0" fontId="8" fillId="0" borderId="0" xfId="20" applyFont="1" applyBorder="1" applyAlignment="1">
      <alignment horizontal="center"/>
    </xf>
    <xf numFmtId="0" fontId="8" fillId="0" borderId="0" xfId="20" applyFont="1" applyBorder="1" applyAlignment="1">
      <alignment vertical="center"/>
    </xf>
    <xf numFmtId="0" fontId="8" fillId="0" borderId="0" xfId="20" applyFont="1" applyAlignment="1">
      <alignment vertical="center"/>
    </xf>
    <xf numFmtId="14" fontId="19" fillId="0" borderId="5" xfId="20" applyNumberFormat="1" applyFont="1" applyBorder="1"/>
    <xf numFmtId="0" fontId="19" fillId="0" borderId="4" xfId="20" applyFont="1" applyBorder="1" applyAlignment="1">
      <alignment vertical="center"/>
    </xf>
    <xf numFmtId="14" fontId="19" fillId="0" borderId="4" xfId="20" applyNumberFormat="1" applyFont="1" applyBorder="1" applyAlignment="1">
      <alignment vertical="center"/>
    </xf>
    <xf numFmtId="0" fontId="19" fillId="0" borderId="5" xfId="20" applyFont="1" applyBorder="1" applyAlignment="1">
      <alignment vertical="center"/>
    </xf>
    <xf numFmtId="14" fontId="19" fillId="0" borderId="5" xfId="20" applyNumberFormat="1" applyFont="1" applyBorder="1" applyAlignment="1">
      <alignment vertical="center"/>
    </xf>
    <xf numFmtId="0" fontId="19" fillId="0" borderId="5" xfId="20" applyFont="1" applyFill="1" applyBorder="1" applyAlignment="1">
      <alignment vertical="center"/>
    </xf>
    <xf numFmtId="0" fontId="19" fillId="0" borderId="6" xfId="20" applyFont="1" applyBorder="1"/>
    <xf numFmtId="0" fontId="19" fillId="0" borderId="6" xfId="20" applyFont="1" applyFill="1" applyBorder="1" applyAlignment="1">
      <alignment vertical="center"/>
    </xf>
    <xf numFmtId="0" fontId="19" fillId="0" borderId="0" xfId="0" applyFont="1" applyAlignment="1">
      <alignment horizontal="left" vertical="center"/>
    </xf>
    <xf numFmtId="3" fontId="22" fillId="0" borderId="0" xfId="0" applyNumberFormat="1" applyFont="1" applyAlignment="1">
      <alignment vertical="center"/>
    </xf>
    <xf numFmtId="0" fontId="7" fillId="0" borderId="1" xfId="0" applyFont="1" applyBorder="1" applyAlignment="1">
      <alignment horizontal="center" vertical="center" wrapText="1"/>
    </xf>
    <xf numFmtId="0" fontId="21" fillId="0" borderId="1" xfId="0" applyFont="1" applyBorder="1" applyAlignment="1">
      <alignment horizontal="center" vertical="center" wrapText="1"/>
    </xf>
    <xf numFmtId="0" fontId="8" fillId="0" borderId="1" xfId="0" applyFont="1" applyBorder="1" applyAlignment="1">
      <alignment vertical="center"/>
    </xf>
    <xf numFmtId="0" fontId="6" fillId="0" borderId="1" xfId="0" applyFont="1" applyBorder="1" applyAlignment="1">
      <alignment vertical="center"/>
    </xf>
    <xf numFmtId="0" fontId="6" fillId="0" borderId="4" xfId="0" applyFont="1" applyBorder="1" applyAlignment="1">
      <alignment vertical="center"/>
    </xf>
    <xf numFmtId="0" fontId="6" fillId="0" borderId="9" xfId="0" applyFont="1" applyBorder="1" applyAlignment="1">
      <alignment vertical="center"/>
    </xf>
    <xf numFmtId="0" fontId="8" fillId="0" borderId="5" xfId="0" applyFont="1" applyBorder="1" applyAlignment="1">
      <alignment vertical="center"/>
    </xf>
    <xf numFmtId="0" fontId="6" fillId="0" borderId="5" xfId="0" applyFont="1" applyBorder="1" applyAlignment="1">
      <alignment vertical="center"/>
    </xf>
    <xf numFmtId="0" fontId="13" fillId="0" borderId="5" xfId="0" applyFont="1" applyBorder="1" applyAlignment="1">
      <alignment vertical="center"/>
    </xf>
    <xf numFmtId="166" fontId="13" fillId="0" borderId="5" xfId="9" applyNumberFormat="1" applyFont="1" applyBorder="1" applyAlignment="1">
      <alignment vertical="center"/>
    </xf>
    <xf numFmtId="166" fontId="8" fillId="0" borderId="5" xfId="9" applyNumberFormat="1" applyFont="1" applyBorder="1" applyAlignment="1">
      <alignment vertical="center"/>
    </xf>
    <xf numFmtId="166" fontId="6" fillId="0" borderId="5" xfId="9" applyNumberFormat="1" applyFont="1" applyBorder="1" applyAlignment="1">
      <alignment vertical="center"/>
    </xf>
    <xf numFmtId="166" fontId="8" fillId="0" borderId="5" xfId="0" applyNumberFormat="1" applyFont="1" applyBorder="1" applyAlignment="1">
      <alignment vertical="center"/>
    </xf>
    <xf numFmtId="166" fontId="6" fillId="0" borderId="5" xfId="0" applyNumberFormat="1" applyFont="1" applyBorder="1" applyAlignment="1">
      <alignment vertical="center"/>
    </xf>
    <xf numFmtId="0" fontId="8" fillId="0" borderId="6" xfId="0" applyFont="1" applyBorder="1" applyAlignment="1">
      <alignment vertical="center"/>
    </xf>
    <xf numFmtId="0" fontId="9" fillId="0" borderId="0" xfId="0" applyFont="1" applyBorder="1" applyAlignment="1">
      <alignment vertical="center" wrapText="1"/>
    </xf>
    <xf numFmtId="3" fontId="9" fillId="0" borderId="0" xfId="0" applyNumberFormat="1" applyFont="1" applyBorder="1" applyAlignment="1">
      <alignment vertical="center" wrapText="1"/>
    </xf>
    <xf numFmtId="0" fontId="7" fillId="0" borderId="0" xfId="0" applyFont="1" applyBorder="1" applyAlignment="1">
      <alignment vertical="center"/>
    </xf>
    <xf numFmtId="0" fontId="6" fillId="0" borderId="0" xfId="0" applyFont="1" applyBorder="1" applyAlignment="1">
      <alignment vertical="center"/>
    </xf>
    <xf numFmtId="0" fontId="6" fillId="0" borderId="0" xfId="0" applyFont="1" applyAlignment="1">
      <alignment horizontal="center" vertical="center"/>
    </xf>
    <xf numFmtId="0" fontId="7" fillId="0" borderId="1" xfId="0" applyFont="1" applyBorder="1" applyAlignment="1">
      <alignment horizontal="center" vertical="center" wrapText="1"/>
    </xf>
    <xf numFmtId="0" fontId="7" fillId="0" borderId="2" xfId="0" applyFont="1" applyBorder="1" applyAlignment="1">
      <alignment horizontal="center" vertical="center" wrapText="1"/>
    </xf>
    <xf numFmtId="0" fontId="21" fillId="0" borderId="0" xfId="0" applyFont="1" applyAlignment="1">
      <alignment horizontal="center" vertical="center"/>
    </xf>
    <xf numFmtId="0" fontId="21" fillId="0" borderId="1" xfId="0" applyFont="1" applyBorder="1" applyAlignment="1">
      <alignment horizontal="center" vertical="center" wrapText="1"/>
    </xf>
    <xf numFmtId="0" fontId="21" fillId="0" borderId="2" xfId="0" applyFont="1" applyBorder="1" applyAlignment="1">
      <alignment horizontal="center" vertical="center" wrapText="1"/>
    </xf>
    <xf numFmtId="0" fontId="6" fillId="0" borderId="0" xfId="0" applyFont="1" applyAlignment="1">
      <alignment horizontal="center" vertical="center"/>
    </xf>
    <xf numFmtId="0" fontId="7" fillId="0" borderId="2" xfId="0" applyFont="1" applyBorder="1" applyAlignment="1">
      <alignment horizontal="center" vertical="center" wrapText="1"/>
    </xf>
    <xf numFmtId="0" fontId="8" fillId="0" borderId="0" xfId="0" applyFont="1" applyAlignment="1">
      <alignment horizontal="left" vertical="center"/>
    </xf>
    <xf numFmtId="0" fontId="21" fillId="0" borderId="0" xfId="0" applyFont="1" applyAlignment="1">
      <alignment horizontal="center" vertical="center"/>
    </xf>
    <xf numFmtId="0" fontId="19" fillId="0" borderId="0" xfId="0" applyFont="1" applyAlignment="1">
      <alignment horizontal="left" vertical="center"/>
    </xf>
    <xf numFmtId="0" fontId="21" fillId="0" borderId="1" xfId="0" applyFont="1" applyBorder="1" applyAlignment="1">
      <alignment horizontal="center" vertical="center" wrapText="1"/>
    </xf>
    <xf numFmtId="0" fontId="21" fillId="0" borderId="1" xfId="0" applyFont="1" applyBorder="1" applyAlignment="1">
      <alignment horizontal="center" vertical="center" shrinkToFit="1"/>
    </xf>
    <xf numFmtId="3" fontId="8" fillId="0" borderId="0" xfId="0" applyNumberFormat="1" applyFont="1" applyAlignment="1">
      <alignment vertical="center"/>
    </xf>
    <xf numFmtId="0" fontId="6" fillId="0" borderId="0" xfId="0" applyFont="1" applyAlignment="1">
      <alignment horizontal="center" vertical="center"/>
    </xf>
    <xf numFmtId="0" fontId="7" fillId="0" borderId="1" xfId="0" applyFont="1" applyBorder="1" applyAlignment="1">
      <alignment horizontal="center" vertical="center" wrapText="1"/>
    </xf>
    <xf numFmtId="0" fontId="7" fillId="0" borderId="2" xfId="0" applyFont="1" applyBorder="1" applyAlignment="1">
      <alignment horizontal="center" vertical="center" wrapText="1"/>
    </xf>
    <xf numFmtId="0" fontId="8" fillId="0" borderId="0" xfId="0" applyFont="1" applyAlignment="1">
      <alignment horizontal="left" vertical="center"/>
    </xf>
    <xf numFmtId="0" fontId="19" fillId="0" borderId="0" xfId="0" applyFont="1" applyAlignment="1">
      <alignment horizontal="left" vertical="center"/>
    </xf>
    <xf numFmtId="0" fontId="21" fillId="0" borderId="0" xfId="0" applyFont="1" applyAlignment="1">
      <alignment horizontal="center" vertical="center"/>
    </xf>
    <xf numFmtId="0" fontId="21" fillId="0" borderId="1" xfId="0" applyFont="1" applyBorder="1" applyAlignment="1">
      <alignment horizontal="center" vertical="center" wrapText="1"/>
    </xf>
    <xf numFmtId="0" fontId="7" fillId="0" borderId="2" xfId="0" applyFont="1" applyBorder="1" applyAlignment="1">
      <alignment horizontal="center" vertical="center" wrapText="1"/>
    </xf>
    <xf numFmtId="0" fontId="8" fillId="0" borderId="0" xfId="0" applyFont="1" applyAlignment="1">
      <alignment horizontal="left" vertical="center"/>
    </xf>
    <xf numFmtId="0" fontId="19" fillId="0" borderId="0" xfId="0" applyFont="1" applyAlignment="1">
      <alignment horizontal="left" vertical="center"/>
    </xf>
    <xf numFmtId="0" fontId="21" fillId="0" borderId="2" xfId="0" applyFont="1" applyBorder="1" applyAlignment="1">
      <alignment horizontal="center" vertical="center" wrapText="1"/>
    </xf>
    <xf numFmtId="0" fontId="7" fillId="0" borderId="1" xfId="0" applyFont="1" applyBorder="1" applyAlignment="1">
      <alignment horizontal="center" vertical="center" wrapText="1"/>
    </xf>
    <xf numFmtId="0" fontId="7" fillId="0" borderId="2" xfId="0" applyFont="1" applyBorder="1" applyAlignment="1">
      <alignment horizontal="center" vertical="center" wrapText="1"/>
    </xf>
    <xf numFmtId="0" fontId="8" fillId="0" borderId="0" xfId="0" applyFont="1" applyAlignment="1">
      <alignment horizontal="left" vertical="center"/>
    </xf>
    <xf numFmtId="0" fontId="21" fillId="0" borderId="0" xfId="0" applyFont="1" applyAlignment="1">
      <alignment horizontal="center" vertical="center"/>
    </xf>
    <xf numFmtId="0" fontId="21" fillId="0" borderId="1" xfId="0" applyFont="1" applyBorder="1" applyAlignment="1">
      <alignment horizontal="center" vertical="center" wrapText="1"/>
    </xf>
    <xf numFmtId="0" fontId="21" fillId="0" borderId="2" xfId="0" applyFont="1" applyBorder="1" applyAlignment="1">
      <alignment horizontal="center" vertical="center" wrapText="1"/>
    </xf>
    <xf numFmtId="0" fontId="6" fillId="0" borderId="0" xfId="0" applyFont="1" applyAlignment="1">
      <alignment horizontal="center" vertical="center"/>
    </xf>
    <xf numFmtId="0" fontId="7" fillId="0" borderId="1" xfId="0" applyFont="1" applyBorder="1" applyAlignment="1">
      <alignment horizontal="center" vertical="center" wrapText="1"/>
    </xf>
    <xf numFmtId="0" fontId="7" fillId="0" borderId="2" xfId="0" applyFont="1" applyBorder="1" applyAlignment="1">
      <alignment horizontal="center" vertical="center" wrapText="1"/>
    </xf>
    <xf numFmtId="0" fontId="8" fillId="0" borderId="0" xfId="0" applyFont="1" applyAlignment="1">
      <alignment horizontal="left" vertical="center"/>
    </xf>
    <xf numFmtId="0" fontId="21" fillId="0" borderId="1" xfId="0" applyFont="1" applyBorder="1" applyAlignment="1">
      <alignment horizontal="center" vertical="center" wrapText="1"/>
    </xf>
    <xf numFmtId="0" fontId="7" fillId="0" borderId="1" xfId="0" applyFont="1" applyBorder="1" applyAlignment="1">
      <alignment horizontal="center" vertical="center" wrapText="1"/>
    </xf>
    <xf numFmtId="0" fontId="8" fillId="0" borderId="0" xfId="0" applyFont="1" applyAlignment="1">
      <alignment horizontal="left" vertical="center"/>
    </xf>
    <xf numFmtId="0" fontId="21" fillId="0" borderId="1" xfId="0" applyFont="1" applyBorder="1" applyAlignment="1">
      <alignment horizontal="center" vertical="center" wrapText="1"/>
    </xf>
    <xf numFmtId="0" fontId="6" fillId="0" borderId="0" xfId="0" applyFont="1" applyAlignment="1">
      <alignment horizontal="center" vertical="center"/>
    </xf>
    <xf numFmtId="0" fontId="7" fillId="0" borderId="1" xfId="0" applyFont="1" applyBorder="1" applyAlignment="1">
      <alignment horizontal="center" vertical="center" wrapText="1"/>
    </xf>
    <xf numFmtId="0" fontId="21" fillId="0" borderId="1" xfId="0" applyFont="1" applyBorder="1" applyAlignment="1">
      <alignment horizontal="center" vertical="center" wrapText="1"/>
    </xf>
    <xf numFmtId="0" fontId="21" fillId="0" borderId="5" xfId="0" applyFont="1" applyBorder="1" applyAlignment="1">
      <alignment wrapText="1"/>
    </xf>
    <xf numFmtId="0" fontId="26" fillId="0" borderId="5" xfId="0" applyFont="1" applyBorder="1" applyAlignment="1">
      <alignment vertical="center"/>
    </xf>
    <xf numFmtId="0" fontId="19" fillId="0" borderId="13" xfId="0" applyFont="1" applyBorder="1" applyAlignment="1">
      <alignment horizontal="center" vertical="center" wrapText="1"/>
    </xf>
    <xf numFmtId="0" fontId="19" fillId="0" borderId="13" xfId="0" applyFont="1" applyBorder="1" applyAlignment="1">
      <alignment vertical="center" wrapText="1"/>
    </xf>
    <xf numFmtId="3" fontId="19" fillId="0" borderId="13" xfId="0" applyNumberFormat="1" applyFont="1" applyBorder="1" applyAlignment="1">
      <alignment vertical="center" wrapText="1"/>
    </xf>
    <xf numFmtId="0" fontId="7" fillId="0" borderId="1" xfId="0" applyFont="1" applyBorder="1" applyAlignment="1">
      <alignment horizontal="center" vertical="center" wrapText="1"/>
    </xf>
    <xf numFmtId="0" fontId="21" fillId="0" borderId="1" xfId="0" applyFont="1" applyBorder="1" applyAlignment="1">
      <alignment horizontal="center" vertical="center" wrapText="1"/>
    </xf>
    <xf numFmtId="0" fontId="7" fillId="0" borderId="1" xfId="0" applyFont="1" applyBorder="1" applyAlignment="1">
      <alignment horizontal="center" vertical="center" wrapText="1"/>
    </xf>
    <xf numFmtId="0" fontId="21" fillId="0" borderId="1" xfId="0" applyFont="1" applyBorder="1" applyAlignment="1">
      <alignment horizontal="center" vertical="center" wrapText="1"/>
    </xf>
    <xf numFmtId="0" fontId="6" fillId="0" borderId="0" xfId="0" applyFont="1" applyAlignment="1">
      <alignment horizontal="center" vertical="center"/>
    </xf>
    <xf numFmtId="0" fontId="7" fillId="0" borderId="1" xfId="0" applyFont="1" applyBorder="1" applyAlignment="1">
      <alignment horizontal="center" vertical="center" wrapText="1"/>
    </xf>
    <xf numFmtId="0" fontId="8" fillId="0" borderId="0" xfId="0" applyFont="1" applyAlignment="1">
      <alignment horizontal="left" vertical="center"/>
    </xf>
    <xf numFmtId="0" fontId="21" fillId="0" borderId="1" xfId="0" applyFont="1" applyBorder="1" applyAlignment="1">
      <alignment horizontal="center" vertical="center" wrapText="1"/>
    </xf>
    <xf numFmtId="0" fontId="6" fillId="0" borderId="0" xfId="0" applyFont="1" applyAlignment="1">
      <alignment horizontal="center" vertical="center"/>
    </xf>
    <xf numFmtId="0" fontId="7" fillId="0" borderId="1" xfId="0" applyFont="1" applyBorder="1" applyAlignment="1">
      <alignment horizontal="center" vertical="center" wrapText="1"/>
    </xf>
    <xf numFmtId="0" fontId="8" fillId="0" borderId="0" xfId="0" applyFont="1" applyAlignment="1">
      <alignment horizontal="left" vertical="center"/>
    </xf>
    <xf numFmtId="0" fontId="19" fillId="0" borderId="0" xfId="0" applyFont="1" applyAlignment="1">
      <alignment horizontal="left" vertical="center"/>
    </xf>
    <xf numFmtId="0" fontId="21" fillId="0" borderId="0" xfId="0" applyFont="1" applyAlignment="1">
      <alignment horizontal="center" vertical="center"/>
    </xf>
    <xf numFmtId="0" fontId="21" fillId="0" borderId="1" xfId="0" applyFont="1" applyBorder="1" applyAlignment="1">
      <alignment horizontal="center" vertical="center" wrapText="1"/>
    </xf>
    <xf numFmtId="0" fontId="7" fillId="0" borderId="1" xfId="0" applyFont="1" applyBorder="1" applyAlignment="1">
      <alignment horizontal="center" vertical="center" wrapText="1"/>
    </xf>
    <xf numFmtId="0" fontId="21" fillId="0" borderId="1" xfId="0" applyFont="1" applyBorder="1" applyAlignment="1">
      <alignment horizontal="center" vertical="center" wrapText="1"/>
    </xf>
    <xf numFmtId="0" fontId="7" fillId="2" borderId="4" xfId="0" applyFont="1" applyFill="1" applyBorder="1" applyAlignment="1">
      <alignment horizontal="center" vertical="center" wrapText="1"/>
    </xf>
    <xf numFmtId="0" fontId="7" fillId="2" borderId="4" xfId="0" applyFont="1" applyFill="1" applyBorder="1" applyAlignment="1">
      <alignment vertical="center" wrapText="1"/>
    </xf>
    <xf numFmtId="3" fontId="7" fillId="2" borderId="4" xfId="0" applyNumberFormat="1" applyFont="1" applyFill="1" applyBorder="1" applyAlignment="1">
      <alignment vertical="center" wrapText="1"/>
    </xf>
    <xf numFmtId="0" fontId="6" fillId="0" borderId="0" xfId="0" applyFont="1" applyAlignment="1">
      <alignment horizontal="center" vertical="center"/>
    </xf>
    <xf numFmtId="0" fontId="7" fillId="0" borderId="1" xfId="0" applyFont="1" applyBorder="1" applyAlignment="1">
      <alignment horizontal="center" vertical="center" wrapText="1"/>
    </xf>
    <xf numFmtId="0" fontId="8" fillId="0" borderId="0" xfId="0" applyFont="1" applyAlignment="1">
      <alignment horizontal="left" vertical="center"/>
    </xf>
    <xf numFmtId="0" fontId="19" fillId="0" borderId="0" xfId="0" applyFont="1" applyAlignment="1">
      <alignment horizontal="left" vertical="center"/>
    </xf>
    <xf numFmtId="0" fontId="21" fillId="0" borderId="0" xfId="0" applyFont="1" applyAlignment="1">
      <alignment horizontal="center" vertical="center"/>
    </xf>
    <xf numFmtId="0" fontId="21" fillId="0" borderId="1" xfId="0" applyFont="1" applyBorder="1" applyAlignment="1">
      <alignment horizontal="center" vertical="center" wrapText="1"/>
    </xf>
    <xf numFmtId="0" fontId="12" fillId="0" borderId="0" xfId="0" applyFont="1" applyAlignment="1">
      <alignment horizontal="left" vertical="center"/>
    </xf>
    <xf numFmtId="0" fontId="6" fillId="0" borderId="0" xfId="0" applyFont="1" applyAlignment="1">
      <alignment horizontal="center" vertical="center"/>
    </xf>
    <xf numFmtId="0" fontId="7" fillId="0" borderId="1" xfId="0" applyFont="1" applyBorder="1" applyAlignment="1">
      <alignment horizontal="center" vertical="center" wrapText="1"/>
    </xf>
    <xf numFmtId="0" fontId="8" fillId="0" borderId="0" xfId="0" applyFont="1" applyAlignment="1">
      <alignment horizontal="left" vertical="center"/>
    </xf>
    <xf numFmtId="0" fontId="21" fillId="0" borderId="1" xfId="0" applyFont="1" applyBorder="1" applyAlignment="1">
      <alignment horizontal="center" vertical="center" wrapText="1"/>
    </xf>
    <xf numFmtId="3" fontId="19" fillId="0" borderId="5" xfId="0" applyNumberFormat="1" applyFont="1" applyFill="1" applyBorder="1" applyAlignment="1">
      <alignment vertical="center" wrapText="1"/>
    </xf>
    <xf numFmtId="3" fontId="12" fillId="0" borderId="5" xfId="0" applyNumberFormat="1" applyFont="1" applyFill="1" applyBorder="1" applyAlignment="1">
      <alignment vertical="center" wrapText="1"/>
    </xf>
    <xf numFmtId="0" fontId="7" fillId="0" borderId="1" xfId="0" applyFont="1" applyBorder="1" applyAlignment="1">
      <alignment horizontal="center" vertical="center" wrapText="1"/>
    </xf>
    <xf numFmtId="3" fontId="19" fillId="0" borderId="8" xfId="0" applyNumberFormat="1" applyFont="1" applyBorder="1" applyAlignment="1">
      <alignment vertical="center" wrapText="1"/>
    </xf>
    <xf numFmtId="0" fontId="19" fillId="0" borderId="8" xfId="0" applyFont="1" applyBorder="1" applyAlignment="1">
      <alignment horizontal="center" vertical="center" wrapText="1"/>
    </xf>
    <xf numFmtId="0" fontId="19" fillId="0" borderId="0" xfId="0" applyFont="1" applyAlignment="1">
      <alignment horizontal="left" vertical="center"/>
    </xf>
    <xf numFmtId="0" fontId="7" fillId="0" borderId="1" xfId="0" applyFont="1" applyBorder="1" applyAlignment="1">
      <alignment horizontal="center" vertical="center" wrapText="1"/>
    </xf>
    <xf numFmtId="0" fontId="21" fillId="0" borderId="1" xfId="0" applyFont="1" applyBorder="1" applyAlignment="1">
      <alignment horizontal="center" vertical="center" wrapText="1"/>
    </xf>
    <xf numFmtId="0" fontId="33" fillId="0" borderId="1" xfId="0" applyFont="1" applyBorder="1" applyAlignment="1">
      <alignment horizontal="center" vertical="center" wrapText="1"/>
    </xf>
    <xf numFmtId="0" fontId="23" fillId="0" borderId="1" xfId="0" applyFont="1" applyBorder="1" applyAlignment="1">
      <alignment horizontal="center" vertical="center" wrapText="1"/>
    </xf>
    <xf numFmtId="3" fontId="23" fillId="0" borderId="1" xfId="0" applyNumberFormat="1" applyFont="1" applyBorder="1" applyAlignment="1">
      <alignment vertical="center" wrapText="1"/>
    </xf>
    <xf numFmtId="3" fontId="32" fillId="0" borderId="5" xfId="0" applyNumberFormat="1" applyFont="1" applyBorder="1" applyAlignment="1">
      <alignment vertical="center"/>
    </xf>
    <xf numFmtId="0" fontId="32" fillId="0" borderId="5" xfId="0" applyFont="1" applyBorder="1" applyAlignment="1">
      <alignment vertical="center"/>
    </xf>
    <xf numFmtId="0" fontId="22" fillId="0" borderId="5" xfId="0" applyFont="1" applyBorder="1" applyAlignment="1">
      <alignment vertical="center"/>
    </xf>
    <xf numFmtId="0" fontId="9" fillId="3" borderId="0" xfId="0" applyFont="1" applyFill="1" applyAlignment="1">
      <alignment horizontal="center" vertical="center"/>
    </xf>
    <xf numFmtId="0" fontId="9" fillId="3" borderId="0" xfId="0" applyFont="1" applyFill="1" applyAlignment="1">
      <alignment vertical="center"/>
    </xf>
    <xf numFmtId="0" fontId="8" fillId="3" borderId="0" xfId="0" applyFont="1" applyFill="1" applyAlignment="1">
      <alignment vertical="center"/>
    </xf>
    <xf numFmtId="0" fontId="30" fillId="2" borderId="0" xfId="0" applyFont="1" applyFill="1" applyAlignment="1">
      <alignment vertical="center"/>
    </xf>
    <xf numFmtId="0" fontId="23" fillId="2" borderId="5" xfId="0" applyFont="1" applyFill="1" applyBorder="1" applyAlignment="1">
      <alignment vertical="center" shrinkToFit="1"/>
    </xf>
    <xf numFmtId="3" fontId="23" fillId="2" borderId="5" xfId="0" applyNumberFormat="1" applyFont="1" applyFill="1" applyBorder="1" applyAlignment="1">
      <alignment vertical="center" wrapText="1"/>
    </xf>
    <xf numFmtId="0" fontId="23" fillId="2" borderId="5" xfId="0" applyFont="1" applyFill="1" applyBorder="1" applyAlignment="1">
      <alignment horizontal="center" vertical="center" wrapText="1"/>
    </xf>
    <xf numFmtId="0" fontId="23" fillId="0" borderId="5" xfId="0" applyFont="1" applyBorder="1" applyAlignment="1">
      <alignment vertical="center" shrinkToFit="1"/>
    </xf>
    <xf numFmtId="0" fontId="23" fillId="0" borderId="5" xfId="0" applyFont="1" applyBorder="1" applyAlignment="1">
      <alignment horizontal="center" vertical="center" wrapText="1"/>
    </xf>
    <xf numFmtId="3" fontId="23" fillId="0" borderId="5" xfId="0" applyNumberFormat="1" applyFont="1" applyBorder="1" applyAlignment="1">
      <alignment vertical="center" wrapText="1"/>
    </xf>
    <xf numFmtId="0" fontId="0" fillId="0" borderId="0" xfId="0"/>
    <xf numFmtId="0" fontId="7" fillId="0" borderId="0" xfId="0" applyFont="1" applyAlignment="1">
      <alignment horizontal="center" vertical="center" wrapText="1"/>
    </xf>
    <xf numFmtId="0" fontId="9" fillId="0" borderId="0" xfId="0" applyFont="1" applyAlignment="1">
      <alignment vertical="center"/>
    </xf>
    <xf numFmtId="0" fontId="7" fillId="0" borderId="0" xfId="0" applyFont="1" applyAlignment="1">
      <alignment vertical="center"/>
    </xf>
    <xf numFmtId="0" fontId="10" fillId="0" borderId="0" xfId="0" applyFont="1" applyAlignment="1">
      <alignment horizontal="right" vertical="center"/>
    </xf>
    <xf numFmtId="0" fontId="6" fillId="0" borderId="0" xfId="0" applyFont="1" applyAlignment="1">
      <alignment vertical="center"/>
    </xf>
    <xf numFmtId="0" fontId="8" fillId="0" borderId="0" xfId="0" applyFont="1" applyAlignment="1">
      <alignment vertical="center"/>
    </xf>
    <xf numFmtId="0" fontId="9" fillId="0" borderId="0" xfId="0" applyFont="1" applyAlignment="1">
      <alignment horizontal="center" vertical="center" wrapText="1"/>
    </xf>
    <xf numFmtId="0" fontId="7" fillId="0" borderId="4" xfId="0" applyFont="1" applyBorder="1" applyAlignment="1">
      <alignment horizontal="center" vertical="center" wrapText="1"/>
    </xf>
    <xf numFmtId="0" fontId="7" fillId="0" borderId="4" xfId="0" applyFont="1" applyBorder="1" applyAlignment="1">
      <alignment vertical="center" wrapText="1"/>
    </xf>
    <xf numFmtId="0" fontId="9" fillId="0" borderId="5" xfId="0" applyFont="1" applyBorder="1" applyAlignment="1">
      <alignment horizontal="center" vertical="center" wrapText="1"/>
    </xf>
    <xf numFmtId="0" fontId="9" fillId="0" borderId="5" xfId="0" applyFont="1" applyBorder="1" applyAlignment="1">
      <alignment vertical="center" wrapText="1"/>
    </xf>
    <xf numFmtId="0" fontId="7" fillId="0" borderId="5" xfId="0" applyFont="1" applyBorder="1" applyAlignment="1">
      <alignment horizontal="center" vertical="center" wrapText="1"/>
    </xf>
    <xf numFmtId="0" fontId="7" fillId="0" borderId="5" xfId="0" applyFont="1" applyBorder="1" applyAlignment="1">
      <alignment vertical="center" wrapText="1"/>
    </xf>
    <xf numFmtId="0" fontId="7" fillId="0" borderId="1" xfId="0" applyFont="1" applyBorder="1" applyAlignment="1">
      <alignment horizontal="center" vertical="center" wrapText="1"/>
    </xf>
    <xf numFmtId="3" fontId="7" fillId="0" borderId="4" xfId="0" applyNumberFormat="1" applyFont="1" applyBorder="1" applyAlignment="1">
      <alignment vertical="center" wrapText="1"/>
    </xf>
    <xf numFmtId="3" fontId="9" fillId="0" borderId="5" xfId="0" applyNumberFormat="1" applyFont="1" applyBorder="1" applyAlignment="1">
      <alignment vertical="center" wrapText="1"/>
    </xf>
    <xf numFmtId="3" fontId="7" fillId="0" borderId="5" xfId="0" applyNumberFormat="1" applyFont="1" applyBorder="1" applyAlignment="1">
      <alignment vertical="center" wrapText="1"/>
    </xf>
    <xf numFmtId="0" fontId="8" fillId="0" borderId="0" xfId="0" applyFont="1" applyAlignment="1">
      <alignment horizontal="left" vertical="center"/>
    </xf>
    <xf numFmtId="3" fontId="7" fillId="0" borderId="1" xfId="0" applyNumberFormat="1" applyFont="1" applyBorder="1" applyAlignment="1">
      <alignment vertical="center" wrapText="1"/>
    </xf>
    <xf numFmtId="0" fontId="8" fillId="0" borderId="5" xfId="0" applyFont="1" applyBorder="1"/>
    <xf numFmtId="3" fontId="9" fillId="2" borderId="5" xfId="0" applyNumberFormat="1" applyFont="1" applyFill="1" applyBorder="1" applyAlignment="1">
      <alignment vertical="center" wrapText="1"/>
    </xf>
    <xf numFmtId="0" fontId="19" fillId="0" borderId="0" xfId="0" applyFont="1" applyAlignment="1">
      <alignment vertical="center"/>
    </xf>
    <xf numFmtId="0" fontId="19" fillId="0" borderId="0" xfId="0" applyFont="1" applyAlignment="1">
      <alignment horizontal="left" vertical="center"/>
    </xf>
    <xf numFmtId="0" fontId="21" fillId="0" borderId="1" xfId="0" applyFont="1" applyBorder="1" applyAlignment="1">
      <alignment horizontal="center" vertical="center" wrapText="1"/>
    </xf>
    <xf numFmtId="0" fontId="19" fillId="0" borderId="5" xfId="0" applyFont="1" applyBorder="1" applyAlignment="1">
      <alignment horizontal="center" vertical="center" wrapText="1"/>
    </xf>
    <xf numFmtId="0" fontId="19" fillId="0" borderId="5" xfId="0" applyFont="1" applyBorder="1" applyAlignment="1">
      <alignment vertical="center" wrapText="1"/>
    </xf>
    <xf numFmtId="3" fontId="19" fillId="0" borderId="5" xfId="0" applyNumberFormat="1" applyFont="1" applyBorder="1" applyAlignment="1">
      <alignment vertical="center" wrapText="1"/>
    </xf>
    <xf numFmtId="3" fontId="19" fillId="2" borderId="5" xfId="0" applyNumberFormat="1" applyFont="1" applyFill="1" applyBorder="1" applyAlignment="1">
      <alignment vertical="center" wrapText="1"/>
    </xf>
    <xf numFmtId="0" fontId="21" fillId="0" borderId="5" xfId="0" applyFont="1" applyBorder="1" applyAlignment="1">
      <alignment horizontal="center" vertical="center" wrapText="1"/>
    </xf>
    <xf numFmtId="0" fontId="21" fillId="0" borderId="5" xfId="0" applyFont="1" applyBorder="1" applyAlignment="1">
      <alignment vertical="center" wrapText="1"/>
    </xf>
    <xf numFmtId="3" fontId="21" fillId="0" borderId="5" xfId="0" applyNumberFormat="1" applyFont="1" applyBorder="1" applyAlignment="1">
      <alignment vertical="center" wrapText="1"/>
    </xf>
    <xf numFmtId="0" fontId="19" fillId="0" borderId="6" xfId="0" applyFont="1" applyBorder="1" applyAlignment="1">
      <alignment horizontal="center" vertical="center" wrapText="1"/>
    </xf>
    <xf numFmtId="0" fontId="19" fillId="0" borderId="6" xfId="0" applyFont="1" applyBorder="1" applyAlignment="1">
      <alignment vertical="center" wrapText="1"/>
    </xf>
    <xf numFmtId="3" fontId="19" fillId="0" borderId="6" xfId="0" applyNumberFormat="1" applyFont="1" applyBorder="1" applyAlignment="1">
      <alignment vertical="center" wrapText="1"/>
    </xf>
    <xf numFmtId="0" fontId="19" fillId="0" borderId="0" xfId="0" applyFont="1" applyBorder="1" applyAlignment="1">
      <alignment horizontal="center" vertical="center" wrapText="1"/>
    </xf>
    <xf numFmtId="0" fontId="9" fillId="2" borderId="5" xfId="0" applyFont="1" applyFill="1" applyBorder="1" applyAlignment="1">
      <alignment horizontal="center" vertical="center" wrapText="1"/>
    </xf>
    <xf numFmtId="0" fontId="9" fillId="2" borderId="5" xfId="0" applyFont="1" applyFill="1" applyBorder="1" applyAlignment="1">
      <alignment vertical="center" wrapText="1"/>
    </xf>
    <xf numFmtId="0" fontId="8" fillId="2" borderId="0" xfId="0" applyFont="1" applyFill="1" applyAlignment="1">
      <alignment vertical="center"/>
    </xf>
    <xf numFmtId="0" fontId="19" fillId="2" borderId="5" xfId="0" applyFont="1" applyFill="1" applyBorder="1" applyAlignment="1">
      <alignment vertical="center" wrapText="1"/>
    </xf>
    <xf numFmtId="0" fontId="21" fillId="2" borderId="5" xfId="0" applyFont="1" applyFill="1" applyBorder="1" applyAlignment="1">
      <alignment vertical="center" wrapText="1"/>
    </xf>
    <xf numFmtId="3" fontId="21" fillId="2" borderId="5" xfId="0" applyNumberFormat="1" applyFont="1" applyFill="1" applyBorder="1" applyAlignment="1">
      <alignment vertical="center" wrapText="1"/>
    </xf>
    <xf numFmtId="0" fontId="21" fillId="2" borderId="0" xfId="0" applyFont="1" applyFill="1" applyAlignment="1">
      <alignment vertical="center"/>
    </xf>
    <xf numFmtId="0" fontId="21" fillId="2" borderId="5" xfId="0" applyFont="1" applyFill="1" applyBorder="1" applyAlignment="1">
      <alignment horizontal="center" vertical="center" wrapText="1"/>
    </xf>
    <xf numFmtId="0" fontId="24" fillId="0" borderId="5" xfId="0" applyFont="1" applyBorder="1" applyAlignment="1">
      <alignment horizontal="center" vertical="center" wrapText="1"/>
    </xf>
    <xf numFmtId="0" fontId="24" fillId="0" borderId="5" xfId="0" applyFont="1" applyBorder="1" applyAlignment="1">
      <alignment vertical="center" wrapText="1"/>
    </xf>
    <xf numFmtId="3" fontId="24" fillId="0" borderId="5" xfId="0" applyNumberFormat="1" applyFont="1" applyBorder="1" applyAlignment="1">
      <alignment vertical="center" wrapText="1"/>
    </xf>
    <xf numFmtId="0" fontId="12" fillId="0" borderId="0" xfId="0" applyFont="1" applyAlignment="1">
      <alignment vertical="center"/>
    </xf>
    <xf numFmtId="0" fontId="19" fillId="2" borderId="5" xfId="0" applyFont="1" applyFill="1" applyBorder="1" applyAlignment="1">
      <alignment horizontal="center" vertical="center" wrapText="1"/>
    </xf>
    <xf numFmtId="0" fontId="24" fillId="2" borderId="5" xfId="0" applyFont="1" applyFill="1" applyBorder="1" applyAlignment="1">
      <alignment horizontal="center" vertical="center" wrapText="1"/>
    </xf>
    <xf numFmtId="0" fontId="24" fillId="2" borderId="5" xfId="0" applyFont="1" applyFill="1" applyBorder="1" applyAlignment="1">
      <alignment vertical="center" wrapText="1"/>
    </xf>
    <xf numFmtId="3" fontId="24" fillId="2" borderId="5" xfId="0" applyNumberFormat="1" applyFont="1" applyFill="1" applyBorder="1" applyAlignment="1">
      <alignment vertical="center" wrapText="1"/>
    </xf>
    <xf numFmtId="0" fontId="12" fillId="0" borderId="0" xfId="0" applyFont="1" applyAlignment="1">
      <alignment horizontal="left" vertical="center"/>
    </xf>
    <xf numFmtId="0" fontId="7" fillId="0" borderId="1" xfId="0" applyFont="1" applyBorder="1" applyAlignment="1">
      <alignment horizontal="center" vertical="center" wrapText="1"/>
    </xf>
    <xf numFmtId="0" fontId="19" fillId="0" borderId="0" xfId="0" applyFont="1" applyAlignment="1">
      <alignment horizontal="left" vertical="center"/>
    </xf>
    <xf numFmtId="0" fontId="21" fillId="0" borderId="1" xfId="0" applyFont="1" applyBorder="1" applyAlignment="1">
      <alignment horizontal="center" vertical="center" shrinkToFit="1"/>
    </xf>
    <xf numFmtId="0" fontId="21" fillId="0" borderId="1" xfId="0" applyFont="1" applyBorder="1" applyAlignment="1">
      <alignment horizontal="center" vertical="center" wrapText="1"/>
    </xf>
    <xf numFmtId="3" fontId="14" fillId="0" borderId="5" xfId="0" applyNumberFormat="1" applyFont="1" applyBorder="1" applyAlignment="1">
      <alignment vertical="center" wrapText="1"/>
    </xf>
    <xf numFmtId="0" fontId="19" fillId="0" borderId="0" xfId="0" applyFont="1" applyAlignment="1">
      <alignment horizontal="left" vertical="center"/>
    </xf>
    <xf numFmtId="0" fontId="21" fillId="0" borderId="0" xfId="0" applyFont="1" applyAlignment="1">
      <alignment horizontal="center" vertical="center"/>
    </xf>
    <xf numFmtId="0" fontId="19" fillId="0" borderId="0" xfId="0" applyFont="1" applyFill="1" applyAlignment="1">
      <alignment vertical="center"/>
    </xf>
    <xf numFmtId="0" fontId="21" fillId="2" borderId="4" xfId="0" applyFont="1" applyFill="1" applyBorder="1" applyAlignment="1">
      <alignment horizontal="center" vertical="center" shrinkToFit="1"/>
    </xf>
    <xf numFmtId="0" fontId="21" fillId="2" borderId="4" xfId="0" applyFont="1" applyFill="1" applyBorder="1" applyAlignment="1">
      <alignment vertical="center" wrapText="1"/>
    </xf>
    <xf numFmtId="3" fontId="21" fillId="2" borderId="4" xfId="0" applyNumberFormat="1" applyFont="1" applyFill="1" applyBorder="1" applyAlignment="1">
      <alignment vertical="center" wrapText="1"/>
    </xf>
    <xf numFmtId="3" fontId="26" fillId="2" borderId="5" xfId="0" applyNumberFormat="1" applyFont="1" applyFill="1" applyBorder="1" applyAlignment="1">
      <alignment vertical="center" wrapText="1"/>
    </xf>
    <xf numFmtId="0" fontId="6" fillId="0" borderId="0" xfId="0" applyFont="1" applyAlignment="1">
      <alignment horizontal="center" vertical="center"/>
    </xf>
    <xf numFmtId="0" fontId="7" fillId="0" borderId="1" xfId="0" applyFont="1" applyBorder="1" applyAlignment="1">
      <alignment horizontal="center" vertical="center" wrapText="1"/>
    </xf>
    <xf numFmtId="0" fontId="8" fillId="0" borderId="0" xfId="0" applyFont="1" applyAlignment="1">
      <alignment horizontal="left" vertical="center"/>
    </xf>
    <xf numFmtId="0" fontId="21" fillId="0" borderId="1" xfId="0" applyFont="1" applyBorder="1" applyAlignment="1">
      <alignment horizontal="center" vertical="center" wrapText="1"/>
    </xf>
    <xf numFmtId="3" fontId="34" fillId="0" borderId="5" xfId="1" applyNumberFormat="1" applyFont="1" applyFill="1" applyBorder="1" applyAlignment="1">
      <alignment vertical="center"/>
    </xf>
    <xf numFmtId="0" fontId="7" fillId="0" borderId="1" xfId="0" applyFont="1" applyBorder="1" applyAlignment="1">
      <alignment horizontal="center" vertical="center" wrapText="1"/>
    </xf>
    <xf numFmtId="3" fontId="19" fillId="0" borderId="8" xfId="0" applyNumberFormat="1" applyFont="1" applyBorder="1" applyAlignment="1">
      <alignment vertical="center" wrapText="1"/>
    </xf>
    <xf numFmtId="0" fontId="21" fillId="0" borderId="1" xfId="0" applyFont="1" applyBorder="1" applyAlignment="1">
      <alignment horizontal="center" vertical="center" wrapText="1"/>
    </xf>
    <xf numFmtId="0" fontId="21" fillId="0" borderId="8" xfId="0" applyFont="1" applyBorder="1" applyAlignment="1">
      <alignment horizontal="center" vertical="center" wrapText="1"/>
    </xf>
    <xf numFmtId="0" fontId="21" fillId="0" borderId="8" xfId="0" applyFont="1" applyBorder="1" applyAlignment="1">
      <alignment vertical="center" wrapText="1"/>
    </xf>
    <xf numFmtId="3" fontId="21" fillId="0" borderId="8" xfId="0" applyNumberFormat="1" applyFont="1" applyBorder="1" applyAlignment="1">
      <alignment vertical="center" wrapText="1"/>
    </xf>
    <xf numFmtId="0" fontId="19" fillId="0" borderId="8" xfId="25" applyFont="1" applyFill="1" applyBorder="1" applyAlignment="1">
      <alignment wrapText="1"/>
    </xf>
    <xf numFmtId="0" fontId="19" fillId="0" borderId="3" xfId="25" applyFont="1" applyFill="1" applyBorder="1" applyAlignment="1">
      <alignment wrapText="1"/>
    </xf>
    <xf numFmtId="0" fontId="19" fillId="0" borderId="5" xfId="25" applyFont="1" applyFill="1" applyBorder="1" applyAlignment="1">
      <alignment horizontal="left" wrapText="1"/>
    </xf>
    <xf numFmtId="0" fontId="19" fillId="0" borderId="5" xfId="25" applyFont="1" applyFill="1" applyBorder="1" applyAlignment="1">
      <alignment wrapText="1"/>
    </xf>
    <xf numFmtId="0" fontId="19" fillId="0" borderId="3" xfId="25" applyFont="1" applyBorder="1" applyAlignment="1">
      <alignment wrapText="1"/>
    </xf>
    <xf numFmtId="0" fontId="19" fillId="0" borderId="8" xfId="25" applyFont="1" applyBorder="1" applyAlignment="1">
      <alignment wrapText="1"/>
    </xf>
    <xf numFmtId="0" fontId="19" fillId="0" borderId="5" xfId="25" applyFont="1" applyBorder="1" applyAlignment="1">
      <alignment wrapText="1"/>
    </xf>
    <xf numFmtId="0" fontId="19" fillId="0" borderId="5" xfId="25" applyFont="1" applyBorder="1"/>
    <xf numFmtId="0" fontId="19" fillId="0" borderId="5" xfId="25" applyFont="1" applyBorder="1" applyAlignment="1">
      <alignment horizontal="justify" vertical="center" wrapText="1"/>
    </xf>
    <xf numFmtId="0" fontId="19" fillId="0" borderId="5" xfId="25" applyFont="1" applyFill="1" applyBorder="1" applyAlignment="1">
      <alignment horizontal="left" vertical="center" wrapText="1"/>
    </xf>
    <xf numFmtId="0" fontId="19" fillId="0" borderId="5" xfId="25" applyFont="1" applyBorder="1" applyAlignment="1">
      <alignment vertical="center" wrapText="1"/>
    </xf>
    <xf numFmtId="0" fontId="19" fillId="0" borderId="15" xfId="25" applyFont="1" applyBorder="1" applyAlignment="1">
      <alignment wrapText="1"/>
    </xf>
    <xf numFmtId="0" fontId="19" fillId="0" borderId="14" xfId="25" applyFont="1" applyFill="1" applyBorder="1" applyAlignment="1">
      <alignment wrapText="1"/>
    </xf>
    <xf numFmtId="3" fontId="26" fillId="0" borderId="5" xfId="0" applyNumberFormat="1" applyFont="1" applyBorder="1" applyAlignment="1">
      <alignment vertical="center"/>
    </xf>
    <xf numFmtId="3" fontId="26" fillId="0" borderId="5" xfId="25" applyNumberFormat="1" applyFont="1" applyBorder="1" applyAlignment="1">
      <alignment vertical="center" wrapText="1"/>
    </xf>
    <xf numFmtId="3" fontId="36" fillId="0" borderId="5" xfId="0" applyNumberFormat="1" applyFont="1" applyBorder="1" applyAlignment="1">
      <alignment vertical="center" wrapText="1"/>
    </xf>
    <xf numFmtId="0" fontId="7" fillId="2" borderId="1" xfId="0" applyFont="1" applyFill="1" applyBorder="1" applyAlignment="1">
      <alignment horizontal="center" vertical="center" wrapText="1"/>
    </xf>
    <xf numFmtId="3" fontId="7" fillId="2" borderId="1" xfId="0" applyNumberFormat="1" applyFont="1" applyFill="1" applyBorder="1" applyAlignment="1">
      <alignment vertical="center" wrapText="1"/>
    </xf>
    <xf numFmtId="0" fontId="7" fillId="0" borderId="1" xfId="0" applyFont="1" applyBorder="1" applyAlignment="1">
      <alignment horizontal="center" vertical="center" wrapText="1"/>
    </xf>
    <xf numFmtId="0" fontId="19" fillId="0" borderId="0" xfId="0" applyFont="1" applyAlignment="1">
      <alignment horizontal="left" vertical="center"/>
    </xf>
    <xf numFmtId="0" fontId="21" fillId="0" borderId="1" xfId="0" applyFont="1" applyBorder="1" applyAlignment="1">
      <alignment horizontal="center" vertical="center" shrinkToFit="1"/>
    </xf>
    <xf numFmtId="0" fontId="21" fillId="0" borderId="1" xfId="0" applyFont="1" applyBorder="1" applyAlignment="1">
      <alignment horizontal="center" vertical="center" wrapText="1"/>
    </xf>
    <xf numFmtId="3" fontId="24" fillId="0" borderId="0" xfId="0" applyNumberFormat="1" applyFont="1" applyAlignment="1">
      <alignment vertical="center"/>
    </xf>
    <xf numFmtId="3" fontId="26" fillId="0" borderId="8" xfId="0" applyNumberFormat="1" applyFont="1" applyBorder="1" applyAlignment="1">
      <alignment vertical="center" wrapText="1"/>
    </xf>
    <xf numFmtId="0" fontId="21" fillId="0" borderId="0" xfId="0" applyFont="1" applyFill="1" applyAlignment="1">
      <alignment vertical="center"/>
    </xf>
    <xf numFmtId="0" fontId="19" fillId="0" borderId="0" xfId="0" applyFont="1" applyFill="1" applyAlignment="1">
      <alignment vertical="center"/>
    </xf>
    <xf numFmtId="0" fontId="21" fillId="0" borderId="0" xfId="0" applyFont="1" applyFill="1" applyAlignment="1">
      <alignment vertical="center"/>
    </xf>
    <xf numFmtId="0" fontId="19" fillId="5" borderId="5" xfId="0" applyFont="1" applyFill="1" applyBorder="1" applyAlignment="1">
      <alignment horizontal="center" vertical="center" shrinkToFit="1"/>
    </xf>
    <xf numFmtId="0" fontId="19" fillId="5" borderId="5" xfId="0" applyFont="1" applyFill="1" applyBorder="1" applyAlignment="1">
      <alignment vertical="center" wrapText="1"/>
    </xf>
    <xf numFmtId="3" fontId="19" fillId="5" borderId="5" xfId="0" applyNumberFormat="1" applyFont="1" applyFill="1" applyBorder="1" applyAlignment="1">
      <alignment vertical="center" wrapText="1"/>
    </xf>
    <xf numFmtId="0" fontId="19" fillId="5" borderId="0" xfId="0" applyFont="1" applyFill="1" applyAlignment="1">
      <alignment vertical="center"/>
    </xf>
    <xf numFmtId="0" fontId="19" fillId="0" borderId="5" xfId="0" applyFont="1" applyFill="1" applyBorder="1" applyAlignment="1">
      <alignment horizontal="center" vertical="center" shrinkToFit="1"/>
    </xf>
    <xf numFmtId="0" fontId="19" fillId="0" borderId="5" xfId="0" applyFont="1" applyFill="1" applyBorder="1" applyAlignment="1">
      <alignment vertical="center" wrapText="1"/>
    </xf>
    <xf numFmtId="0" fontId="23" fillId="0" borderId="0" xfId="0" applyFont="1" applyFill="1" applyAlignment="1">
      <alignment vertical="center"/>
    </xf>
    <xf numFmtId="0" fontId="21" fillId="0" borderId="0" xfId="0" applyFont="1" applyFill="1" applyAlignment="1">
      <alignment vertical="center"/>
    </xf>
    <xf numFmtId="0" fontId="12" fillId="0" borderId="0" xfId="0" applyFont="1" applyFill="1" applyAlignment="1">
      <alignment vertical="center"/>
    </xf>
    <xf numFmtId="0" fontId="23" fillId="0" borderId="0" xfId="0" applyFont="1" applyAlignment="1">
      <alignment vertical="center"/>
    </xf>
    <xf numFmtId="0" fontId="23" fillId="0" borderId="5" xfId="0" applyFont="1" applyFill="1" applyBorder="1" applyAlignment="1">
      <alignment horizontal="center" vertical="center" shrinkToFit="1"/>
    </xf>
    <xf numFmtId="0" fontId="23" fillId="0" borderId="5" xfId="0" applyFont="1" applyFill="1" applyBorder="1" applyAlignment="1">
      <alignment vertical="center" wrapText="1"/>
    </xf>
    <xf numFmtId="3" fontId="23" fillId="0" borderId="5" xfId="0" applyNumberFormat="1" applyFont="1" applyFill="1" applyBorder="1" applyAlignment="1">
      <alignment vertical="center" wrapText="1"/>
    </xf>
    <xf numFmtId="0" fontId="21" fillId="0" borderId="5" xfId="0" applyFont="1" applyFill="1" applyBorder="1" applyAlignment="1">
      <alignment horizontal="center" vertical="center" shrinkToFit="1"/>
    </xf>
    <xf numFmtId="0" fontId="21" fillId="0" borderId="5" xfId="0" applyFont="1" applyFill="1" applyBorder="1" applyAlignment="1">
      <alignment vertical="center" wrapText="1"/>
    </xf>
    <xf numFmtId="3" fontId="21" fillId="0" borderId="5" xfId="0" applyNumberFormat="1" applyFont="1" applyFill="1" applyBorder="1" applyAlignment="1">
      <alignment vertical="center" wrapText="1"/>
    </xf>
    <xf numFmtId="0" fontId="12" fillId="0" borderId="5" xfId="0" applyFont="1" applyFill="1" applyBorder="1" applyAlignment="1">
      <alignment horizontal="center" vertical="center" shrinkToFit="1"/>
    </xf>
    <xf numFmtId="0" fontId="12" fillId="0" borderId="5" xfId="0" applyFont="1" applyFill="1" applyBorder="1" applyAlignment="1">
      <alignment vertical="center" wrapText="1"/>
    </xf>
    <xf numFmtId="0" fontId="23" fillId="0" borderId="5" xfId="0" applyFont="1" applyBorder="1" applyAlignment="1">
      <alignment horizontal="center" vertical="center" shrinkToFit="1"/>
    </xf>
    <xf numFmtId="0" fontId="7" fillId="0" borderId="1" xfId="0" applyFont="1" applyBorder="1" applyAlignment="1">
      <alignment horizontal="center" vertical="center" wrapText="1"/>
    </xf>
    <xf numFmtId="0" fontId="19" fillId="0" borderId="0" xfId="0" applyFont="1" applyAlignment="1">
      <alignment horizontal="left" vertical="center"/>
    </xf>
    <xf numFmtId="0" fontId="21" fillId="0" borderId="0" xfId="0" applyFont="1" applyAlignment="1">
      <alignment horizontal="center" vertical="center"/>
    </xf>
    <xf numFmtId="0" fontId="21" fillId="0" borderId="1" xfId="0" applyFont="1" applyBorder="1" applyAlignment="1">
      <alignment horizontal="center" vertical="center" wrapText="1"/>
    </xf>
    <xf numFmtId="3" fontId="19" fillId="3" borderId="5" xfId="0" applyNumberFormat="1" applyFont="1" applyFill="1" applyBorder="1" applyAlignment="1">
      <alignment vertical="center" wrapText="1"/>
    </xf>
    <xf numFmtId="3" fontId="12" fillId="2" borderId="5" xfId="0" applyNumberFormat="1" applyFont="1" applyFill="1" applyBorder="1" applyAlignment="1">
      <alignment vertical="center" wrapText="1"/>
    </xf>
    <xf numFmtId="0" fontId="21" fillId="0" borderId="1" xfId="0" applyFont="1" applyBorder="1" applyAlignment="1">
      <alignment horizontal="center" vertical="center" wrapText="1"/>
    </xf>
    <xf numFmtId="0" fontId="37" fillId="0" borderId="5" xfId="0" applyFont="1" applyBorder="1" applyAlignment="1">
      <alignment vertical="center" wrapText="1"/>
    </xf>
    <xf numFmtId="0" fontId="6" fillId="0" borderId="0" xfId="0" applyFont="1" applyAlignment="1">
      <alignment horizontal="center" vertical="center"/>
    </xf>
    <xf numFmtId="0" fontId="7" fillId="0" borderId="1" xfId="0" applyFont="1" applyBorder="1" applyAlignment="1">
      <alignment horizontal="center" vertical="center" wrapText="1"/>
    </xf>
    <xf numFmtId="0" fontId="8" fillId="0" borderId="0" xfId="0" applyFont="1" applyAlignment="1">
      <alignment horizontal="left" vertical="center"/>
    </xf>
    <xf numFmtId="3" fontId="19" fillId="0" borderId="5" xfId="0" applyNumberFormat="1" applyFont="1" applyBorder="1" applyAlignment="1">
      <alignment vertical="center" wrapText="1"/>
    </xf>
    <xf numFmtId="0" fontId="21" fillId="0" borderId="1" xfId="0" applyFont="1" applyBorder="1" applyAlignment="1">
      <alignment horizontal="center" vertical="center" wrapText="1"/>
    </xf>
    <xf numFmtId="0" fontId="6" fillId="0" borderId="1" xfId="0" applyFont="1" applyBorder="1" applyAlignment="1">
      <alignment horizontal="center" vertical="center"/>
    </xf>
    <xf numFmtId="0" fontId="6" fillId="0" borderId="0" xfId="0" applyFont="1" applyBorder="1" applyAlignment="1">
      <alignment horizontal="center" vertical="center"/>
    </xf>
    <xf numFmtId="0" fontId="11" fillId="0" borderId="0" xfId="0" applyFont="1" applyAlignment="1">
      <alignment horizontal="center" vertical="center" wrapText="1"/>
    </xf>
    <xf numFmtId="0" fontId="6" fillId="0" borderId="0" xfId="0" applyFont="1" applyAlignment="1">
      <alignment horizontal="center" vertical="center"/>
    </xf>
    <xf numFmtId="0" fontId="7" fillId="0" borderId="1" xfId="0" applyFont="1" applyBorder="1" applyAlignment="1">
      <alignment horizontal="center" vertical="center" wrapText="1"/>
    </xf>
    <xf numFmtId="0" fontId="7" fillId="0" borderId="2" xfId="0" applyFont="1" applyBorder="1" applyAlignment="1">
      <alignment horizontal="center" vertical="center" wrapText="1"/>
    </xf>
    <xf numFmtId="0" fontId="7" fillId="0" borderId="13" xfId="0" applyFont="1" applyBorder="1" applyAlignment="1">
      <alignment horizontal="center" vertical="center" wrapText="1"/>
    </xf>
    <xf numFmtId="0" fontId="6" fillId="0" borderId="0" xfId="20" applyFont="1" applyBorder="1" applyAlignment="1">
      <alignment horizontal="center"/>
    </xf>
    <xf numFmtId="0" fontId="11" fillId="0" borderId="0" xfId="0" applyFont="1" applyAlignment="1">
      <alignment horizontal="center" vertical="center"/>
    </xf>
    <xf numFmtId="0" fontId="8" fillId="0" borderId="0" xfId="0" applyFont="1" applyAlignment="1">
      <alignment horizontal="left" vertical="center" wrapText="1"/>
    </xf>
    <xf numFmtId="0" fontId="7" fillId="0" borderId="3" xfId="0" applyFont="1" applyBorder="1" applyAlignment="1">
      <alignment horizontal="center" vertical="center" wrapText="1"/>
    </xf>
    <xf numFmtId="0" fontId="8" fillId="0" borderId="0" xfId="0" applyFont="1" applyAlignment="1">
      <alignment horizontal="left" vertical="center"/>
    </xf>
    <xf numFmtId="0" fontId="8" fillId="0" borderId="0" xfId="0" applyFont="1" applyAlignment="1">
      <alignment horizontal="center"/>
    </xf>
    <xf numFmtId="0" fontId="8" fillId="0" borderId="10" xfId="0" applyFont="1" applyBorder="1" applyAlignment="1">
      <alignment horizontal="center"/>
    </xf>
    <xf numFmtId="0" fontId="8" fillId="0" borderId="11" xfId="0" applyFont="1" applyBorder="1" applyAlignment="1">
      <alignment horizontal="center"/>
    </xf>
    <xf numFmtId="0" fontId="8" fillId="0" borderId="12" xfId="0" applyFont="1" applyBorder="1" applyAlignment="1">
      <alignment horizontal="center"/>
    </xf>
    <xf numFmtId="0" fontId="8" fillId="0" borderId="1" xfId="0" applyFont="1" applyBorder="1" applyAlignment="1">
      <alignment horizontal="center" vertical="center"/>
    </xf>
    <xf numFmtId="0" fontId="8" fillId="0" borderId="1" xfId="0" applyFont="1" applyBorder="1" applyAlignment="1">
      <alignment horizontal="center"/>
    </xf>
    <xf numFmtId="0" fontId="19" fillId="0" borderId="0" xfId="0" applyFont="1" applyAlignment="1">
      <alignment horizontal="left" vertical="center" wrapText="1"/>
    </xf>
    <xf numFmtId="0" fontId="19" fillId="0" borderId="0" xfId="0" applyFont="1" applyAlignment="1">
      <alignment horizontal="left" vertical="center"/>
    </xf>
    <xf numFmtId="0" fontId="7" fillId="0" borderId="7" xfId="0" applyFont="1" applyBorder="1" applyAlignment="1">
      <alignment horizontal="left" vertical="center" wrapText="1"/>
    </xf>
    <xf numFmtId="0" fontId="21" fillId="0" borderId="0" xfId="0" applyFont="1" applyAlignment="1">
      <alignment horizontal="center" vertical="center"/>
    </xf>
    <xf numFmtId="0" fontId="20" fillId="0" borderId="0" xfId="0" applyFont="1" applyAlignment="1">
      <alignment horizontal="center" vertical="center" wrapText="1"/>
    </xf>
    <xf numFmtId="0" fontId="20" fillId="0" borderId="0" xfId="0" applyFont="1" applyAlignment="1">
      <alignment horizontal="center" vertical="center"/>
    </xf>
    <xf numFmtId="0" fontId="7" fillId="0" borderId="0" xfId="0" applyFont="1" applyBorder="1" applyAlignment="1">
      <alignment horizontal="left" vertical="center" wrapText="1"/>
    </xf>
    <xf numFmtId="0" fontId="19" fillId="0" borderId="7" xfId="0" applyFont="1" applyBorder="1" applyAlignment="1">
      <alignment horizontal="left" vertical="center" wrapText="1"/>
    </xf>
    <xf numFmtId="0" fontId="12" fillId="0" borderId="0" xfId="0" applyFont="1" applyAlignment="1">
      <alignment horizontal="left" vertical="center"/>
    </xf>
    <xf numFmtId="3" fontId="19" fillId="0" borderId="5" xfId="0" applyNumberFormat="1" applyFont="1" applyBorder="1" applyAlignment="1">
      <alignment vertical="center" wrapText="1"/>
    </xf>
    <xf numFmtId="0" fontId="21" fillId="0" borderId="7" xfId="0" applyFont="1" applyBorder="1" applyAlignment="1">
      <alignment horizontal="left" vertical="center" wrapText="1"/>
    </xf>
    <xf numFmtId="0" fontId="8" fillId="3" borderId="0" xfId="0" applyFont="1" applyFill="1" applyAlignment="1">
      <alignment horizontal="left" vertical="center"/>
    </xf>
    <xf numFmtId="0" fontId="19" fillId="0" borderId="0" xfId="0" applyFont="1" applyBorder="1" applyAlignment="1">
      <alignment horizontal="left" vertical="center" wrapText="1"/>
    </xf>
    <xf numFmtId="0" fontId="6" fillId="0" borderId="0" xfId="0" applyFont="1" applyAlignment="1">
      <alignment horizontal="center" vertical="center" wrapText="1"/>
    </xf>
    <xf numFmtId="0" fontId="7" fillId="2" borderId="7" xfId="0" applyFont="1" applyFill="1" applyBorder="1" applyAlignment="1">
      <alignment horizontal="left" vertical="center" wrapText="1"/>
    </xf>
    <xf numFmtId="0" fontId="21" fillId="0" borderId="1" xfId="0" applyFont="1" applyBorder="1" applyAlignment="1">
      <alignment horizontal="center" vertical="center" shrinkToFit="1"/>
    </xf>
    <xf numFmtId="0" fontId="21" fillId="0" borderId="1" xfId="0" applyFont="1" applyBorder="1" applyAlignment="1">
      <alignment horizontal="center" vertical="center" wrapText="1"/>
    </xf>
    <xf numFmtId="0" fontId="21" fillId="0" borderId="2" xfId="0" applyFont="1" applyBorder="1" applyAlignment="1">
      <alignment horizontal="center" vertical="center" wrapText="1"/>
    </xf>
    <xf numFmtId="0" fontId="21" fillId="0" borderId="3" xfId="0" applyFont="1" applyBorder="1" applyAlignment="1">
      <alignment horizontal="center" vertical="center" wrapText="1"/>
    </xf>
    <xf numFmtId="0" fontId="21" fillId="0" borderId="0" xfId="0" applyFont="1" applyBorder="1" applyAlignment="1">
      <alignment horizontal="left" vertical="center" wrapText="1"/>
    </xf>
  </cellXfs>
  <cellStyles count="39">
    <cellStyle name="Comma" xfId="9" builtinId="3"/>
    <cellStyle name="Comma [0] 2" xfId="15"/>
    <cellStyle name="Comma 10" xfId="19"/>
    <cellStyle name="Comma 11" xfId="26"/>
    <cellStyle name="Comma 12" xfId="29"/>
    <cellStyle name="Comma 13" xfId="28"/>
    <cellStyle name="Comma 14" xfId="30"/>
    <cellStyle name="Comma 15" xfId="31"/>
    <cellStyle name="Comma 16" xfId="32"/>
    <cellStyle name="Comma 17" xfId="33"/>
    <cellStyle name="Comma 18" xfId="34"/>
    <cellStyle name="Comma 19" xfId="35"/>
    <cellStyle name="Comma 2" xfId="2"/>
    <cellStyle name="Comma 2 2" xfId="27"/>
    <cellStyle name="Comma 20" xfId="36"/>
    <cellStyle name="Comma 21" xfId="37"/>
    <cellStyle name="Comma 22" xfId="38"/>
    <cellStyle name="Comma 3" xfId="3"/>
    <cellStyle name="Comma 3 2" xfId="4"/>
    <cellStyle name="Comma 3 3" xfId="21"/>
    <cellStyle name="Comma 4" xfId="5"/>
    <cellStyle name="Comma 5" xfId="11"/>
    <cellStyle name="Comma 6" xfId="13"/>
    <cellStyle name="Comma 6 2" xfId="23"/>
    <cellStyle name="Comma 7" xfId="17"/>
    <cellStyle name="Comma 8" xfId="18"/>
    <cellStyle name="Comma 9" xfId="16"/>
    <cellStyle name="Normal" xfId="0" builtinId="0"/>
    <cellStyle name="Normal 2" xfId="6"/>
    <cellStyle name="Normal 2 2" xfId="1"/>
    <cellStyle name="Normal 3" xfId="7"/>
    <cellStyle name="Normal 3 2" xfId="20"/>
    <cellStyle name="Normal 4" xfId="8"/>
    <cellStyle name="Normal 5" xfId="10"/>
    <cellStyle name="Normal 6" xfId="12"/>
    <cellStyle name="Normal 6 2" xfId="22"/>
    <cellStyle name="Normal 7" xfId="14"/>
    <cellStyle name="Normal 7 2" xfId="24"/>
    <cellStyle name="Normal 8" xfId="25"/>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20.bin"/></Relationships>
</file>

<file path=xl/worksheets/_rels/sheet23.xml.rels><?xml version="1.0" encoding="UTF-8" standalone="yes"?>
<Relationships xmlns="http://schemas.openxmlformats.org/package/2006/relationships"><Relationship Id="rId3" Type="http://schemas.openxmlformats.org/officeDocument/2006/relationships/comments" Target="../comments15.xml"/><Relationship Id="rId2" Type="http://schemas.openxmlformats.org/officeDocument/2006/relationships/vmlDrawing" Target="../drawings/vmlDrawing15.vml"/><Relationship Id="rId1" Type="http://schemas.openxmlformats.org/officeDocument/2006/relationships/printerSettings" Target="../printerSettings/printerSettings21.bin"/></Relationships>
</file>

<file path=xl/worksheets/_rels/sheet24.xml.rels><?xml version="1.0" encoding="UTF-8" standalone="yes"?>
<Relationships xmlns="http://schemas.openxmlformats.org/package/2006/relationships"><Relationship Id="rId3" Type="http://schemas.openxmlformats.org/officeDocument/2006/relationships/comments" Target="../comments16.xml"/><Relationship Id="rId2" Type="http://schemas.openxmlformats.org/officeDocument/2006/relationships/vmlDrawing" Target="../drawings/vmlDrawing16.vml"/><Relationship Id="rId1" Type="http://schemas.openxmlformats.org/officeDocument/2006/relationships/printerSettings" Target="../printerSettings/printerSettings22.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8.xml.rels><?xml version="1.0" encoding="UTF-8" standalone="yes"?>
<Relationships xmlns="http://schemas.openxmlformats.org/package/2006/relationships"><Relationship Id="rId3" Type="http://schemas.openxmlformats.org/officeDocument/2006/relationships/comments" Target="../comments17.xml"/><Relationship Id="rId2" Type="http://schemas.openxmlformats.org/officeDocument/2006/relationships/vmlDrawing" Target="../drawings/vmlDrawing17.vml"/><Relationship Id="rId1" Type="http://schemas.openxmlformats.org/officeDocument/2006/relationships/printerSettings" Target="../printerSettings/printerSettings26.bin"/></Relationships>
</file>

<file path=xl/worksheets/_rels/sheet29.xml.rels><?xml version="1.0" encoding="UTF-8" standalone="yes"?>
<Relationships xmlns="http://schemas.openxmlformats.org/package/2006/relationships"><Relationship Id="rId3" Type="http://schemas.openxmlformats.org/officeDocument/2006/relationships/comments" Target="../comments18.xml"/><Relationship Id="rId2" Type="http://schemas.openxmlformats.org/officeDocument/2006/relationships/vmlDrawing" Target="../drawings/vmlDrawing18.vml"/><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3" Type="http://schemas.openxmlformats.org/officeDocument/2006/relationships/comments" Target="../comments19.xml"/><Relationship Id="rId2" Type="http://schemas.openxmlformats.org/officeDocument/2006/relationships/vmlDrawing" Target="../drawings/vmlDrawing19.vml"/><Relationship Id="rId1" Type="http://schemas.openxmlformats.org/officeDocument/2006/relationships/printerSettings" Target="../printerSettings/printerSettings28.bin"/></Relationships>
</file>

<file path=xl/worksheets/_rels/sheet31.xml.rels><?xml version="1.0" encoding="UTF-8" standalone="yes"?>
<Relationships xmlns="http://schemas.openxmlformats.org/package/2006/relationships"><Relationship Id="rId3" Type="http://schemas.openxmlformats.org/officeDocument/2006/relationships/comments" Target="../comments20.xml"/><Relationship Id="rId2" Type="http://schemas.openxmlformats.org/officeDocument/2006/relationships/vmlDrawing" Target="../drawings/vmlDrawing20.vml"/><Relationship Id="rId1" Type="http://schemas.openxmlformats.org/officeDocument/2006/relationships/printerSettings" Target="../printerSettings/printerSettings29.bin"/></Relationships>
</file>

<file path=xl/worksheets/_rels/sheet32.xml.rels><?xml version="1.0" encoding="UTF-8" standalone="yes"?>
<Relationships xmlns="http://schemas.openxmlformats.org/package/2006/relationships"><Relationship Id="rId3" Type="http://schemas.openxmlformats.org/officeDocument/2006/relationships/comments" Target="../comments21.xml"/><Relationship Id="rId2" Type="http://schemas.openxmlformats.org/officeDocument/2006/relationships/vmlDrawing" Target="../drawings/vmlDrawing21.vml"/><Relationship Id="rId1" Type="http://schemas.openxmlformats.org/officeDocument/2006/relationships/printerSettings" Target="../printerSettings/printerSettings30.bin"/></Relationships>
</file>

<file path=xl/worksheets/_rels/sheet33.xml.rels><?xml version="1.0" encoding="UTF-8" standalone="yes"?>
<Relationships xmlns="http://schemas.openxmlformats.org/package/2006/relationships"><Relationship Id="rId3" Type="http://schemas.openxmlformats.org/officeDocument/2006/relationships/comments" Target="../comments22.xml"/><Relationship Id="rId2" Type="http://schemas.openxmlformats.org/officeDocument/2006/relationships/vmlDrawing" Target="../drawings/vmlDrawing22.vml"/><Relationship Id="rId1" Type="http://schemas.openxmlformats.org/officeDocument/2006/relationships/printerSettings" Target="../printerSettings/printerSettings31.bin"/></Relationships>
</file>

<file path=xl/worksheets/_rels/sheet34.xml.rels><?xml version="1.0" encoding="UTF-8" standalone="yes"?>
<Relationships xmlns="http://schemas.openxmlformats.org/package/2006/relationships"><Relationship Id="rId3" Type="http://schemas.openxmlformats.org/officeDocument/2006/relationships/comments" Target="../comments23.xml"/><Relationship Id="rId2" Type="http://schemas.openxmlformats.org/officeDocument/2006/relationships/vmlDrawing" Target="../drawings/vmlDrawing23.vml"/><Relationship Id="rId1" Type="http://schemas.openxmlformats.org/officeDocument/2006/relationships/printerSettings" Target="../printerSettings/printerSettings32.bin"/></Relationships>
</file>

<file path=xl/worksheets/_rels/sheet35.xml.rels><?xml version="1.0" encoding="UTF-8" standalone="yes"?>
<Relationships xmlns="http://schemas.openxmlformats.org/package/2006/relationships"><Relationship Id="rId3" Type="http://schemas.openxmlformats.org/officeDocument/2006/relationships/comments" Target="../comments24.xml"/><Relationship Id="rId2" Type="http://schemas.openxmlformats.org/officeDocument/2006/relationships/vmlDrawing" Target="../drawings/vmlDrawing24.vml"/><Relationship Id="rId1" Type="http://schemas.openxmlformats.org/officeDocument/2006/relationships/printerSettings" Target="../printerSettings/printerSettings33.bin"/></Relationships>
</file>

<file path=xl/worksheets/_rels/sheet36.xml.rels><?xml version="1.0" encoding="UTF-8" standalone="yes"?>
<Relationships xmlns="http://schemas.openxmlformats.org/package/2006/relationships"><Relationship Id="rId3" Type="http://schemas.openxmlformats.org/officeDocument/2006/relationships/comments" Target="../comments25.xml"/><Relationship Id="rId2" Type="http://schemas.openxmlformats.org/officeDocument/2006/relationships/vmlDrawing" Target="../drawings/vmlDrawing25.vml"/><Relationship Id="rId1" Type="http://schemas.openxmlformats.org/officeDocument/2006/relationships/printerSettings" Target="../printerSettings/printerSettings34.bin"/></Relationships>
</file>

<file path=xl/worksheets/_rels/sheet37.xml.rels><?xml version="1.0" encoding="UTF-8" standalone="yes"?>
<Relationships xmlns="http://schemas.openxmlformats.org/package/2006/relationships"><Relationship Id="rId3" Type="http://schemas.openxmlformats.org/officeDocument/2006/relationships/comments" Target="../comments26.xml"/><Relationship Id="rId2" Type="http://schemas.openxmlformats.org/officeDocument/2006/relationships/vmlDrawing" Target="../drawings/vmlDrawing26.vml"/><Relationship Id="rId1" Type="http://schemas.openxmlformats.org/officeDocument/2006/relationships/printerSettings" Target="../printerSettings/printerSettings35.bin"/></Relationships>
</file>

<file path=xl/worksheets/_rels/sheet38.xml.rels><?xml version="1.0" encoding="UTF-8" standalone="yes"?>
<Relationships xmlns="http://schemas.openxmlformats.org/package/2006/relationships"><Relationship Id="rId3" Type="http://schemas.openxmlformats.org/officeDocument/2006/relationships/comments" Target="../comments27.xml"/><Relationship Id="rId2" Type="http://schemas.openxmlformats.org/officeDocument/2006/relationships/vmlDrawing" Target="../drawings/vmlDrawing27.vml"/><Relationship Id="rId1" Type="http://schemas.openxmlformats.org/officeDocument/2006/relationships/printerSettings" Target="../printerSettings/printerSettings36.bin"/></Relationships>
</file>

<file path=xl/worksheets/_rels/sheet39.xml.rels><?xml version="1.0" encoding="UTF-8" standalone="yes"?>
<Relationships xmlns="http://schemas.openxmlformats.org/package/2006/relationships"><Relationship Id="rId3" Type="http://schemas.openxmlformats.org/officeDocument/2006/relationships/comments" Target="../comments28.xml"/><Relationship Id="rId2" Type="http://schemas.openxmlformats.org/officeDocument/2006/relationships/vmlDrawing" Target="../drawings/vmlDrawing28.vml"/><Relationship Id="rId1" Type="http://schemas.openxmlformats.org/officeDocument/2006/relationships/printerSettings" Target="../printerSettings/printerSettings37.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1.xml.rels><?xml version="1.0" encoding="UTF-8" standalone="yes"?>
<Relationships xmlns="http://schemas.openxmlformats.org/package/2006/relationships"><Relationship Id="rId3" Type="http://schemas.openxmlformats.org/officeDocument/2006/relationships/comments" Target="../comments29.xml"/><Relationship Id="rId2" Type="http://schemas.openxmlformats.org/officeDocument/2006/relationships/vmlDrawing" Target="../drawings/vmlDrawing29.vml"/><Relationship Id="rId1" Type="http://schemas.openxmlformats.org/officeDocument/2006/relationships/printerSettings" Target="../printerSettings/printerSettings39.bin"/></Relationships>
</file>

<file path=xl/worksheets/_rels/sheet42.xml.rels><?xml version="1.0" encoding="UTF-8" standalone="yes"?>
<Relationships xmlns="http://schemas.openxmlformats.org/package/2006/relationships"><Relationship Id="rId3" Type="http://schemas.openxmlformats.org/officeDocument/2006/relationships/comments" Target="../comments30.xml"/><Relationship Id="rId2" Type="http://schemas.openxmlformats.org/officeDocument/2006/relationships/vmlDrawing" Target="../drawings/vmlDrawing30.vml"/><Relationship Id="rId1" Type="http://schemas.openxmlformats.org/officeDocument/2006/relationships/printerSettings" Target="../printerSettings/printerSettings40.bin"/></Relationships>
</file>

<file path=xl/worksheets/_rels/sheet43.xml.rels><?xml version="1.0" encoding="UTF-8" standalone="yes"?>
<Relationships xmlns="http://schemas.openxmlformats.org/package/2006/relationships"><Relationship Id="rId3" Type="http://schemas.openxmlformats.org/officeDocument/2006/relationships/comments" Target="../comments31.xml"/><Relationship Id="rId2" Type="http://schemas.openxmlformats.org/officeDocument/2006/relationships/vmlDrawing" Target="../drawings/vmlDrawing31.vml"/><Relationship Id="rId1" Type="http://schemas.openxmlformats.org/officeDocument/2006/relationships/printerSettings" Target="../printerSettings/printerSettings41.bin"/></Relationships>
</file>

<file path=xl/worksheets/_rels/sheet44.xml.rels><?xml version="1.0" encoding="UTF-8" standalone="yes"?>
<Relationships xmlns="http://schemas.openxmlformats.org/package/2006/relationships"><Relationship Id="rId3" Type="http://schemas.openxmlformats.org/officeDocument/2006/relationships/comments" Target="../comments32.xml"/><Relationship Id="rId2" Type="http://schemas.openxmlformats.org/officeDocument/2006/relationships/vmlDrawing" Target="../drawings/vmlDrawing32.vml"/><Relationship Id="rId1" Type="http://schemas.openxmlformats.org/officeDocument/2006/relationships/printerSettings" Target="../printerSettings/printerSettings42.bin"/></Relationships>
</file>

<file path=xl/worksheets/_rels/sheet45.xml.rels><?xml version="1.0" encoding="UTF-8" standalone="yes"?>
<Relationships xmlns="http://schemas.openxmlformats.org/package/2006/relationships"><Relationship Id="rId3" Type="http://schemas.openxmlformats.org/officeDocument/2006/relationships/comments" Target="../comments33.xml"/><Relationship Id="rId2" Type="http://schemas.openxmlformats.org/officeDocument/2006/relationships/vmlDrawing" Target="../drawings/vmlDrawing33.vml"/><Relationship Id="rId1" Type="http://schemas.openxmlformats.org/officeDocument/2006/relationships/printerSettings" Target="../printerSettings/printerSettings43.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9"/>
  <sheetViews>
    <sheetView workbookViewId="0">
      <selection activeCell="M5" sqref="M5"/>
    </sheetView>
  </sheetViews>
  <sheetFormatPr defaultColWidth="9.140625" defaultRowHeight="18.75" x14ac:dyDescent="0.25"/>
  <cols>
    <col min="1" max="1" width="4.85546875" style="162" customWidth="1"/>
    <col min="2" max="2" width="44.85546875" style="7" customWidth="1"/>
    <col min="3" max="4" width="7.85546875" style="7" hidden="1" customWidth="1"/>
    <col min="5" max="10" width="10.140625" style="7" customWidth="1"/>
    <col min="11" max="11" width="39.42578125" style="7" customWidth="1"/>
    <col min="12" max="16384" width="9.140625" style="7"/>
  </cols>
  <sheetData>
    <row r="1" spans="1:11" ht="42.75" customHeight="1" x14ac:dyDescent="0.25">
      <c r="A1" s="549" t="s">
        <v>1043</v>
      </c>
      <c r="B1" s="549"/>
      <c r="C1" s="549"/>
      <c r="D1" s="549"/>
      <c r="E1" s="549"/>
      <c r="F1" s="549"/>
      <c r="G1" s="549"/>
      <c r="H1" s="549"/>
      <c r="I1" s="549"/>
      <c r="J1" s="549"/>
      <c r="K1" s="549"/>
    </row>
    <row r="2" spans="1:11" x14ac:dyDescent="0.25">
      <c r="A2" s="550" t="s">
        <v>1044</v>
      </c>
      <c r="B2" s="550"/>
      <c r="C2" s="550"/>
      <c r="D2" s="550"/>
      <c r="E2" s="550"/>
      <c r="F2" s="550"/>
      <c r="G2" s="550"/>
      <c r="H2" s="550"/>
      <c r="I2" s="550"/>
      <c r="J2" s="550"/>
      <c r="K2" s="550"/>
    </row>
    <row r="3" spans="1:11" x14ac:dyDescent="0.25">
      <c r="A3" s="223"/>
      <c r="K3" s="4" t="s">
        <v>61</v>
      </c>
    </row>
    <row r="4" spans="1:11" s="146" customFormat="1" ht="44.25" customHeight="1" x14ac:dyDescent="0.25">
      <c r="A4" s="551" t="s">
        <v>62</v>
      </c>
      <c r="B4" s="551" t="s">
        <v>2</v>
      </c>
      <c r="C4" s="551" t="s">
        <v>743</v>
      </c>
      <c r="D4" s="551"/>
      <c r="E4" s="552" t="s">
        <v>1045</v>
      </c>
      <c r="F4" s="551" t="s">
        <v>8</v>
      </c>
      <c r="G4" s="551"/>
      <c r="H4" s="551" t="s">
        <v>9</v>
      </c>
      <c r="I4" s="551" t="s">
        <v>461</v>
      </c>
      <c r="J4" s="551" t="s">
        <v>1046</v>
      </c>
      <c r="K4" s="547" t="s">
        <v>1047</v>
      </c>
    </row>
    <row r="5" spans="1:11" s="146" customFormat="1" ht="99.75" customHeight="1" x14ac:dyDescent="0.25">
      <c r="A5" s="551"/>
      <c r="B5" s="551"/>
      <c r="C5" s="292" t="s">
        <v>17</v>
      </c>
      <c r="D5" s="293" t="s">
        <v>464</v>
      </c>
      <c r="E5" s="553"/>
      <c r="F5" s="293" t="s">
        <v>1048</v>
      </c>
      <c r="G5" s="293" t="s">
        <v>1049</v>
      </c>
      <c r="H5" s="551"/>
      <c r="I5" s="551"/>
      <c r="J5" s="551"/>
      <c r="K5" s="547"/>
    </row>
    <row r="6" spans="1:11" x14ac:dyDescent="0.25">
      <c r="A6" s="5" t="s">
        <v>6</v>
      </c>
      <c r="B6" s="5" t="s">
        <v>7</v>
      </c>
      <c r="C6" s="5">
        <v>1</v>
      </c>
      <c r="D6" s="5">
        <v>2</v>
      </c>
      <c r="E6" s="5">
        <v>1</v>
      </c>
      <c r="F6" s="5">
        <v>2</v>
      </c>
      <c r="G6" s="5">
        <v>3</v>
      </c>
      <c r="H6" s="5">
        <v>4</v>
      </c>
      <c r="I6" s="5">
        <v>5</v>
      </c>
      <c r="J6" s="5">
        <v>6</v>
      </c>
      <c r="K6" s="294"/>
    </row>
    <row r="7" spans="1:11" s="146" customFormat="1" x14ac:dyDescent="0.25">
      <c r="A7" s="292"/>
      <c r="B7" s="292" t="s">
        <v>1050</v>
      </c>
      <c r="C7" s="32"/>
      <c r="D7" s="32"/>
      <c r="E7" s="32"/>
      <c r="F7" s="32"/>
      <c r="G7" s="32"/>
      <c r="H7" s="32"/>
      <c r="I7" s="32"/>
      <c r="J7" s="32"/>
      <c r="K7" s="295"/>
    </row>
    <row r="8" spans="1:11" s="146" customFormat="1" x14ac:dyDescent="0.25">
      <c r="A8" s="9" t="s">
        <v>6</v>
      </c>
      <c r="B8" s="10" t="s">
        <v>1051</v>
      </c>
      <c r="C8" s="20"/>
      <c r="D8" s="20"/>
      <c r="E8" s="20"/>
      <c r="F8" s="20"/>
      <c r="G8" s="20"/>
      <c r="H8" s="20"/>
      <c r="I8" s="20"/>
      <c r="J8" s="20"/>
      <c r="K8" s="296"/>
    </row>
    <row r="9" spans="1:11" s="146" customFormat="1" x14ac:dyDescent="0.25">
      <c r="A9" s="43">
        <v>1</v>
      </c>
      <c r="B9" s="44" t="s">
        <v>1052</v>
      </c>
      <c r="C9" s="45"/>
      <c r="D9" s="45"/>
      <c r="E9" s="45"/>
      <c r="F9" s="45"/>
      <c r="G9" s="45"/>
      <c r="H9" s="45"/>
      <c r="I9" s="45"/>
      <c r="J9" s="45"/>
      <c r="K9" s="297"/>
    </row>
    <row r="10" spans="1:11" x14ac:dyDescent="0.25">
      <c r="A10" s="11"/>
      <c r="B10" s="12" t="s">
        <v>1053</v>
      </c>
      <c r="C10" s="21"/>
      <c r="D10" s="21"/>
      <c r="E10" s="21"/>
      <c r="F10" s="21"/>
      <c r="G10" s="21"/>
      <c r="H10" s="21"/>
      <c r="I10" s="21"/>
      <c r="J10" s="21"/>
      <c r="K10" s="298"/>
    </row>
    <row r="11" spans="1:11" ht="37.5" x14ac:dyDescent="0.25">
      <c r="A11" s="11"/>
      <c r="B11" s="12" t="s">
        <v>1054</v>
      </c>
      <c r="C11" s="21"/>
      <c r="D11" s="21"/>
      <c r="E11" s="21"/>
      <c r="F11" s="21"/>
      <c r="G11" s="21"/>
      <c r="H11" s="21"/>
      <c r="I11" s="21"/>
      <c r="J11" s="21"/>
      <c r="K11" s="298"/>
    </row>
    <row r="12" spans="1:11" x14ac:dyDescent="0.25">
      <c r="A12" s="11"/>
      <c r="B12" s="12" t="s">
        <v>1055</v>
      </c>
      <c r="C12" s="21"/>
      <c r="D12" s="21"/>
      <c r="E12" s="21"/>
      <c r="F12" s="21"/>
      <c r="G12" s="21"/>
      <c r="H12" s="21"/>
      <c r="I12" s="21"/>
      <c r="J12" s="21"/>
      <c r="K12" s="298"/>
    </row>
    <row r="13" spans="1:11" ht="37.5" x14ac:dyDescent="0.25">
      <c r="A13" s="11"/>
      <c r="B13" s="12" t="s">
        <v>1056</v>
      </c>
      <c r="C13" s="21"/>
      <c r="D13" s="21"/>
      <c r="E13" s="21"/>
      <c r="F13" s="21"/>
      <c r="G13" s="21"/>
      <c r="H13" s="21"/>
      <c r="I13" s="21"/>
      <c r="J13" s="21"/>
      <c r="K13" s="298"/>
    </row>
    <row r="14" spans="1:11" s="146" customFormat="1" x14ac:dyDescent="0.25">
      <c r="A14" s="13">
        <v>2</v>
      </c>
      <c r="B14" s="14" t="s">
        <v>1057</v>
      </c>
      <c r="C14" s="22"/>
      <c r="D14" s="22"/>
      <c r="E14" s="22"/>
      <c r="F14" s="22"/>
      <c r="G14" s="22"/>
      <c r="H14" s="22"/>
      <c r="I14" s="22"/>
      <c r="J14" s="22"/>
      <c r="K14" s="299"/>
    </row>
    <row r="15" spans="1:11" x14ac:dyDescent="0.25">
      <c r="A15" s="11"/>
      <c r="B15" s="12" t="s">
        <v>1053</v>
      </c>
      <c r="C15" s="21"/>
      <c r="D15" s="21"/>
      <c r="E15" s="21"/>
      <c r="F15" s="21"/>
      <c r="G15" s="21"/>
      <c r="H15" s="21"/>
      <c r="I15" s="21"/>
      <c r="J15" s="21"/>
      <c r="K15" s="298"/>
    </row>
    <row r="16" spans="1:11" ht="37.5" x14ac:dyDescent="0.25">
      <c r="A16" s="11"/>
      <c r="B16" s="12" t="s">
        <v>1054</v>
      </c>
      <c r="C16" s="21"/>
      <c r="D16" s="21"/>
      <c r="E16" s="21"/>
      <c r="F16" s="21"/>
      <c r="G16" s="21"/>
      <c r="H16" s="21"/>
      <c r="I16" s="21"/>
      <c r="J16" s="21"/>
      <c r="K16" s="298"/>
    </row>
    <row r="17" spans="1:11" x14ac:dyDescent="0.25">
      <c r="A17" s="11"/>
      <c r="B17" s="12" t="s">
        <v>1055</v>
      </c>
      <c r="C17" s="21"/>
      <c r="D17" s="21"/>
      <c r="E17" s="21"/>
      <c r="F17" s="21"/>
      <c r="G17" s="21"/>
      <c r="H17" s="21"/>
      <c r="I17" s="21"/>
      <c r="J17" s="21"/>
      <c r="K17" s="298"/>
    </row>
    <row r="18" spans="1:11" ht="75" x14ac:dyDescent="0.25">
      <c r="A18" s="11"/>
      <c r="B18" s="12" t="s">
        <v>1058</v>
      </c>
      <c r="C18" s="21"/>
      <c r="D18" s="21"/>
      <c r="E18" s="21"/>
      <c r="F18" s="21"/>
      <c r="G18" s="21"/>
      <c r="H18" s="21"/>
      <c r="I18" s="21"/>
      <c r="J18" s="21"/>
      <c r="K18" s="298"/>
    </row>
    <row r="19" spans="1:11" s="146" customFormat="1" ht="37.5" x14ac:dyDescent="0.25">
      <c r="A19" s="13">
        <v>3</v>
      </c>
      <c r="B19" s="14" t="s">
        <v>1059</v>
      </c>
      <c r="C19" s="22"/>
      <c r="D19" s="22"/>
      <c r="E19" s="22"/>
      <c r="F19" s="22"/>
      <c r="G19" s="22"/>
      <c r="H19" s="22"/>
      <c r="I19" s="22"/>
      <c r="J19" s="22"/>
      <c r="K19" s="299"/>
    </row>
    <row r="20" spans="1:11" s="146" customFormat="1" x14ac:dyDescent="0.25">
      <c r="A20" s="13" t="s">
        <v>7</v>
      </c>
      <c r="B20" s="14" t="s">
        <v>1060</v>
      </c>
      <c r="C20" s="22"/>
      <c r="D20" s="22"/>
      <c r="E20" s="22"/>
      <c r="F20" s="22"/>
      <c r="G20" s="22"/>
      <c r="H20" s="22"/>
      <c r="I20" s="22"/>
      <c r="J20" s="22"/>
      <c r="K20" s="299"/>
    </row>
    <row r="21" spans="1:11" s="146" customFormat="1" x14ac:dyDescent="0.25">
      <c r="A21" s="13" t="s">
        <v>51</v>
      </c>
      <c r="B21" s="14" t="s">
        <v>653</v>
      </c>
      <c r="C21" s="22"/>
      <c r="D21" s="22"/>
      <c r="E21" s="22"/>
      <c r="F21" s="22"/>
      <c r="G21" s="22"/>
      <c r="H21" s="22"/>
      <c r="I21" s="22"/>
      <c r="J21" s="22"/>
      <c r="K21" s="299"/>
    </row>
    <row r="22" spans="1:11" ht="37.5" x14ac:dyDescent="0.25">
      <c r="A22" s="11">
        <v>1</v>
      </c>
      <c r="B22" s="12" t="s">
        <v>1061</v>
      </c>
      <c r="C22" s="21"/>
      <c r="D22" s="21"/>
      <c r="E22" s="21"/>
      <c r="F22" s="21"/>
      <c r="G22" s="21"/>
      <c r="H22" s="21"/>
      <c r="I22" s="21"/>
      <c r="J22" s="298"/>
      <c r="K22" s="298"/>
    </row>
    <row r="23" spans="1:11" ht="37.5" x14ac:dyDescent="0.25">
      <c r="A23" s="11"/>
      <c r="B23" s="12" t="s">
        <v>1062</v>
      </c>
      <c r="C23" s="21"/>
      <c r="D23" s="21"/>
      <c r="E23" s="21"/>
      <c r="F23" s="21"/>
      <c r="G23" s="21"/>
      <c r="H23" s="21"/>
      <c r="I23" s="21"/>
      <c r="J23" s="298"/>
      <c r="K23" s="298"/>
    </row>
    <row r="24" spans="1:11" ht="37.5" x14ac:dyDescent="0.25">
      <c r="A24" s="11"/>
      <c r="B24" s="12" t="s">
        <v>1063</v>
      </c>
      <c r="C24" s="21"/>
      <c r="D24" s="21"/>
      <c r="E24" s="21"/>
      <c r="F24" s="21"/>
      <c r="G24" s="21"/>
      <c r="H24" s="21"/>
      <c r="I24" s="21"/>
      <c r="J24" s="298"/>
      <c r="K24" s="298"/>
    </row>
    <row r="25" spans="1:11" ht="37.5" x14ac:dyDescent="0.25">
      <c r="A25" s="11"/>
      <c r="B25" s="12" t="s">
        <v>1064</v>
      </c>
      <c r="C25" s="21"/>
      <c r="D25" s="21"/>
      <c r="E25" s="21"/>
      <c r="F25" s="21"/>
      <c r="G25" s="21"/>
      <c r="H25" s="21"/>
      <c r="I25" s="21"/>
      <c r="J25" s="298"/>
      <c r="K25" s="298"/>
    </row>
    <row r="26" spans="1:11" x14ac:dyDescent="0.25">
      <c r="A26" s="11"/>
      <c r="B26" s="12" t="s">
        <v>1065</v>
      </c>
      <c r="C26" s="21"/>
      <c r="D26" s="21"/>
      <c r="E26" s="21"/>
      <c r="F26" s="21"/>
      <c r="G26" s="21"/>
      <c r="H26" s="21"/>
      <c r="I26" s="21"/>
      <c r="J26" s="298"/>
      <c r="K26" s="298"/>
    </row>
    <row r="27" spans="1:11" s="26" customFormat="1" hidden="1" x14ac:dyDescent="0.25">
      <c r="A27" s="24"/>
      <c r="B27" s="27" t="s">
        <v>66</v>
      </c>
      <c r="C27" s="25"/>
      <c r="D27" s="25"/>
      <c r="E27" s="25"/>
      <c r="F27" s="25"/>
      <c r="G27" s="25"/>
      <c r="H27" s="25"/>
      <c r="I27" s="25"/>
      <c r="J27" s="300"/>
      <c r="K27" s="301"/>
    </row>
    <row r="28" spans="1:11" s="26" customFormat="1" hidden="1" x14ac:dyDescent="0.25">
      <c r="A28" s="24"/>
      <c r="B28" s="27" t="s">
        <v>67</v>
      </c>
      <c r="C28" s="25"/>
      <c r="D28" s="25"/>
      <c r="E28" s="25"/>
      <c r="F28" s="25"/>
      <c r="G28" s="25"/>
      <c r="H28" s="25"/>
      <c r="I28" s="25"/>
      <c r="J28" s="300"/>
      <c r="K28" s="301"/>
    </row>
    <row r="29" spans="1:11" x14ac:dyDescent="0.25">
      <c r="A29" s="11">
        <v>2</v>
      </c>
      <c r="B29" s="12" t="s">
        <v>43</v>
      </c>
      <c r="C29" s="21"/>
      <c r="D29" s="21"/>
      <c r="E29" s="21"/>
      <c r="F29" s="21"/>
      <c r="G29" s="21"/>
      <c r="H29" s="21"/>
      <c r="I29" s="21"/>
      <c r="J29" s="298"/>
      <c r="K29" s="302"/>
    </row>
    <row r="30" spans="1:11" s="146" customFormat="1" x14ac:dyDescent="0.25">
      <c r="A30" s="13"/>
      <c r="B30" s="31" t="s">
        <v>93</v>
      </c>
      <c r="C30" s="22"/>
      <c r="D30" s="22"/>
      <c r="E30" s="22"/>
      <c r="F30" s="22"/>
      <c r="G30" s="22"/>
      <c r="H30" s="22"/>
      <c r="I30" s="22"/>
      <c r="J30" s="299"/>
      <c r="K30" s="303"/>
    </row>
    <row r="31" spans="1:11" ht="37.5" x14ac:dyDescent="0.25">
      <c r="A31" s="11"/>
      <c r="B31" s="12" t="s">
        <v>1066</v>
      </c>
      <c r="C31" s="21"/>
      <c r="D31" s="21"/>
      <c r="E31" s="21"/>
      <c r="F31" s="21"/>
      <c r="G31" s="21"/>
      <c r="H31" s="21"/>
      <c r="I31" s="21"/>
      <c r="J31" s="298"/>
      <c r="K31" s="302"/>
    </row>
    <row r="32" spans="1:11" ht="37.5" x14ac:dyDescent="0.25">
      <c r="A32" s="11"/>
      <c r="B32" s="12" t="s">
        <v>1067</v>
      </c>
      <c r="C32" s="21"/>
      <c r="D32" s="21"/>
      <c r="E32" s="21"/>
      <c r="F32" s="21"/>
      <c r="G32" s="21"/>
      <c r="H32" s="21"/>
      <c r="I32" s="21"/>
      <c r="J32" s="298"/>
      <c r="K32" s="302"/>
    </row>
    <row r="33" spans="1:11" ht="37.5" hidden="1" x14ac:dyDescent="0.25">
      <c r="A33" s="11">
        <v>3</v>
      </c>
      <c r="B33" s="12" t="s">
        <v>79</v>
      </c>
      <c r="C33" s="21"/>
      <c r="D33" s="21"/>
      <c r="E33" s="21"/>
      <c r="F33" s="21"/>
      <c r="G33" s="21"/>
      <c r="H33" s="21"/>
      <c r="I33" s="21"/>
      <c r="J33" s="298"/>
      <c r="K33" s="304"/>
    </row>
    <row r="34" spans="1:11" s="146" customFormat="1" x14ac:dyDescent="0.25">
      <c r="A34" s="13" t="s">
        <v>52</v>
      </c>
      <c r="B34" s="14" t="s">
        <v>11</v>
      </c>
      <c r="C34" s="22"/>
      <c r="D34" s="22"/>
      <c r="E34" s="22"/>
      <c r="F34" s="22"/>
      <c r="G34" s="22"/>
      <c r="H34" s="22"/>
      <c r="I34" s="22"/>
      <c r="J34" s="299"/>
      <c r="K34" s="305"/>
    </row>
    <row r="35" spans="1:11" s="146" customFormat="1" ht="56.25" x14ac:dyDescent="0.25">
      <c r="A35" s="13"/>
      <c r="B35" s="12" t="s">
        <v>1068</v>
      </c>
      <c r="C35" s="22"/>
      <c r="D35" s="22"/>
      <c r="E35" s="22"/>
      <c r="F35" s="22"/>
      <c r="G35" s="22"/>
      <c r="H35" s="22"/>
      <c r="I35" s="22"/>
      <c r="J35" s="299"/>
      <c r="K35" s="299"/>
    </row>
    <row r="36" spans="1:11" x14ac:dyDescent="0.25">
      <c r="A36" s="15"/>
      <c r="B36" s="16"/>
      <c r="C36" s="23"/>
      <c r="D36" s="23"/>
      <c r="E36" s="23"/>
      <c r="F36" s="23"/>
      <c r="G36" s="23"/>
      <c r="H36" s="23"/>
      <c r="I36" s="23"/>
      <c r="J36" s="306"/>
      <c r="K36" s="306"/>
    </row>
    <row r="37" spans="1:11" x14ac:dyDescent="0.25">
      <c r="A37" s="30"/>
      <c r="B37" s="307"/>
      <c r="C37" s="308"/>
      <c r="D37" s="308"/>
      <c r="E37" s="308"/>
      <c r="F37" s="308"/>
      <c r="G37" s="308"/>
      <c r="H37" s="308"/>
      <c r="I37" s="308"/>
      <c r="J37" s="168"/>
      <c r="K37" s="168"/>
    </row>
    <row r="38" spans="1:11" x14ac:dyDescent="0.25">
      <c r="A38" s="309" t="s">
        <v>1069</v>
      </c>
      <c r="B38" s="309"/>
      <c r="C38" s="309"/>
      <c r="D38" s="309"/>
      <c r="E38" s="309"/>
      <c r="F38" s="309"/>
      <c r="G38" s="309"/>
      <c r="H38" s="309"/>
      <c r="I38" s="309"/>
      <c r="J38" s="309"/>
      <c r="K38" s="309"/>
    </row>
    <row r="39" spans="1:11" x14ac:dyDescent="0.25">
      <c r="A39" s="548" t="s">
        <v>1070</v>
      </c>
      <c r="B39" s="548"/>
      <c r="C39" s="168"/>
      <c r="D39" s="310"/>
      <c r="E39" s="310"/>
      <c r="F39" s="310"/>
      <c r="G39" s="310"/>
      <c r="H39" s="310"/>
      <c r="I39" s="310"/>
      <c r="J39" s="548" t="s">
        <v>1071</v>
      </c>
      <c r="K39" s="548"/>
    </row>
  </sheetData>
  <mergeCells count="13">
    <mergeCell ref="K4:K5"/>
    <mergeCell ref="A39:B39"/>
    <mergeCell ref="J39:K39"/>
    <mergeCell ref="A1:K1"/>
    <mergeCell ref="A2:K2"/>
    <mergeCell ref="A4:A5"/>
    <mergeCell ref="B4:B5"/>
    <mergeCell ref="C4:D4"/>
    <mergeCell ref="E4:E5"/>
    <mergeCell ref="F4:G4"/>
    <mergeCell ref="H4:H5"/>
    <mergeCell ref="I4:I5"/>
    <mergeCell ref="J4:J5"/>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70"/>
  <sheetViews>
    <sheetView topLeftCell="A49" zoomScaleNormal="100" workbookViewId="0">
      <selection activeCell="F68" sqref="F68"/>
    </sheetView>
  </sheetViews>
  <sheetFormatPr defaultColWidth="9.140625" defaultRowHeight="18.75" x14ac:dyDescent="0.25"/>
  <cols>
    <col min="1" max="1" width="4.85546875" style="7" customWidth="1"/>
    <col min="2" max="2" width="43.28515625" style="7" customWidth="1"/>
    <col min="3" max="4" width="7.85546875" style="7" customWidth="1"/>
    <col min="5" max="8" width="11.7109375" style="7" customWidth="1"/>
    <col min="9" max="16384" width="9.140625" style="7"/>
  </cols>
  <sheetData>
    <row r="1" spans="1:8" ht="41.25" customHeight="1" x14ac:dyDescent="0.25">
      <c r="A1" s="549" t="s">
        <v>1074</v>
      </c>
      <c r="B1" s="555"/>
      <c r="C1" s="555"/>
      <c r="D1" s="555"/>
      <c r="E1" s="555"/>
      <c r="F1" s="555"/>
      <c r="G1" s="555"/>
      <c r="H1" s="555"/>
    </row>
    <row r="2" spans="1:8" x14ac:dyDescent="0.25">
      <c r="A2" s="136"/>
      <c r="B2" s="136"/>
      <c r="C2" s="136"/>
      <c r="D2" s="1"/>
      <c r="E2" s="1"/>
      <c r="F2" s="1"/>
      <c r="G2" s="1"/>
      <c r="H2" s="1"/>
    </row>
    <row r="3" spans="1:8" ht="40.5" customHeight="1" x14ac:dyDescent="0.25">
      <c r="B3" s="556" t="s">
        <v>1204</v>
      </c>
      <c r="C3" s="556"/>
      <c r="D3" s="556"/>
      <c r="E3" s="556"/>
      <c r="F3" s="556"/>
      <c r="G3" s="556"/>
      <c r="H3" s="556"/>
    </row>
    <row r="4" spans="1:8" x14ac:dyDescent="0.25">
      <c r="B4" s="7" t="s">
        <v>39</v>
      </c>
      <c r="D4" s="8"/>
      <c r="E4" s="8"/>
      <c r="F4" s="8"/>
      <c r="G4" s="8"/>
      <c r="H4" s="8"/>
    </row>
    <row r="5" spans="1:8" s="136" customFormat="1" x14ac:dyDescent="0.25">
      <c r="B5" s="3" t="s">
        <v>18</v>
      </c>
      <c r="F5" s="146"/>
    </row>
    <row r="6" spans="1:8" x14ac:dyDescent="0.25">
      <c r="B6" s="2" t="s">
        <v>23</v>
      </c>
      <c r="C6" s="558" t="s">
        <v>49</v>
      </c>
      <c r="D6" s="558"/>
      <c r="E6" s="558"/>
      <c r="F6" s="558"/>
      <c r="G6" s="558"/>
      <c r="H6" s="558"/>
    </row>
    <row r="7" spans="1:8" x14ac:dyDescent="0.25">
      <c r="A7" s="2"/>
      <c r="B7" s="2" t="s">
        <v>19</v>
      </c>
      <c r="C7" s="558" t="s">
        <v>50</v>
      </c>
      <c r="D7" s="558"/>
      <c r="E7" s="558"/>
      <c r="F7" s="558"/>
      <c r="G7" s="558"/>
      <c r="H7" s="558"/>
    </row>
    <row r="8" spans="1:8" hidden="1" x14ac:dyDescent="0.25">
      <c r="A8" s="2"/>
      <c r="B8" s="2" t="s">
        <v>90</v>
      </c>
      <c r="C8" s="558" t="s">
        <v>60</v>
      </c>
      <c r="D8" s="558"/>
      <c r="E8" s="558"/>
      <c r="F8" s="558"/>
      <c r="G8" s="558"/>
      <c r="H8" s="558"/>
    </row>
    <row r="9" spans="1:8" x14ac:dyDescent="0.25">
      <c r="A9" s="2"/>
      <c r="B9" s="2" t="s">
        <v>59</v>
      </c>
      <c r="C9" s="558" t="s">
        <v>60</v>
      </c>
      <c r="D9" s="558"/>
      <c r="E9" s="558"/>
      <c r="F9" s="558"/>
      <c r="G9" s="558"/>
      <c r="H9" s="558"/>
    </row>
    <row r="10" spans="1:8" hidden="1" x14ac:dyDescent="0.25">
      <c r="A10" s="2"/>
      <c r="B10" s="2" t="s">
        <v>20</v>
      </c>
      <c r="C10" s="558" t="s">
        <v>86</v>
      </c>
      <c r="D10" s="558"/>
      <c r="E10" s="558"/>
      <c r="F10" s="558"/>
      <c r="G10" s="558"/>
      <c r="H10" s="558"/>
    </row>
    <row r="11" spans="1:8" x14ac:dyDescent="0.25">
      <c r="A11" s="2"/>
      <c r="B11" s="2" t="s">
        <v>1205</v>
      </c>
      <c r="C11" s="137" t="s">
        <v>87</v>
      </c>
      <c r="D11" s="137"/>
      <c r="E11" s="137"/>
      <c r="F11" s="348"/>
      <c r="G11" s="137"/>
      <c r="H11" s="137"/>
    </row>
    <row r="12" spans="1:8" x14ac:dyDescent="0.25">
      <c r="A12" s="2"/>
      <c r="B12" s="2" t="s">
        <v>213</v>
      </c>
      <c r="C12" s="137" t="s">
        <v>88</v>
      </c>
      <c r="D12" s="137"/>
      <c r="E12" s="137"/>
      <c r="F12" s="348"/>
      <c r="G12" s="137"/>
      <c r="H12" s="137"/>
    </row>
    <row r="13" spans="1:8" hidden="1" x14ac:dyDescent="0.25">
      <c r="A13" s="2"/>
      <c r="B13" s="2" t="s">
        <v>94</v>
      </c>
      <c r="C13" s="137" t="s">
        <v>95</v>
      </c>
      <c r="D13" s="137"/>
      <c r="E13" s="137"/>
      <c r="F13" s="348"/>
      <c r="G13" s="137"/>
      <c r="H13" s="137"/>
    </row>
    <row r="14" spans="1:8" x14ac:dyDescent="0.25">
      <c r="A14" s="2"/>
      <c r="B14" s="2"/>
      <c r="C14" s="137"/>
      <c r="D14" s="137"/>
      <c r="E14" s="137"/>
      <c r="F14" s="348"/>
      <c r="G14" s="137"/>
      <c r="H14" s="137"/>
    </row>
    <row r="15" spans="1:8" hidden="1" x14ac:dyDescent="0.25">
      <c r="A15" s="2"/>
      <c r="B15" s="2" t="s">
        <v>21</v>
      </c>
      <c r="C15" s="558"/>
      <c r="D15" s="558"/>
      <c r="E15" s="558"/>
      <c r="F15" s="558"/>
      <c r="G15" s="558"/>
      <c r="H15" s="558"/>
    </row>
    <row r="16" spans="1:8" s="136" customFormat="1" x14ac:dyDescent="0.25">
      <c r="A16" s="3"/>
      <c r="B16" s="3" t="s">
        <v>448</v>
      </c>
      <c r="C16" s="3"/>
      <c r="D16" s="3"/>
      <c r="E16" s="3"/>
      <c r="F16" s="3"/>
      <c r="G16" s="3"/>
      <c r="H16" s="3"/>
    </row>
    <row r="17" spans="1:8" x14ac:dyDescent="0.25">
      <c r="A17" s="2"/>
      <c r="B17" s="2" t="s">
        <v>582</v>
      </c>
      <c r="C17" s="558" t="s">
        <v>131</v>
      </c>
      <c r="D17" s="558"/>
      <c r="E17" s="558"/>
      <c r="F17" s="558"/>
      <c r="G17" s="558"/>
      <c r="H17" s="558"/>
    </row>
    <row r="18" spans="1:8" x14ac:dyDescent="0.25">
      <c r="A18" s="2"/>
      <c r="B18" s="2" t="s">
        <v>583</v>
      </c>
      <c r="C18" s="137" t="s">
        <v>80</v>
      </c>
      <c r="D18" s="137"/>
      <c r="E18" s="137"/>
      <c r="F18" s="348"/>
      <c r="G18" s="137"/>
      <c r="H18" s="137"/>
    </row>
    <row r="19" spans="1:8" x14ac:dyDescent="0.25">
      <c r="A19" s="2"/>
      <c r="B19" s="2" t="s">
        <v>449</v>
      </c>
      <c r="C19" s="558" t="s">
        <v>108</v>
      </c>
      <c r="D19" s="558"/>
      <c r="E19" s="558"/>
      <c r="F19" s="558"/>
      <c r="G19" s="558"/>
      <c r="H19" s="558"/>
    </row>
    <row r="20" spans="1:8" hidden="1" x14ac:dyDescent="0.25">
      <c r="A20" s="2"/>
      <c r="B20" s="2" t="s">
        <v>20</v>
      </c>
      <c r="C20" s="558"/>
      <c r="D20" s="558"/>
      <c r="E20" s="558"/>
      <c r="F20" s="558"/>
      <c r="G20" s="558"/>
      <c r="H20" s="558"/>
    </row>
    <row r="21" spans="1:8" hidden="1" x14ac:dyDescent="0.25">
      <c r="A21" s="2"/>
      <c r="B21" s="2" t="s">
        <v>21</v>
      </c>
      <c r="C21" s="558"/>
      <c r="D21" s="558"/>
      <c r="E21" s="558"/>
      <c r="F21" s="558"/>
      <c r="G21" s="558"/>
      <c r="H21" s="558"/>
    </row>
    <row r="22" spans="1:8" hidden="1" x14ac:dyDescent="0.25">
      <c r="A22" s="2"/>
      <c r="B22" s="2" t="s">
        <v>21</v>
      </c>
      <c r="C22" s="558"/>
      <c r="D22" s="558"/>
      <c r="E22" s="558"/>
      <c r="F22" s="558"/>
      <c r="G22" s="558"/>
      <c r="H22" s="558"/>
    </row>
    <row r="23" spans="1:8" hidden="1" x14ac:dyDescent="0.25">
      <c r="A23" s="2"/>
      <c r="B23" s="2" t="s">
        <v>21</v>
      </c>
      <c r="C23" s="558"/>
      <c r="D23" s="558"/>
      <c r="E23" s="558"/>
      <c r="F23" s="558"/>
      <c r="G23" s="558"/>
      <c r="H23" s="558"/>
    </row>
    <row r="24" spans="1:8" ht="39.75" customHeight="1" x14ac:dyDescent="0.25">
      <c r="A24" s="2"/>
      <c r="B24" s="556" t="s">
        <v>1073</v>
      </c>
      <c r="C24" s="556"/>
      <c r="D24" s="556"/>
      <c r="E24" s="556"/>
      <c r="F24" s="556"/>
      <c r="G24" s="556"/>
      <c r="H24" s="556"/>
    </row>
    <row r="25" spans="1:8" x14ac:dyDescent="0.25">
      <c r="A25" s="4"/>
      <c r="H25" s="4" t="s">
        <v>61</v>
      </c>
    </row>
    <row r="26" spans="1:8" s="350" customFormat="1" ht="75" x14ac:dyDescent="0.25">
      <c r="A26" s="351" t="s">
        <v>62</v>
      </c>
      <c r="B26" s="351" t="s">
        <v>2</v>
      </c>
      <c r="C26" s="351" t="s">
        <v>17</v>
      </c>
      <c r="D26" s="352" t="s">
        <v>464</v>
      </c>
      <c r="E26" s="351" t="s">
        <v>1099</v>
      </c>
      <c r="F26" s="351" t="s">
        <v>9</v>
      </c>
      <c r="G26" s="351" t="s">
        <v>461</v>
      </c>
      <c r="H26" s="352" t="s">
        <v>1046</v>
      </c>
    </row>
    <row r="27" spans="1:8" s="136" customFormat="1" x14ac:dyDescent="0.25">
      <c r="A27" s="351"/>
      <c r="B27" s="351" t="s">
        <v>97</v>
      </c>
      <c r="C27" s="32"/>
      <c r="D27" s="32"/>
      <c r="E27" s="32">
        <f>E28+E34</f>
        <v>7326</v>
      </c>
      <c r="F27" s="32">
        <f t="shared" ref="F27:H27" si="0">F28+F34</f>
        <v>7689</v>
      </c>
      <c r="G27" s="32">
        <f t="shared" si="0"/>
        <v>7725</v>
      </c>
      <c r="H27" s="32">
        <f t="shared" si="0"/>
        <v>7799</v>
      </c>
    </row>
    <row r="28" spans="1:8" s="136" customFormat="1" ht="21" customHeight="1" x14ac:dyDescent="0.25">
      <c r="A28" s="9" t="s">
        <v>6</v>
      </c>
      <c r="B28" s="10" t="s">
        <v>70</v>
      </c>
      <c r="C28" s="20"/>
      <c r="D28" s="20"/>
      <c r="E28" s="20">
        <f>E29+E32-E33</f>
        <v>3639</v>
      </c>
      <c r="F28" s="20">
        <f t="shared" ref="F28:H28" si="1">F29+F32-F33</f>
        <v>3489</v>
      </c>
      <c r="G28" s="20">
        <f t="shared" si="1"/>
        <v>3525</v>
      </c>
      <c r="H28" s="20">
        <f t="shared" si="1"/>
        <v>3599</v>
      </c>
    </row>
    <row r="29" spans="1:8" ht="38.25" customHeight="1" x14ac:dyDescent="0.25">
      <c r="A29" s="11">
        <v>1</v>
      </c>
      <c r="B29" s="12" t="s">
        <v>1202</v>
      </c>
      <c r="C29" s="21">
        <v>22</v>
      </c>
      <c r="D29" s="36">
        <v>20</v>
      </c>
      <c r="E29" s="21">
        <f>3219+42</f>
        <v>3261</v>
      </c>
      <c r="F29" s="21">
        <f>SUM(F30:F31)</f>
        <v>3073</v>
      </c>
      <c r="G29" s="21">
        <f t="shared" ref="G29:H29" si="2">SUM(G30:G31)</f>
        <v>3147</v>
      </c>
      <c r="H29" s="21">
        <f t="shared" si="2"/>
        <v>3221</v>
      </c>
    </row>
    <row r="30" spans="1:8" x14ac:dyDescent="0.25">
      <c r="A30" s="11"/>
      <c r="B30" s="12" t="s">
        <v>1203</v>
      </c>
      <c r="C30" s="21"/>
      <c r="D30" s="36"/>
      <c r="E30" s="21"/>
      <c r="F30" s="21">
        <v>2970</v>
      </c>
      <c r="G30" s="21">
        <f>ROUND(F30+7*10.5,0)</f>
        <v>3044</v>
      </c>
      <c r="H30" s="21">
        <f>ROUND(G30+7*10.5,0)</f>
        <v>3118</v>
      </c>
    </row>
    <row r="31" spans="1:8" x14ac:dyDescent="0.25">
      <c r="A31" s="11"/>
      <c r="B31" s="12" t="s">
        <v>1115</v>
      </c>
      <c r="C31" s="21"/>
      <c r="D31" s="36"/>
      <c r="E31" s="21"/>
      <c r="F31" s="21">
        <v>103</v>
      </c>
      <c r="G31" s="21">
        <f>F31</f>
        <v>103</v>
      </c>
      <c r="H31" s="21">
        <f>G31</f>
        <v>103</v>
      </c>
    </row>
    <row r="32" spans="1:8" ht="37.5" x14ac:dyDescent="0.25">
      <c r="A32" s="11">
        <v>2</v>
      </c>
      <c r="B32" s="12" t="s">
        <v>1088</v>
      </c>
      <c r="C32" s="21">
        <v>22</v>
      </c>
      <c r="D32" s="21"/>
      <c r="E32" s="21">
        <v>420</v>
      </c>
      <c r="F32" s="21">
        <f>21*C32</f>
        <v>462</v>
      </c>
      <c r="G32" s="21">
        <f>E32</f>
        <v>420</v>
      </c>
      <c r="H32" s="21">
        <f>G32</f>
        <v>420</v>
      </c>
    </row>
    <row r="33" spans="1:8" ht="37.5" x14ac:dyDescent="0.25">
      <c r="A33" s="11">
        <v>3</v>
      </c>
      <c r="B33" s="12" t="s">
        <v>103</v>
      </c>
      <c r="C33" s="21"/>
      <c r="D33" s="21"/>
      <c r="E33" s="21">
        <v>42</v>
      </c>
      <c r="F33" s="21">
        <v>46</v>
      </c>
      <c r="G33" s="21">
        <f>E33</f>
        <v>42</v>
      </c>
      <c r="H33" s="21">
        <f>G33</f>
        <v>42</v>
      </c>
    </row>
    <row r="34" spans="1:8" s="136" customFormat="1" x14ac:dyDescent="0.25">
      <c r="A34" s="13" t="s">
        <v>52</v>
      </c>
      <c r="B34" s="14" t="s">
        <v>98</v>
      </c>
      <c r="C34" s="22"/>
      <c r="D34" s="22"/>
      <c r="E34" s="22">
        <f>E35+E62</f>
        <v>3687</v>
      </c>
      <c r="F34" s="22">
        <f>F35+F62</f>
        <v>4200</v>
      </c>
      <c r="G34" s="22">
        <f>F34</f>
        <v>4200</v>
      </c>
      <c r="H34" s="22">
        <f>G34</f>
        <v>4200</v>
      </c>
    </row>
    <row r="35" spans="1:8" s="146" customFormat="1" x14ac:dyDescent="0.25">
      <c r="A35" s="13">
        <v>1</v>
      </c>
      <c r="B35" s="14" t="s">
        <v>81</v>
      </c>
      <c r="C35" s="22"/>
      <c r="D35" s="22"/>
      <c r="E35" s="64">
        <f>SUM(E36:E61)</f>
        <v>3297</v>
      </c>
      <c r="F35" s="64">
        <f>SUM(F36:F61)</f>
        <v>3615</v>
      </c>
      <c r="G35" s="22"/>
      <c r="H35" s="22"/>
    </row>
    <row r="36" spans="1:8" s="49" customFormat="1" x14ac:dyDescent="0.25">
      <c r="A36" s="58" t="s">
        <v>99</v>
      </c>
      <c r="B36" s="59" t="s">
        <v>1188</v>
      </c>
      <c r="C36" s="60"/>
      <c r="D36" s="60"/>
      <c r="E36" s="60">
        <v>12</v>
      </c>
      <c r="F36" s="60">
        <v>20</v>
      </c>
      <c r="G36" s="60"/>
      <c r="H36" s="60"/>
    </row>
    <row r="37" spans="1:8" s="49" customFormat="1" x14ac:dyDescent="0.25">
      <c r="A37" s="58" t="s">
        <v>99</v>
      </c>
      <c r="B37" s="12" t="s">
        <v>586</v>
      </c>
      <c r="C37" s="60"/>
      <c r="D37" s="60"/>
      <c r="E37" s="60">
        <v>712</v>
      </c>
      <c r="F37" s="60">
        <f>E37</f>
        <v>712</v>
      </c>
      <c r="G37" s="60"/>
      <c r="H37" s="60"/>
    </row>
    <row r="38" spans="1:8" s="49" customFormat="1" ht="56.25" x14ac:dyDescent="0.25">
      <c r="A38" s="58" t="s">
        <v>99</v>
      </c>
      <c r="B38" s="59" t="s">
        <v>1214</v>
      </c>
      <c r="C38" s="60"/>
      <c r="D38" s="60"/>
      <c r="E38" s="60">
        <v>345</v>
      </c>
      <c r="F38" s="60">
        <v>383</v>
      </c>
      <c r="G38" s="60"/>
      <c r="H38" s="60"/>
    </row>
    <row r="39" spans="1:8" s="49" customFormat="1" x14ac:dyDescent="0.25">
      <c r="A39" s="58" t="s">
        <v>99</v>
      </c>
      <c r="B39" s="59" t="s">
        <v>456</v>
      </c>
      <c r="C39" s="60"/>
      <c r="D39" s="60"/>
      <c r="E39" s="60">
        <v>100</v>
      </c>
      <c r="F39" s="60">
        <v>129</v>
      </c>
      <c r="G39" s="60"/>
      <c r="H39" s="60"/>
    </row>
    <row r="40" spans="1:8" s="49" customFormat="1" ht="37.5" x14ac:dyDescent="0.25">
      <c r="A40" s="58" t="s">
        <v>99</v>
      </c>
      <c r="B40" s="59" t="s">
        <v>592</v>
      </c>
      <c r="C40" s="60"/>
      <c r="D40" s="60"/>
      <c r="E40" s="60">
        <v>100</v>
      </c>
      <c r="F40" s="60">
        <v>125</v>
      </c>
      <c r="G40" s="60"/>
      <c r="H40" s="60"/>
    </row>
    <row r="41" spans="1:8" s="49" customFormat="1" x14ac:dyDescent="0.25">
      <c r="A41" s="58" t="s">
        <v>99</v>
      </c>
      <c r="B41" s="59" t="s">
        <v>587</v>
      </c>
      <c r="C41" s="60"/>
      <c r="D41" s="60"/>
      <c r="E41" s="60">
        <v>100</v>
      </c>
      <c r="F41" s="60">
        <v>107</v>
      </c>
      <c r="G41" s="60"/>
      <c r="H41" s="60"/>
    </row>
    <row r="42" spans="1:8" s="49" customFormat="1" x14ac:dyDescent="0.25">
      <c r="A42" s="58" t="s">
        <v>99</v>
      </c>
      <c r="B42" s="59" t="s">
        <v>457</v>
      </c>
      <c r="C42" s="60"/>
      <c r="D42" s="60"/>
      <c r="E42" s="60">
        <v>30</v>
      </c>
      <c r="F42" s="60">
        <v>36</v>
      </c>
      <c r="G42" s="60"/>
      <c r="H42" s="60"/>
    </row>
    <row r="43" spans="1:8" s="49" customFormat="1" ht="37.5" x14ac:dyDescent="0.25">
      <c r="A43" s="58" t="s">
        <v>99</v>
      </c>
      <c r="B43" s="59" t="s">
        <v>452</v>
      </c>
      <c r="C43" s="60"/>
      <c r="D43" s="60"/>
      <c r="E43" s="60">
        <v>200</v>
      </c>
      <c r="F43" s="60">
        <v>242</v>
      </c>
      <c r="G43" s="60"/>
      <c r="H43" s="60"/>
    </row>
    <row r="44" spans="1:8" s="49" customFormat="1" ht="37.5" x14ac:dyDescent="0.25">
      <c r="A44" s="58" t="s">
        <v>99</v>
      </c>
      <c r="B44" s="59" t="s">
        <v>591</v>
      </c>
      <c r="C44" s="60"/>
      <c r="D44" s="60"/>
      <c r="E44" s="60">
        <v>110</v>
      </c>
      <c r="F44" s="60">
        <v>113</v>
      </c>
      <c r="G44" s="60"/>
      <c r="H44" s="60"/>
    </row>
    <row r="45" spans="1:8" s="49" customFormat="1" ht="56.25" x14ac:dyDescent="0.25">
      <c r="A45" s="58" t="s">
        <v>99</v>
      </c>
      <c r="B45" s="59" t="s">
        <v>589</v>
      </c>
      <c r="C45" s="60"/>
      <c r="D45" s="60"/>
      <c r="E45" s="60">
        <v>57</v>
      </c>
      <c r="F45" s="60">
        <v>80</v>
      </c>
      <c r="G45" s="60"/>
      <c r="H45" s="60"/>
    </row>
    <row r="46" spans="1:8" s="49" customFormat="1" x14ac:dyDescent="0.25">
      <c r="A46" s="58" t="s">
        <v>99</v>
      </c>
      <c r="B46" s="59" t="s">
        <v>1213</v>
      </c>
      <c r="C46" s="60"/>
      <c r="D46" s="60"/>
      <c r="E46" s="60">
        <v>200</v>
      </c>
      <c r="F46" s="60">
        <v>264</v>
      </c>
      <c r="G46" s="60"/>
      <c r="H46" s="60"/>
    </row>
    <row r="47" spans="1:8" s="49" customFormat="1" ht="37.5" x14ac:dyDescent="0.25">
      <c r="A47" s="58" t="s">
        <v>99</v>
      </c>
      <c r="B47" s="59" t="s">
        <v>590</v>
      </c>
      <c r="C47" s="60"/>
      <c r="D47" s="60"/>
      <c r="E47" s="60">
        <v>250</v>
      </c>
      <c r="F47" s="60">
        <v>320</v>
      </c>
      <c r="G47" s="60"/>
      <c r="H47" s="60"/>
    </row>
    <row r="48" spans="1:8" s="49" customFormat="1" x14ac:dyDescent="0.25">
      <c r="A48" s="58" t="s">
        <v>99</v>
      </c>
      <c r="B48" s="59" t="s">
        <v>584</v>
      </c>
      <c r="C48" s="60"/>
      <c r="D48" s="60"/>
      <c r="E48" s="60">
        <v>140</v>
      </c>
      <c r="F48" s="60">
        <v>192</v>
      </c>
      <c r="G48" s="60"/>
      <c r="H48" s="60"/>
    </row>
    <row r="49" spans="1:8" s="49" customFormat="1" ht="37.5" x14ac:dyDescent="0.25">
      <c r="A49" s="58" t="s">
        <v>99</v>
      </c>
      <c r="B49" s="59" t="s">
        <v>588</v>
      </c>
      <c r="C49" s="60"/>
      <c r="D49" s="60"/>
      <c r="E49" s="60">
        <v>770</v>
      </c>
      <c r="F49" s="60"/>
      <c r="G49" s="60"/>
      <c r="H49" s="60"/>
    </row>
    <row r="50" spans="1:8" s="49" customFormat="1" x14ac:dyDescent="0.25">
      <c r="A50" s="58" t="s">
        <v>99</v>
      </c>
      <c r="B50" s="59" t="s">
        <v>1216</v>
      </c>
      <c r="C50" s="60"/>
      <c r="D50" s="60"/>
      <c r="E50" s="60">
        <v>45</v>
      </c>
      <c r="F50" s="60">
        <v>50</v>
      </c>
      <c r="G50" s="60"/>
      <c r="H50" s="60"/>
    </row>
    <row r="51" spans="1:8" s="49" customFormat="1" ht="37.5" x14ac:dyDescent="0.25">
      <c r="A51" s="58" t="s">
        <v>99</v>
      </c>
      <c r="B51" s="59" t="s">
        <v>1206</v>
      </c>
      <c r="C51" s="60"/>
      <c r="D51" s="60"/>
      <c r="E51" s="60"/>
      <c r="F51" s="60">
        <v>124</v>
      </c>
      <c r="G51" s="60"/>
      <c r="H51" s="60"/>
    </row>
    <row r="52" spans="1:8" s="49" customFormat="1" x14ac:dyDescent="0.25">
      <c r="A52" s="58" t="s">
        <v>99</v>
      </c>
      <c r="B52" s="59" t="s">
        <v>1207</v>
      </c>
      <c r="C52" s="60"/>
      <c r="D52" s="60"/>
      <c r="E52" s="60"/>
      <c r="F52" s="60">
        <v>150</v>
      </c>
      <c r="G52" s="60"/>
      <c r="H52" s="60"/>
    </row>
    <row r="53" spans="1:8" s="49" customFormat="1" ht="37.5" x14ac:dyDescent="0.25">
      <c r="A53" s="58" t="s">
        <v>99</v>
      </c>
      <c r="B53" s="59" t="s">
        <v>1208</v>
      </c>
      <c r="C53" s="60"/>
      <c r="D53" s="60"/>
      <c r="E53" s="60"/>
      <c r="F53" s="60">
        <v>68</v>
      </c>
      <c r="G53" s="60"/>
      <c r="H53" s="60"/>
    </row>
    <row r="54" spans="1:8" s="49" customFormat="1" ht="37.5" x14ac:dyDescent="0.25">
      <c r="A54" s="58" t="s">
        <v>99</v>
      </c>
      <c r="B54" s="59" t="s">
        <v>1209</v>
      </c>
      <c r="C54" s="60"/>
      <c r="D54" s="60"/>
      <c r="E54" s="60"/>
      <c r="F54" s="60">
        <v>196</v>
      </c>
      <c r="G54" s="60"/>
      <c r="H54" s="60"/>
    </row>
    <row r="55" spans="1:8" s="49" customFormat="1" ht="37.5" x14ac:dyDescent="0.25">
      <c r="A55" s="58" t="s">
        <v>99</v>
      </c>
      <c r="B55" s="59" t="s">
        <v>1212</v>
      </c>
      <c r="C55" s="60"/>
      <c r="D55" s="60"/>
      <c r="E55" s="60"/>
      <c r="F55" s="60">
        <v>155</v>
      </c>
      <c r="G55" s="60"/>
      <c r="H55" s="60"/>
    </row>
    <row r="56" spans="1:8" s="49" customFormat="1" hidden="1" x14ac:dyDescent="0.25">
      <c r="A56" s="58" t="s">
        <v>99</v>
      </c>
      <c r="B56" s="59"/>
      <c r="C56" s="60"/>
      <c r="D56" s="60"/>
      <c r="E56" s="60"/>
      <c r="F56" s="60"/>
      <c r="G56" s="60"/>
      <c r="H56" s="60"/>
    </row>
    <row r="57" spans="1:8" s="49" customFormat="1" hidden="1" x14ac:dyDescent="0.25">
      <c r="A57" s="58" t="s">
        <v>99</v>
      </c>
      <c r="B57" s="59"/>
      <c r="C57" s="60"/>
      <c r="D57" s="60"/>
      <c r="E57" s="60"/>
      <c r="F57" s="60"/>
      <c r="G57" s="60"/>
      <c r="H57" s="60"/>
    </row>
    <row r="58" spans="1:8" s="49" customFormat="1" hidden="1" x14ac:dyDescent="0.25">
      <c r="A58" s="58" t="s">
        <v>99</v>
      </c>
      <c r="B58" s="59"/>
      <c r="C58" s="60"/>
      <c r="D58" s="60"/>
      <c r="E58" s="60"/>
      <c r="F58" s="60"/>
      <c r="G58" s="60"/>
      <c r="H58" s="60"/>
    </row>
    <row r="59" spans="1:8" s="49" customFormat="1" hidden="1" x14ac:dyDescent="0.25">
      <c r="A59" s="58" t="s">
        <v>99</v>
      </c>
      <c r="B59" s="59"/>
      <c r="C59" s="60"/>
      <c r="D59" s="60"/>
      <c r="E59" s="60"/>
      <c r="F59" s="60"/>
      <c r="G59" s="60"/>
      <c r="H59" s="60"/>
    </row>
    <row r="60" spans="1:8" s="49" customFormat="1" hidden="1" x14ac:dyDescent="0.25">
      <c r="A60" s="58" t="s">
        <v>99</v>
      </c>
      <c r="B60" s="59"/>
      <c r="C60" s="60"/>
      <c r="D60" s="60"/>
      <c r="E60" s="60"/>
      <c r="F60" s="60"/>
      <c r="G60" s="60"/>
      <c r="H60" s="60"/>
    </row>
    <row r="61" spans="1:8" s="49" customFormat="1" ht="93.75" x14ac:dyDescent="0.25">
      <c r="A61" s="58" t="s">
        <v>99</v>
      </c>
      <c r="B61" s="59" t="s">
        <v>455</v>
      </c>
      <c r="C61" s="60"/>
      <c r="D61" s="60"/>
      <c r="E61" s="60">
        <v>126</v>
      </c>
      <c r="F61" s="60">
        <v>149</v>
      </c>
      <c r="G61" s="60"/>
      <c r="H61" s="60"/>
    </row>
    <row r="62" spans="1:8" s="50" customFormat="1" x14ac:dyDescent="0.25">
      <c r="A62" s="62">
        <v>2</v>
      </c>
      <c r="B62" s="63" t="s">
        <v>1215</v>
      </c>
      <c r="C62" s="64"/>
      <c r="D62" s="64"/>
      <c r="E62" s="64">
        <f>SUM(E63:E65)</f>
        <v>390</v>
      </c>
      <c r="F62" s="64">
        <f>SUM(F63:F65)</f>
        <v>585</v>
      </c>
      <c r="G62" s="64"/>
      <c r="H62" s="64"/>
    </row>
    <row r="63" spans="1:8" s="49" customFormat="1" ht="37.5" x14ac:dyDescent="0.25">
      <c r="A63" s="58" t="s">
        <v>99</v>
      </c>
      <c r="B63" s="59" t="s">
        <v>585</v>
      </c>
      <c r="C63" s="60"/>
      <c r="D63" s="60"/>
      <c r="E63" s="60">
        <v>130</v>
      </c>
      <c r="F63" s="60">
        <v>201</v>
      </c>
      <c r="G63" s="60"/>
      <c r="H63" s="60"/>
    </row>
    <row r="64" spans="1:8" s="49" customFormat="1" ht="37.5" x14ac:dyDescent="0.25">
      <c r="A64" s="58" t="s">
        <v>99</v>
      </c>
      <c r="B64" s="59" t="s">
        <v>454</v>
      </c>
      <c r="C64" s="60"/>
      <c r="D64" s="60"/>
      <c r="E64" s="60">
        <v>160</v>
      </c>
      <c r="F64" s="60">
        <v>192</v>
      </c>
      <c r="G64" s="60"/>
      <c r="H64" s="60"/>
    </row>
    <row r="65" spans="1:8" s="49" customFormat="1" ht="37.5" x14ac:dyDescent="0.25">
      <c r="A65" s="67" t="s">
        <v>99</v>
      </c>
      <c r="B65" s="68" t="s">
        <v>453</v>
      </c>
      <c r="C65" s="69"/>
      <c r="D65" s="69"/>
      <c r="E65" s="69">
        <v>100</v>
      </c>
      <c r="F65" s="69">
        <v>192</v>
      </c>
      <c r="G65" s="69"/>
      <c r="H65" s="69"/>
    </row>
    <row r="66" spans="1:8" s="49" customFormat="1" hidden="1" x14ac:dyDescent="0.25">
      <c r="A66" s="355"/>
      <c r="B66" s="356"/>
      <c r="C66" s="357"/>
      <c r="D66" s="357"/>
      <c r="E66" s="357"/>
      <c r="F66" s="357"/>
      <c r="G66" s="357"/>
      <c r="H66" s="357"/>
    </row>
    <row r="67" spans="1:8" ht="40.5" customHeight="1" x14ac:dyDescent="0.25">
      <c r="A67" s="30"/>
      <c r="B67" s="567" t="s">
        <v>1210</v>
      </c>
      <c r="C67" s="567"/>
      <c r="D67" s="567"/>
      <c r="E67" s="567"/>
      <c r="F67" s="567"/>
      <c r="G67" s="567"/>
      <c r="H67" s="567"/>
    </row>
    <row r="68" spans="1:8" x14ac:dyDescent="0.25">
      <c r="A68" s="2"/>
      <c r="B68" s="7" t="s">
        <v>1211</v>
      </c>
    </row>
    <row r="69" spans="1:8" x14ac:dyDescent="0.25">
      <c r="A69" s="2"/>
    </row>
    <row r="70" spans="1:8" x14ac:dyDescent="0.25">
      <c r="A70" s="550" t="s">
        <v>36</v>
      </c>
      <c r="B70" s="550"/>
      <c r="D70" s="550" t="s">
        <v>37</v>
      </c>
      <c r="E70" s="550"/>
      <c r="F70" s="550"/>
      <c r="G70" s="550"/>
      <c r="H70" s="550"/>
    </row>
  </sheetData>
  <mergeCells count="18">
    <mergeCell ref="B67:H67"/>
    <mergeCell ref="A70:B70"/>
    <mergeCell ref="D70:H70"/>
    <mergeCell ref="C22:H22"/>
    <mergeCell ref="C23:H23"/>
    <mergeCell ref="B24:H24"/>
    <mergeCell ref="C21:H21"/>
    <mergeCell ref="A1:H1"/>
    <mergeCell ref="B3:H3"/>
    <mergeCell ref="C6:H6"/>
    <mergeCell ref="C7:H7"/>
    <mergeCell ref="C8:H8"/>
    <mergeCell ref="C9:H9"/>
    <mergeCell ref="C10:H10"/>
    <mergeCell ref="C15:H15"/>
    <mergeCell ref="C17:H17"/>
    <mergeCell ref="C19:H19"/>
    <mergeCell ref="C20:H20"/>
  </mergeCells>
  <printOptions horizontalCentered="1"/>
  <pageMargins left="0.19685039370078741" right="0.19685039370078741" top="0.59055118110236227" bottom="0.59055118110236227" header="0.31496062992125984" footer="0.31496062992125984"/>
  <pageSetup paperSize="9" scale="89" orientation="portrait" r:id="rId1"/>
  <headerFooter>
    <oddFooter>&amp;C&amp;P/&amp;N</oddFooter>
  </headerFooter>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64"/>
  <sheetViews>
    <sheetView topLeftCell="A49" zoomScaleNormal="100" workbookViewId="0">
      <selection activeCell="F51" sqref="F51"/>
    </sheetView>
  </sheetViews>
  <sheetFormatPr defaultColWidth="9.140625" defaultRowHeight="18.75" x14ac:dyDescent="0.25"/>
  <cols>
    <col min="1" max="1" width="4.85546875" style="7" customWidth="1"/>
    <col min="2" max="2" width="43.28515625" style="7" customWidth="1"/>
    <col min="3" max="4" width="7.85546875" style="7" customWidth="1"/>
    <col min="5" max="8" width="11.7109375" style="7" customWidth="1"/>
    <col min="9" max="9" width="9.140625" style="7"/>
    <col min="10" max="10" width="14.28515625" style="7" bestFit="1" customWidth="1"/>
    <col min="11" max="16384" width="9.140625" style="7"/>
  </cols>
  <sheetData>
    <row r="1" spans="1:8" ht="41.25" customHeight="1" x14ac:dyDescent="0.25">
      <c r="A1" s="549" t="s">
        <v>1074</v>
      </c>
      <c r="B1" s="555"/>
      <c r="C1" s="555"/>
      <c r="D1" s="555"/>
      <c r="E1" s="555"/>
      <c r="F1" s="555"/>
      <c r="G1" s="555"/>
      <c r="H1" s="555"/>
    </row>
    <row r="2" spans="1:8" x14ac:dyDescent="0.25">
      <c r="A2" s="6"/>
      <c r="B2" s="6"/>
      <c r="C2" s="6"/>
      <c r="D2" s="1"/>
      <c r="E2" s="1"/>
      <c r="F2" s="1"/>
      <c r="G2" s="1"/>
      <c r="H2" s="1"/>
    </row>
    <row r="3" spans="1:8" ht="40.5" customHeight="1" x14ac:dyDescent="0.25">
      <c r="B3" s="565" t="s">
        <v>1218</v>
      </c>
      <c r="C3" s="565"/>
      <c r="D3" s="565"/>
      <c r="E3" s="565"/>
      <c r="F3" s="565"/>
      <c r="G3" s="565"/>
      <c r="H3" s="565"/>
    </row>
    <row r="4" spans="1:8" x14ac:dyDescent="0.25">
      <c r="B4" s="7" t="s">
        <v>39</v>
      </c>
      <c r="D4" s="8"/>
      <c r="E4" s="8"/>
      <c r="F4" s="8"/>
      <c r="G4" s="8"/>
      <c r="H4" s="8"/>
    </row>
    <row r="5" spans="1:8" s="6" customFormat="1" x14ac:dyDescent="0.25">
      <c r="B5" s="3" t="s">
        <v>18</v>
      </c>
      <c r="F5" s="146"/>
    </row>
    <row r="6" spans="1:8" x14ac:dyDescent="0.25">
      <c r="B6" s="2" t="s">
        <v>23</v>
      </c>
      <c r="C6" s="558" t="s">
        <v>49</v>
      </c>
      <c r="D6" s="558"/>
      <c r="E6" s="558"/>
      <c r="F6" s="558"/>
      <c r="G6" s="558"/>
      <c r="H6" s="558"/>
    </row>
    <row r="7" spans="1:8" x14ac:dyDescent="0.25">
      <c r="A7" s="2"/>
      <c r="B7" s="2" t="s">
        <v>19</v>
      </c>
      <c r="C7" s="558" t="s">
        <v>50</v>
      </c>
      <c r="D7" s="558"/>
      <c r="E7" s="558"/>
      <c r="F7" s="558"/>
      <c r="G7" s="558"/>
      <c r="H7" s="558"/>
    </row>
    <row r="8" spans="1:8" hidden="1" x14ac:dyDescent="0.25">
      <c r="A8" s="2"/>
      <c r="B8" s="2" t="s">
        <v>90</v>
      </c>
      <c r="C8" s="558" t="s">
        <v>60</v>
      </c>
      <c r="D8" s="558"/>
      <c r="E8" s="558"/>
      <c r="F8" s="558"/>
      <c r="G8" s="558"/>
      <c r="H8" s="558"/>
    </row>
    <row r="9" spans="1:8" x14ac:dyDescent="0.25">
      <c r="A9" s="2"/>
      <c r="B9" s="2" t="s">
        <v>59</v>
      </c>
      <c r="C9" s="558" t="s">
        <v>60</v>
      </c>
      <c r="D9" s="558"/>
      <c r="E9" s="558"/>
      <c r="F9" s="558"/>
      <c r="G9" s="558"/>
      <c r="H9" s="558"/>
    </row>
    <row r="10" spans="1:8" hidden="1" x14ac:dyDescent="0.25">
      <c r="A10" s="2"/>
      <c r="B10" s="2" t="s">
        <v>20</v>
      </c>
      <c r="C10" s="558" t="s">
        <v>86</v>
      </c>
      <c r="D10" s="558"/>
      <c r="E10" s="558"/>
      <c r="F10" s="558"/>
      <c r="G10" s="558"/>
      <c r="H10" s="558"/>
    </row>
    <row r="11" spans="1:8" hidden="1" x14ac:dyDescent="0.25">
      <c r="A11" s="2"/>
      <c r="B11" s="2" t="s">
        <v>21</v>
      </c>
      <c r="C11" s="35" t="s">
        <v>87</v>
      </c>
      <c r="D11" s="35"/>
      <c r="E11" s="35"/>
      <c r="F11" s="345"/>
      <c r="G11" s="35"/>
      <c r="H11" s="35"/>
    </row>
    <row r="12" spans="1:8" x14ac:dyDescent="0.25">
      <c r="A12" s="2"/>
      <c r="B12" s="2" t="s">
        <v>316</v>
      </c>
      <c r="C12" s="35" t="s">
        <v>88</v>
      </c>
      <c r="D12" s="35"/>
      <c r="E12" s="35"/>
      <c r="F12" s="345"/>
      <c r="G12" s="35"/>
      <c r="H12" s="35"/>
    </row>
    <row r="13" spans="1:8" hidden="1" x14ac:dyDescent="0.25">
      <c r="A13" s="2"/>
      <c r="B13" s="2" t="s">
        <v>94</v>
      </c>
      <c r="C13" s="35" t="s">
        <v>95</v>
      </c>
      <c r="D13" s="35"/>
      <c r="E13" s="35"/>
      <c r="F13" s="345"/>
      <c r="G13" s="35"/>
      <c r="H13" s="35"/>
    </row>
    <row r="14" spans="1:8" x14ac:dyDescent="0.25">
      <c r="A14" s="2"/>
      <c r="B14" s="2"/>
      <c r="C14" s="35"/>
      <c r="D14" s="35"/>
      <c r="E14" s="35"/>
      <c r="F14" s="345"/>
      <c r="G14" s="35"/>
      <c r="H14" s="35"/>
    </row>
    <row r="15" spans="1:8" hidden="1" x14ac:dyDescent="0.25">
      <c r="A15" s="2"/>
      <c r="B15" s="2" t="s">
        <v>21</v>
      </c>
      <c r="C15" s="558"/>
      <c r="D15" s="558"/>
      <c r="E15" s="558"/>
      <c r="F15" s="558"/>
      <c r="G15" s="558"/>
      <c r="H15" s="558"/>
    </row>
    <row r="16" spans="1:8" s="6" customFormat="1" x14ac:dyDescent="0.25">
      <c r="A16" s="3"/>
      <c r="B16" s="3" t="s">
        <v>136</v>
      </c>
      <c r="C16" s="3"/>
      <c r="D16" s="3"/>
      <c r="E16" s="3"/>
      <c r="F16" s="3"/>
      <c r="G16" s="3"/>
      <c r="H16" s="3"/>
    </row>
    <row r="17" spans="1:8" x14ac:dyDescent="0.25">
      <c r="A17" s="2"/>
      <c r="B17" s="2" t="s">
        <v>1217</v>
      </c>
      <c r="C17" s="558" t="s">
        <v>131</v>
      </c>
      <c r="D17" s="558"/>
      <c r="E17" s="558"/>
      <c r="F17" s="558"/>
      <c r="G17" s="558"/>
      <c r="H17" s="558"/>
    </row>
    <row r="18" spans="1:8" hidden="1" x14ac:dyDescent="0.25">
      <c r="A18" s="2"/>
      <c r="B18" s="2" t="s">
        <v>20</v>
      </c>
      <c r="C18" s="35"/>
      <c r="D18" s="35"/>
      <c r="E18" s="35"/>
      <c r="F18" s="345"/>
      <c r="G18" s="35"/>
      <c r="H18" s="35"/>
    </row>
    <row r="19" spans="1:8" x14ac:dyDescent="0.25">
      <c r="A19" s="2"/>
      <c r="B19" s="2" t="s">
        <v>137</v>
      </c>
      <c r="C19" s="558" t="s">
        <v>334</v>
      </c>
      <c r="D19" s="558"/>
      <c r="E19" s="558"/>
      <c r="F19" s="558"/>
      <c r="G19" s="558"/>
      <c r="H19" s="558"/>
    </row>
    <row r="20" spans="1:8" hidden="1" x14ac:dyDescent="0.25">
      <c r="A20" s="2"/>
      <c r="B20" s="2" t="s">
        <v>20</v>
      </c>
      <c r="C20" s="558"/>
      <c r="D20" s="558"/>
      <c r="E20" s="558"/>
      <c r="F20" s="558"/>
      <c r="G20" s="558"/>
      <c r="H20" s="558"/>
    </row>
    <row r="21" spans="1:8" hidden="1" x14ac:dyDescent="0.25">
      <c r="A21" s="2"/>
      <c r="B21" s="2" t="s">
        <v>21</v>
      </c>
      <c r="C21" s="558"/>
      <c r="D21" s="558"/>
      <c r="E21" s="558"/>
      <c r="F21" s="558"/>
      <c r="G21" s="558"/>
      <c r="H21" s="558"/>
    </row>
    <row r="22" spans="1:8" hidden="1" x14ac:dyDescent="0.25">
      <c r="A22" s="2"/>
      <c r="B22" s="2" t="s">
        <v>21</v>
      </c>
      <c r="C22" s="558"/>
      <c r="D22" s="558"/>
      <c r="E22" s="558"/>
      <c r="F22" s="558"/>
      <c r="G22" s="558"/>
      <c r="H22" s="558"/>
    </row>
    <row r="23" spans="1:8" hidden="1" x14ac:dyDescent="0.25">
      <c r="A23" s="2"/>
      <c r="B23" s="2" t="s">
        <v>21</v>
      </c>
      <c r="C23" s="558"/>
      <c r="D23" s="558"/>
      <c r="E23" s="558"/>
      <c r="F23" s="558"/>
      <c r="G23" s="558"/>
      <c r="H23" s="558"/>
    </row>
    <row r="24" spans="1:8" ht="39.75" customHeight="1" x14ac:dyDescent="0.25">
      <c r="A24" s="2"/>
      <c r="B24" s="556" t="s">
        <v>1073</v>
      </c>
      <c r="C24" s="556"/>
      <c r="D24" s="556"/>
      <c r="E24" s="556"/>
      <c r="F24" s="556"/>
      <c r="G24" s="556"/>
      <c r="H24" s="556"/>
    </row>
    <row r="25" spans="1:8" x14ac:dyDescent="0.25">
      <c r="A25" s="4"/>
      <c r="H25" s="4" t="s">
        <v>61</v>
      </c>
    </row>
    <row r="26" spans="1:8" s="342" customFormat="1" ht="75" x14ac:dyDescent="0.25">
      <c r="A26" s="343" t="s">
        <v>62</v>
      </c>
      <c r="B26" s="343" t="s">
        <v>2</v>
      </c>
      <c r="C26" s="343" t="s">
        <v>17</v>
      </c>
      <c r="D26" s="346" t="s">
        <v>464</v>
      </c>
      <c r="E26" s="344" t="s">
        <v>1099</v>
      </c>
      <c r="F26" s="343" t="s">
        <v>9</v>
      </c>
      <c r="G26" s="343" t="s">
        <v>461</v>
      </c>
      <c r="H26" s="344" t="s">
        <v>1046</v>
      </c>
    </row>
    <row r="27" spans="1:8" s="6" customFormat="1" x14ac:dyDescent="0.25">
      <c r="A27" s="34"/>
      <c r="B27" s="34" t="s">
        <v>97</v>
      </c>
      <c r="C27" s="32"/>
      <c r="D27" s="32"/>
      <c r="E27" s="32">
        <f>E28+E35</f>
        <v>3580</v>
      </c>
      <c r="F27" s="32">
        <f>F28+F35</f>
        <v>5197</v>
      </c>
      <c r="G27" s="32">
        <f>G28+G35</f>
        <v>3317</v>
      </c>
      <c r="H27" s="32">
        <f>H28+H35</f>
        <v>3368</v>
      </c>
    </row>
    <row r="28" spans="1:8" s="6" customFormat="1" ht="21" customHeight="1" x14ac:dyDescent="0.25">
      <c r="A28" s="9" t="s">
        <v>51</v>
      </c>
      <c r="B28" s="10" t="s">
        <v>1081</v>
      </c>
      <c r="C28" s="20"/>
      <c r="D28" s="20"/>
      <c r="E28" s="20">
        <f>+E29+E33-E34</f>
        <v>1995</v>
      </c>
      <c r="F28" s="20">
        <f>+F29+F33-F34</f>
        <v>1991</v>
      </c>
      <c r="G28" s="20">
        <f>+G29+G33-G34</f>
        <v>2042</v>
      </c>
      <c r="H28" s="20">
        <f>+H29+H33-H34</f>
        <v>2093</v>
      </c>
    </row>
    <row r="29" spans="1:8" ht="56.25" x14ac:dyDescent="0.25">
      <c r="A29" s="11">
        <v>1</v>
      </c>
      <c r="B29" s="12" t="s">
        <v>1120</v>
      </c>
      <c r="C29" s="21"/>
      <c r="D29" s="21"/>
      <c r="E29" s="21">
        <f>1514+104</f>
        <v>1618</v>
      </c>
      <c r="F29" s="21">
        <f>SUM(F30:F32)</f>
        <v>1614</v>
      </c>
      <c r="G29" s="21">
        <f t="shared" ref="G29:H29" si="0">SUM(G30:G32)</f>
        <v>1665</v>
      </c>
      <c r="H29" s="21">
        <f t="shared" si="0"/>
        <v>1716</v>
      </c>
    </row>
    <row r="30" spans="1:8" x14ac:dyDescent="0.25">
      <c r="A30" s="11"/>
      <c r="B30" s="12" t="s">
        <v>1121</v>
      </c>
      <c r="C30" s="21">
        <v>19</v>
      </c>
      <c r="D30" s="36">
        <v>16</v>
      </c>
      <c r="E30" s="21"/>
      <c r="F30" s="21">
        <v>1359</v>
      </c>
      <c r="G30" s="21">
        <f>ROUND(F30+6*7.3,0)</f>
        <v>1403</v>
      </c>
      <c r="H30" s="21">
        <f>ROUND(G30+6*7.3,0)</f>
        <v>1447</v>
      </c>
    </row>
    <row r="31" spans="1:8" ht="37.5" x14ac:dyDescent="0.25">
      <c r="A31" s="11"/>
      <c r="B31" s="12" t="s">
        <v>1122</v>
      </c>
      <c r="C31" s="21"/>
      <c r="D31" s="36"/>
      <c r="E31" s="21"/>
      <c r="F31" s="21">
        <v>155</v>
      </c>
      <c r="G31" s="21">
        <f>+F31</f>
        <v>155</v>
      </c>
      <c r="H31" s="21">
        <f>+G31</f>
        <v>155</v>
      </c>
    </row>
    <row r="32" spans="1:8" ht="37.5" x14ac:dyDescent="0.25">
      <c r="A32" s="11"/>
      <c r="B32" s="12" t="s">
        <v>1083</v>
      </c>
      <c r="C32" s="21">
        <v>3</v>
      </c>
      <c r="D32" s="21">
        <v>3</v>
      </c>
      <c r="E32" s="21"/>
      <c r="F32" s="21">
        <v>100</v>
      </c>
      <c r="G32" s="21">
        <f>ROUND(F32+7.3,0)</f>
        <v>107</v>
      </c>
      <c r="H32" s="21">
        <f>ROUND(G32+7.3,0)</f>
        <v>114</v>
      </c>
    </row>
    <row r="33" spans="1:8" ht="37.5" x14ac:dyDescent="0.25">
      <c r="A33" s="11">
        <v>2</v>
      </c>
      <c r="B33" s="12" t="s">
        <v>143</v>
      </c>
      <c r="C33" s="21">
        <v>19</v>
      </c>
      <c r="D33" s="21"/>
      <c r="E33" s="21">
        <f>C33*22</f>
        <v>418</v>
      </c>
      <c r="F33" s="21">
        <f>+C33*22</f>
        <v>418</v>
      </c>
      <c r="G33" s="21">
        <f>E33</f>
        <v>418</v>
      </c>
      <c r="H33" s="21">
        <f>G33</f>
        <v>418</v>
      </c>
    </row>
    <row r="34" spans="1:8" ht="37.5" x14ac:dyDescent="0.25">
      <c r="A34" s="11">
        <v>3</v>
      </c>
      <c r="B34" s="12" t="s">
        <v>103</v>
      </c>
      <c r="C34" s="21"/>
      <c r="D34" s="21"/>
      <c r="E34" s="21">
        <v>41</v>
      </c>
      <c r="F34" s="21">
        <v>41</v>
      </c>
      <c r="G34" s="21">
        <f>E34</f>
        <v>41</v>
      </c>
      <c r="H34" s="21">
        <f>G34</f>
        <v>41</v>
      </c>
    </row>
    <row r="35" spans="1:8" s="6" customFormat="1" x14ac:dyDescent="0.25">
      <c r="A35" s="13" t="s">
        <v>52</v>
      </c>
      <c r="B35" s="14" t="s">
        <v>98</v>
      </c>
      <c r="C35" s="22"/>
      <c r="D35" s="22"/>
      <c r="E35" s="22">
        <f>E36+E52</f>
        <v>1585</v>
      </c>
      <c r="F35" s="22">
        <f>F36+F52</f>
        <v>3206</v>
      </c>
      <c r="G35" s="22">
        <f>G36+G52</f>
        <v>1275</v>
      </c>
      <c r="H35" s="22">
        <f>H36+H52</f>
        <v>1275</v>
      </c>
    </row>
    <row r="36" spans="1:8" s="6" customFormat="1" x14ac:dyDescent="0.25">
      <c r="A36" s="13">
        <v>1</v>
      </c>
      <c r="B36" s="14" t="s">
        <v>81</v>
      </c>
      <c r="C36" s="22"/>
      <c r="D36" s="22"/>
      <c r="E36" s="22">
        <f>SUM(E37:E51)</f>
        <v>1485</v>
      </c>
      <c r="F36" s="22">
        <f>SUM(F37:F51)</f>
        <v>3106</v>
      </c>
      <c r="G36" s="22">
        <f t="shared" ref="G36:H36" si="1">SUM(G37:G51)</f>
        <v>1175</v>
      </c>
      <c r="H36" s="22">
        <f t="shared" si="1"/>
        <v>1175</v>
      </c>
    </row>
    <row r="37" spans="1:8" x14ac:dyDescent="0.25">
      <c r="A37" s="11" t="s">
        <v>99</v>
      </c>
      <c r="B37" s="12" t="s">
        <v>1188</v>
      </c>
      <c r="C37" s="21"/>
      <c r="D37" s="21"/>
      <c r="E37" s="21">
        <v>15</v>
      </c>
      <c r="F37" s="21">
        <v>20</v>
      </c>
      <c r="G37" s="21">
        <f>E37</f>
        <v>15</v>
      </c>
      <c r="H37" s="21">
        <f>G37</f>
        <v>15</v>
      </c>
    </row>
    <row r="38" spans="1:8" hidden="1" x14ac:dyDescent="0.3">
      <c r="A38" s="11" t="s">
        <v>99</v>
      </c>
      <c r="B38" s="33" t="s">
        <v>132</v>
      </c>
      <c r="C38" s="21"/>
      <c r="D38" s="21"/>
      <c r="E38" s="21"/>
      <c r="F38" s="21"/>
      <c r="G38" s="21">
        <f>E38</f>
        <v>0</v>
      </c>
      <c r="H38" s="21">
        <f t="shared" ref="H38:H40" si="2">G38</f>
        <v>0</v>
      </c>
    </row>
    <row r="39" spans="1:8" x14ac:dyDescent="0.3">
      <c r="A39" s="11" t="s">
        <v>99</v>
      </c>
      <c r="B39" s="33" t="s">
        <v>138</v>
      </c>
      <c r="C39" s="21"/>
      <c r="D39" s="21"/>
      <c r="E39" s="21">
        <v>550</v>
      </c>
      <c r="F39" s="21">
        <f>E39</f>
        <v>550</v>
      </c>
      <c r="G39" s="21">
        <f>E39</f>
        <v>550</v>
      </c>
      <c r="H39" s="21">
        <f t="shared" si="2"/>
        <v>550</v>
      </c>
    </row>
    <row r="40" spans="1:8" x14ac:dyDescent="0.3">
      <c r="A40" s="11" t="s">
        <v>99</v>
      </c>
      <c r="B40" s="33" t="s">
        <v>139</v>
      </c>
      <c r="C40" s="21"/>
      <c r="D40" s="21"/>
      <c r="E40" s="21">
        <v>500</v>
      </c>
      <c r="F40" s="21">
        <f>E40</f>
        <v>500</v>
      </c>
      <c r="G40" s="21">
        <f>E40</f>
        <v>500</v>
      </c>
      <c r="H40" s="21">
        <f t="shared" si="2"/>
        <v>500</v>
      </c>
    </row>
    <row r="41" spans="1:8" ht="37.5" x14ac:dyDescent="0.25">
      <c r="A41" s="11" t="s">
        <v>99</v>
      </c>
      <c r="B41" s="12" t="s">
        <v>142</v>
      </c>
      <c r="C41" s="21"/>
      <c r="D41" s="21"/>
      <c r="E41" s="21">
        <v>30</v>
      </c>
      <c r="F41" s="21">
        <v>60</v>
      </c>
      <c r="G41" s="21">
        <f>F41</f>
        <v>60</v>
      </c>
      <c r="H41" s="21">
        <f>G41</f>
        <v>60</v>
      </c>
    </row>
    <row r="42" spans="1:8" x14ac:dyDescent="0.25">
      <c r="A42" s="11" t="s">
        <v>99</v>
      </c>
      <c r="B42" s="12" t="s">
        <v>536</v>
      </c>
      <c r="C42" s="21"/>
      <c r="D42" s="21"/>
      <c r="E42" s="21">
        <v>50</v>
      </c>
      <c r="F42" s="21">
        <v>50</v>
      </c>
      <c r="G42" s="21">
        <f>F42</f>
        <v>50</v>
      </c>
      <c r="H42" s="21">
        <f>G42</f>
        <v>50</v>
      </c>
    </row>
    <row r="43" spans="1:8" x14ac:dyDescent="0.25">
      <c r="A43" s="11" t="s">
        <v>99</v>
      </c>
      <c r="B43" s="12" t="s">
        <v>535</v>
      </c>
      <c r="C43" s="21"/>
      <c r="D43" s="21"/>
      <c r="E43" s="21">
        <v>40</v>
      </c>
      <c r="F43" s="21"/>
      <c r="G43" s="21"/>
      <c r="H43" s="21"/>
    </row>
    <row r="44" spans="1:8" ht="56.25" x14ac:dyDescent="0.25">
      <c r="A44" s="11" t="s">
        <v>99</v>
      </c>
      <c r="B44" s="12" t="s">
        <v>1219</v>
      </c>
      <c r="C44" s="21"/>
      <c r="D44" s="21"/>
      <c r="E44" s="21">
        <v>300</v>
      </c>
      <c r="F44" s="21"/>
      <c r="G44" s="21"/>
      <c r="H44" s="21"/>
    </row>
    <row r="45" spans="1:8" ht="75" hidden="1" x14ac:dyDescent="0.25">
      <c r="A45" s="11"/>
      <c r="B45" s="12" t="s">
        <v>1224</v>
      </c>
      <c r="C45" s="21"/>
      <c r="D45" s="21"/>
      <c r="E45" s="21"/>
      <c r="F45" s="21"/>
      <c r="G45" s="21"/>
      <c r="H45" s="21"/>
    </row>
    <row r="46" spans="1:8" x14ac:dyDescent="0.25">
      <c r="A46" s="11" t="s">
        <v>99</v>
      </c>
      <c r="B46" s="12" t="s">
        <v>1220</v>
      </c>
      <c r="C46" s="21"/>
      <c r="D46" s="21"/>
      <c r="E46" s="21"/>
      <c r="F46" s="21">
        <v>313</v>
      </c>
      <c r="G46" s="21"/>
      <c r="H46" s="21"/>
    </row>
    <row r="47" spans="1:8" ht="37.5" x14ac:dyDescent="0.25">
      <c r="A47" s="11" t="s">
        <v>99</v>
      </c>
      <c r="B47" s="12" t="s">
        <v>1221</v>
      </c>
      <c r="C47" s="21"/>
      <c r="D47" s="21"/>
      <c r="E47" s="21"/>
      <c r="F47" s="21">
        <v>927</v>
      </c>
      <c r="G47" s="21"/>
      <c r="H47" s="21"/>
    </row>
    <row r="48" spans="1:8" x14ac:dyDescent="0.25">
      <c r="A48" s="11" t="s">
        <v>99</v>
      </c>
      <c r="B48" s="12" t="s">
        <v>1222</v>
      </c>
      <c r="C48" s="21"/>
      <c r="D48" s="21"/>
      <c r="E48" s="21"/>
      <c r="F48" s="21">
        <v>150</v>
      </c>
      <c r="G48" s="21"/>
      <c r="H48" s="21"/>
    </row>
    <row r="49" spans="1:8" ht="37.5" x14ac:dyDescent="0.25">
      <c r="A49" s="11" t="s">
        <v>99</v>
      </c>
      <c r="B49" s="12" t="s">
        <v>1223</v>
      </c>
      <c r="C49" s="21"/>
      <c r="D49" s="21"/>
      <c r="E49" s="21"/>
      <c r="F49" s="21">
        <v>50</v>
      </c>
      <c r="G49" s="21"/>
      <c r="H49" s="21"/>
    </row>
    <row r="50" spans="1:8" ht="37.5" x14ac:dyDescent="0.25">
      <c r="A50" s="11" t="s">
        <v>99</v>
      </c>
      <c r="B50" s="12" t="s">
        <v>1225</v>
      </c>
      <c r="C50" s="21"/>
      <c r="D50" s="21"/>
      <c r="E50" s="21"/>
      <c r="F50" s="21">
        <v>386</v>
      </c>
      <c r="G50" s="21"/>
      <c r="H50" s="21"/>
    </row>
    <row r="51" spans="1:8" x14ac:dyDescent="0.25">
      <c r="A51" s="11" t="s">
        <v>99</v>
      </c>
      <c r="B51" s="12" t="s">
        <v>1226</v>
      </c>
      <c r="C51" s="21"/>
      <c r="D51" s="21"/>
      <c r="E51" s="21"/>
      <c r="F51" s="21">
        <v>100</v>
      </c>
      <c r="G51" s="21"/>
      <c r="H51" s="21"/>
    </row>
    <row r="52" spans="1:8" s="6" customFormat="1" x14ac:dyDescent="0.25">
      <c r="A52" s="13">
        <v>2</v>
      </c>
      <c r="B52" s="14" t="s">
        <v>140</v>
      </c>
      <c r="C52" s="22"/>
      <c r="D52" s="22"/>
      <c r="E52" s="22">
        <f>E53</f>
        <v>100</v>
      </c>
      <c r="F52" s="22">
        <f>F53</f>
        <v>100</v>
      </c>
      <c r="G52" s="22">
        <f>G53</f>
        <v>100</v>
      </c>
      <c r="H52" s="22">
        <f>H53</f>
        <v>100</v>
      </c>
    </row>
    <row r="53" spans="1:8" x14ac:dyDescent="0.3">
      <c r="A53" s="11" t="s">
        <v>99</v>
      </c>
      <c r="B53" s="33" t="s">
        <v>117</v>
      </c>
      <c r="C53" s="21"/>
      <c r="D53" s="21"/>
      <c r="E53" s="21">
        <v>100</v>
      </c>
      <c r="F53" s="21">
        <f>E53</f>
        <v>100</v>
      </c>
      <c r="G53" s="21">
        <f>E53</f>
        <v>100</v>
      </c>
      <c r="H53" s="21">
        <f>G53</f>
        <v>100</v>
      </c>
    </row>
    <row r="54" spans="1:8" s="6" customFormat="1" hidden="1" x14ac:dyDescent="0.3">
      <c r="A54" s="13">
        <v>3</v>
      </c>
      <c r="B54" s="42" t="s">
        <v>83</v>
      </c>
      <c r="C54" s="22"/>
      <c r="D54" s="22"/>
      <c r="E54" s="22">
        <f>E55</f>
        <v>0</v>
      </c>
      <c r="F54" s="22"/>
      <c r="G54" s="22">
        <f>G55</f>
        <v>0</v>
      </c>
      <c r="H54" s="22">
        <f>H55</f>
        <v>0</v>
      </c>
    </row>
    <row r="55" spans="1:8" ht="75" hidden="1" x14ac:dyDescent="0.25">
      <c r="A55" s="11" t="s">
        <v>99</v>
      </c>
      <c r="B55" s="12" t="s">
        <v>141</v>
      </c>
      <c r="C55" s="21"/>
      <c r="D55" s="21"/>
      <c r="E55" s="21"/>
      <c r="F55" s="21"/>
      <c r="G55" s="21"/>
      <c r="H55" s="21"/>
    </row>
    <row r="56" spans="1:8" hidden="1" x14ac:dyDescent="0.25">
      <c r="A56" s="11"/>
      <c r="B56" s="12"/>
      <c r="C56" s="21"/>
      <c r="D56" s="21"/>
      <c r="E56" s="21"/>
      <c r="F56" s="21"/>
      <c r="G56" s="21"/>
      <c r="H56" s="21"/>
    </row>
    <row r="57" spans="1:8" hidden="1" x14ac:dyDescent="0.25">
      <c r="A57" s="11"/>
      <c r="B57" s="12"/>
      <c r="C57" s="21"/>
      <c r="D57" s="21"/>
      <c r="E57" s="21"/>
      <c r="F57" s="21"/>
      <c r="G57" s="21"/>
      <c r="H57" s="21"/>
    </row>
    <row r="58" spans="1:8" hidden="1" x14ac:dyDescent="0.25">
      <c r="A58" s="11"/>
      <c r="B58" s="12"/>
      <c r="C58" s="21"/>
      <c r="D58" s="21"/>
      <c r="E58" s="21"/>
      <c r="F58" s="21"/>
      <c r="G58" s="21"/>
      <c r="H58" s="21"/>
    </row>
    <row r="59" spans="1:8" hidden="1" x14ac:dyDescent="0.25">
      <c r="A59" s="11"/>
      <c r="B59" s="12"/>
      <c r="C59" s="21"/>
      <c r="D59" s="21"/>
      <c r="E59" s="21"/>
      <c r="F59" s="21"/>
      <c r="G59" s="21"/>
      <c r="H59" s="21"/>
    </row>
    <row r="60" spans="1:8" x14ac:dyDescent="0.25">
      <c r="A60" s="15"/>
      <c r="B60" s="16"/>
      <c r="C60" s="23"/>
      <c r="D60" s="23"/>
      <c r="E60" s="23"/>
      <c r="F60" s="23"/>
      <c r="G60" s="23"/>
      <c r="H60" s="23"/>
    </row>
    <row r="61" spans="1:8" ht="40.5" customHeight="1" x14ac:dyDescent="0.25">
      <c r="A61" s="30"/>
      <c r="B61" s="567" t="s">
        <v>1227</v>
      </c>
      <c r="C61" s="567"/>
      <c r="D61" s="567"/>
      <c r="E61" s="567"/>
      <c r="F61" s="567"/>
      <c r="G61" s="567"/>
      <c r="H61" s="567"/>
    </row>
    <row r="62" spans="1:8" x14ac:dyDescent="0.25">
      <c r="A62" s="2"/>
      <c r="B62" s="7" t="s">
        <v>537</v>
      </c>
    </row>
    <row r="63" spans="1:8" x14ac:dyDescent="0.25">
      <c r="A63" s="2"/>
    </row>
    <row r="64" spans="1:8" x14ac:dyDescent="0.25">
      <c r="A64" s="550" t="s">
        <v>36</v>
      </c>
      <c r="B64" s="550"/>
      <c r="D64" s="550" t="s">
        <v>37</v>
      </c>
      <c r="E64" s="550"/>
      <c r="F64" s="550"/>
      <c r="G64" s="550"/>
      <c r="H64" s="550"/>
    </row>
  </sheetData>
  <mergeCells count="18">
    <mergeCell ref="C21:H21"/>
    <mergeCell ref="A1:H1"/>
    <mergeCell ref="B3:H3"/>
    <mergeCell ref="C6:H6"/>
    <mergeCell ref="C7:H7"/>
    <mergeCell ref="C8:H8"/>
    <mergeCell ref="C9:H9"/>
    <mergeCell ref="C10:H10"/>
    <mergeCell ref="C15:H15"/>
    <mergeCell ref="C17:H17"/>
    <mergeCell ref="C19:H19"/>
    <mergeCell ref="C20:H20"/>
    <mergeCell ref="B61:H61"/>
    <mergeCell ref="A64:B64"/>
    <mergeCell ref="D64:H64"/>
    <mergeCell ref="C22:H22"/>
    <mergeCell ref="C23:H23"/>
    <mergeCell ref="B24:H24"/>
  </mergeCells>
  <printOptions horizontalCentered="1"/>
  <pageMargins left="0.19685039370078741" right="0.19685039370078741" top="0.59055118110236227" bottom="0.59055118110236227" header="0.31496062992125984" footer="0.31496062992125984"/>
  <pageSetup paperSize="9" scale="89" orientation="portrait" r:id="rId1"/>
  <headerFooter>
    <oddFooter>&amp;C&amp;P/&amp;N</oddFooter>
  </headerFooter>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56"/>
  <sheetViews>
    <sheetView topLeftCell="A39" zoomScaleNormal="100" workbookViewId="0">
      <selection activeCell="F41" sqref="F41"/>
    </sheetView>
  </sheetViews>
  <sheetFormatPr defaultColWidth="9.140625" defaultRowHeight="18.75" x14ac:dyDescent="0.25"/>
  <cols>
    <col min="1" max="1" width="4.85546875" style="7" customWidth="1"/>
    <col min="2" max="2" width="43.28515625" style="7" customWidth="1"/>
    <col min="3" max="4" width="7.85546875" style="7" customWidth="1"/>
    <col min="5" max="8" width="11.7109375" style="7" customWidth="1"/>
    <col min="9" max="16384" width="9.140625" style="7"/>
  </cols>
  <sheetData>
    <row r="1" spans="1:8" ht="41.25" customHeight="1" x14ac:dyDescent="0.25">
      <c r="A1" s="549" t="s">
        <v>1074</v>
      </c>
      <c r="B1" s="555"/>
      <c r="C1" s="555"/>
      <c r="D1" s="555"/>
      <c r="E1" s="555"/>
      <c r="F1" s="555"/>
      <c r="G1" s="555"/>
      <c r="H1" s="555"/>
    </row>
    <row r="2" spans="1:8" x14ac:dyDescent="0.25">
      <c r="A2" s="6"/>
      <c r="B2" s="6"/>
      <c r="C2" s="6"/>
      <c r="D2" s="1"/>
      <c r="E2" s="1"/>
      <c r="F2" s="1"/>
      <c r="G2" s="1"/>
      <c r="H2" s="1"/>
    </row>
    <row r="3" spans="1:8" ht="40.5" customHeight="1" x14ac:dyDescent="0.25">
      <c r="B3" s="565" t="s">
        <v>1237</v>
      </c>
      <c r="C3" s="565"/>
      <c r="D3" s="565"/>
      <c r="E3" s="565"/>
      <c r="F3" s="565"/>
      <c r="G3" s="565"/>
      <c r="H3" s="565"/>
    </row>
    <row r="4" spans="1:8" x14ac:dyDescent="0.25">
      <c r="B4" s="7" t="s">
        <v>39</v>
      </c>
      <c r="D4" s="8"/>
      <c r="E4" s="8"/>
      <c r="F4" s="8"/>
      <c r="G4" s="8"/>
      <c r="H4" s="8"/>
    </row>
    <row r="5" spans="1:8" s="6" customFormat="1" x14ac:dyDescent="0.25">
      <c r="B5" s="3" t="s">
        <v>18</v>
      </c>
      <c r="F5" s="146"/>
    </row>
    <row r="6" spans="1:8" x14ac:dyDescent="0.25">
      <c r="B6" s="2" t="s">
        <v>23</v>
      </c>
      <c r="C6" s="558" t="s">
        <v>49</v>
      </c>
      <c r="D6" s="558"/>
      <c r="E6" s="558"/>
      <c r="F6" s="558"/>
      <c r="G6" s="558"/>
      <c r="H6" s="558"/>
    </row>
    <row r="7" spans="1:8" x14ac:dyDescent="0.25">
      <c r="A7" s="2"/>
      <c r="B7" s="2" t="s">
        <v>19</v>
      </c>
      <c r="C7" s="558" t="s">
        <v>50</v>
      </c>
      <c r="D7" s="558"/>
      <c r="E7" s="558"/>
      <c r="F7" s="558"/>
      <c r="G7" s="558"/>
      <c r="H7" s="558"/>
    </row>
    <row r="8" spans="1:8" hidden="1" x14ac:dyDescent="0.25">
      <c r="A8" s="2"/>
      <c r="B8" s="2" t="s">
        <v>90</v>
      </c>
      <c r="C8" s="558" t="s">
        <v>60</v>
      </c>
      <c r="D8" s="558"/>
      <c r="E8" s="558"/>
      <c r="F8" s="558"/>
      <c r="G8" s="558"/>
      <c r="H8" s="558"/>
    </row>
    <row r="9" spans="1:8" x14ac:dyDescent="0.25">
      <c r="A9" s="2"/>
      <c r="B9" s="2" t="s">
        <v>59</v>
      </c>
      <c r="C9" s="558" t="s">
        <v>60</v>
      </c>
      <c r="D9" s="558"/>
      <c r="E9" s="558"/>
      <c r="F9" s="558"/>
      <c r="G9" s="558"/>
      <c r="H9" s="558"/>
    </row>
    <row r="10" spans="1:8" hidden="1" x14ac:dyDescent="0.25">
      <c r="A10" s="2"/>
      <c r="B10" s="2" t="s">
        <v>20</v>
      </c>
      <c r="C10" s="558" t="s">
        <v>86</v>
      </c>
      <c r="D10" s="558"/>
      <c r="E10" s="558"/>
      <c r="F10" s="558"/>
      <c r="G10" s="558"/>
      <c r="H10" s="558"/>
    </row>
    <row r="11" spans="1:8" hidden="1" x14ac:dyDescent="0.25">
      <c r="A11" s="2"/>
      <c r="B11" s="2" t="s">
        <v>1205</v>
      </c>
      <c r="C11" s="29" t="s">
        <v>87</v>
      </c>
      <c r="D11" s="29"/>
      <c r="E11" s="29"/>
      <c r="F11" s="345"/>
      <c r="G11" s="29"/>
      <c r="H11" s="29"/>
    </row>
    <row r="12" spans="1:8" x14ac:dyDescent="0.25">
      <c r="A12" s="2"/>
      <c r="B12" s="2" t="s">
        <v>316</v>
      </c>
      <c r="C12" s="29" t="s">
        <v>88</v>
      </c>
      <c r="D12" s="29"/>
      <c r="E12" s="29"/>
      <c r="F12" s="345"/>
      <c r="G12" s="29"/>
      <c r="H12" s="29"/>
    </row>
    <row r="13" spans="1:8" hidden="1" x14ac:dyDescent="0.25">
      <c r="A13" s="2"/>
      <c r="B13" s="2" t="s">
        <v>94</v>
      </c>
      <c r="C13" s="29" t="s">
        <v>95</v>
      </c>
      <c r="D13" s="29"/>
      <c r="E13" s="29"/>
      <c r="F13" s="345"/>
      <c r="G13" s="29"/>
      <c r="H13" s="29"/>
    </row>
    <row r="14" spans="1:8" x14ac:dyDescent="0.25">
      <c r="A14" s="2"/>
      <c r="B14" s="2"/>
      <c r="C14" s="29"/>
      <c r="D14" s="29"/>
      <c r="E14" s="29"/>
      <c r="F14" s="345"/>
      <c r="G14" s="29"/>
      <c r="H14" s="29"/>
    </row>
    <row r="15" spans="1:8" hidden="1" x14ac:dyDescent="0.25">
      <c r="A15" s="2"/>
      <c r="B15" s="2" t="s">
        <v>21</v>
      </c>
      <c r="C15" s="558"/>
      <c r="D15" s="558"/>
      <c r="E15" s="558"/>
      <c r="F15" s="558"/>
      <c r="G15" s="558"/>
      <c r="H15" s="558"/>
    </row>
    <row r="16" spans="1:8" s="6" customFormat="1" x14ac:dyDescent="0.25">
      <c r="A16" s="3"/>
      <c r="B16" s="3" t="s">
        <v>102</v>
      </c>
      <c r="C16" s="3"/>
      <c r="D16" s="3"/>
      <c r="E16" s="3"/>
      <c r="F16" s="3"/>
      <c r="G16" s="3"/>
      <c r="H16" s="3"/>
    </row>
    <row r="17" spans="1:8" x14ac:dyDescent="0.25">
      <c r="A17" s="2"/>
      <c r="B17" s="2" t="s">
        <v>105</v>
      </c>
      <c r="C17" s="558" t="s">
        <v>106</v>
      </c>
      <c r="D17" s="558"/>
      <c r="E17" s="558"/>
      <c r="F17" s="558"/>
      <c r="G17" s="558"/>
      <c r="H17" s="558"/>
    </row>
    <row r="18" spans="1:8" x14ac:dyDescent="0.25">
      <c r="A18" s="2"/>
      <c r="B18" s="2" t="s">
        <v>107</v>
      </c>
      <c r="C18" s="558" t="s">
        <v>334</v>
      </c>
      <c r="D18" s="558"/>
      <c r="E18" s="558"/>
      <c r="F18" s="558"/>
      <c r="G18" s="558"/>
      <c r="H18" s="558"/>
    </row>
    <row r="19" spans="1:8" x14ac:dyDescent="0.25">
      <c r="A19" s="2"/>
      <c r="B19" s="2" t="s">
        <v>1229</v>
      </c>
      <c r="C19" s="558" t="s">
        <v>108</v>
      </c>
      <c r="D19" s="558"/>
      <c r="E19" s="558"/>
      <c r="F19" s="558"/>
      <c r="G19" s="558"/>
      <c r="H19" s="558"/>
    </row>
    <row r="20" spans="1:8" hidden="1" x14ac:dyDescent="0.25">
      <c r="A20" s="2"/>
      <c r="B20" s="2" t="s">
        <v>91</v>
      </c>
      <c r="C20" s="558"/>
      <c r="D20" s="558"/>
      <c r="E20" s="558"/>
      <c r="F20" s="558"/>
      <c r="G20" s="558"/>
      <c r="H20" s="558"/>
    </row>
    <row r="21" spans="1:8" hidden="1" x14ac:dyDescent="0.25">
      <c r="A21" s="2"/>
      <c r="B21" s="2" t="s">
        <v>21</v>
      </c>
      <c r="C21" s="558"/>
      <c r="D21" s="558"/>
      <c r="E21" s="558"/>
      <c r="F21" s="558"/>
      <c r="G21" s="558"/>
      <c r="H21" s="558"/>
    </row>
    <row r="22" spans="1:8" hidden="1" x14ac:dyDescent="0.25">
      <c r="A22" s="2"/>
      <c r="B22" s="2" t="s">
        <v>21</v>
      </c>
      <c r="C22" s="558"/>
      <c r="D22" s="558"/>
      <c r="E22" s="558"/>
      <c r="F22" s="558"/>
      <c r="G22" s="558"/>
      <c r="H22" s="558"/>
    </row>
    <row r="23" spans="1:8" hidden="1" x14ac:dyDescent="0.25">
      <c r="A23" s="2"/>
      <c r="B23" s="2" t="s">
        <v>21</v>
      </c>
      <c r="C23" s="558"/>
      <c r="D23" s="558"/>
      <c r="E23" s="558"/>
      <c r="F23" s="558"/>
      <c r="G23" s="558"/>
      <c r="H23" s="558"/>
    </row>
    <row r="24" spans="1:8" ht="39.75" customHeight="1" x14ac:dyDescent="0.25">
      <c r="A24" s="2"/>
      <c r="B24" s="556" t="s">
        <v>1073</v>
      </c>
      <c r="C24" s="556"/>
      <c r="D24" s="556"/>
      <c r="E24" s="556"/>
      <c r="F24" s="556"/>
      <c r="G24" s="556"/>
      <c r="H24" s="556"/>
    </row>
    <row r="25" spans="1:8" x14ac:dyDescent="0.25">
      <c r="A25" s="4"/>
      <c r="H25" s="4" t="s">
        <v>61</v>
      </c>
    </row>
    <row r="26" spans="1:8" s="342" customFormat="1" ht="75" x14ac:dyDescent="0.25">
      <c r="A26" s="358" t="s">
        <v>62</v>
      </c>
      <c r="B26" s="358" t="s">
        <v>2</v>
      </c>
      <c r="C26" s="358" t="s">
        <v>17</v>
      </c>
      <c r="D26" s="359" t="s">
        <v>464</v>
      </c>
      <c r="E26" s="358" t="s">
        <v>1099</v>
      </c>
      <c r="F26" s="358" t="s">
        <v>9</v>
      </c>
      <c r="G26" s="358" t="s">
        <v>461</v>
      </c>
      <c r="H26" s="358" t="s">
        <v>1046</v>
      </c>
    </row>
    <row r="27" spans="1:8" s="6" customFormat="1" x14ac:dyDescent="0.25">
      <c r="A27" s="358"/>
      <c r="B27" s="358" t="s">
        <v>97</v>
      </c>
      <c r="C27" s="32"/>
      <c r="D27" s="32"/>
      <c r="E27" s="32">
        <f>E28+E35</f>
        <v>2711</v>
      </c>
      <c r="F27" s="32">
        <f>F28+F35</f>
        <v>2649</v>
      </c>
      <c r="G27" s="32">
        <f>G28+G35</f>
        <v>2715</v>
      </c>
      <c r="H27" s="32">
        <f>H28+H35</f>
        <v>2551</v>
      </c>
    </row>
    <row r="28" spans="1:8" s="6" customFormat="1" ht="21" customHeight="1" x14ac:dyDescent="0.25">
      <c r="A28" s="9" t="s">
        <v>51</v>
      </c>
      <c r="B28" s="10" t="s">
        <v>1081</v>
      </c>
      <c r="C28" s="20"/>
      <c r="D28" s="20"/>
      <c r="E28" s="20">
        <f>+E29+E33-E34</f>
        <v>1399</v>
      </c>
      <c r="F28" s="20">
        <f>+F29+F33-F34</f>
        <v>1419</v>
      </c>
      <c r="G28" s="20">
        <f>+G29+G33-G34</f>
        <v>1455</v>
      </c>
      <c r="H28" s="20">
        <f>+H29+H33-H34</f>
        <v>1491</v>
      </c>
    </row>
    <row r="29" spans="1:8" ht="56.25" x14ac:dyDescent="0.25">
      <c r="A29" s="11">
        <v>1</v>
      </c>
      <c r="B29" s="12" t="s">
        <v>1128</v>
      </c>
      <c r="C29" s="21"/>
      <c r="D29" s="21"/>
      <c r="E29" s="21">
        <f>1113+28</f>
        <v>1141</v>
      </c>
      <c r="F29" s="21">
        <f>SUM(F30:F32)</f>
        <v>1161</v>
      </c>
      <c r="G29" s="21">
        <f t="shared" ref="G29:H29" si="0">SUM(G30:G32)</f>
        <v>1197</v>
      </c>
      <c r="H29" s="21">
        <f t="shared" si="0"/>
        <v>1233</v>
      </c>
    </row>
    <row r="30" spans="1:8" x14ac:dyDescent="0.25">
      <c r="A30" s="11"/>
      <c r="B30" s="12" t="s">
        <v>1123</v>
      </c>
      <c r="C30" s="21">
        <v>13</v>
      </c>
      <c r="D30" s="21">
        <v>8</v>
      </c>
      <c r="E30" s="21"/>
      <c r="F30" s="21">
        <v>750</v>
      </c>
      <c r="G30" s="21">
        <f>ROUND(F30+4*7.3,0)</f>
        <v>779</v>
      </c>
      <c r="H30" s="21">
        <f>ROUND(G30+4*7.3,0)</f>
        <v>808</v>
      </c>
    </row>
    <row r="31" spans="1:8" x14ac:dyDescent="0.25">
      <c r="A31" s="11"/>
      <c r="B31" s="12" t="s">
        <v>1119</v>
      </c>
      <c r="C31" s="21"/>
      <c r="D31" s="21"/>
      <c r="E31" s="21"/>
      <c r="F31" s="21">
        <v>258</v>
      </c>
      <c r="G31" s="21">
        <f>+F31</f>
        <v>258</v>
      </c>
      <c r="H31" s="21">
        <f>+G31</f>
        <v>258</v>
      </c>
    </row>
    <row r="32" spans="1:8" ht="37.5" x14ac:dyDescent="0.25">
      <c r="A32" s="11"/>
      <c r="B32" s="12" t="s">
        <v>1083</v>
      </c>
      <c r="C32" s="21">
        <v>3</v>
      </c>
      <c r="D32" s="21">
        <v>1</v>
      </c>
      <c r="E32" s="21"/>
      <c r="F32" s="21">
        <v>153</v>
      </c>
      <c r="G32" s="21">
        <f>ROUND(F32+7.3,0)</f>
        <v>160</v>
      </c>
      <c r="H32" s="21">
        <f>ROUND(G32+7.3,0)</f>
        <v>167</v>
      </c>
    </row>
    <row r="33" spans="1:8" ht="37.5" x14ac:dyDescent="0.25">
      <c r="A33" s="11">
        <v>2</v>
      </c>
      <c r="B33" s="12" t="s">
        <v>104</v>
      </c>
      <c r="C33" s="21">
        <v>13</v>
      </c>
      <c r="D33" s="21"/>
      <c r="E33" s="21">
        <f>C33*22</f>
        <v>286</v>
      </c>
      <c r="F33" s="21">
        <f>+C33*22</f>
        <v>286</v>
      </c>
      <c r="G33" s="21">
        <f>E33</f>
        <v>286</v>
      </c>
      <c r="H33" s="21">
        <f>G33</f>
        <v>286</v>
      </c>
    </row>
    <row r="34" spans="1:8" ht="37.5" x14ac:dyDescent="0.25">
      <c r="A34" s="11">
        <v>3</v>
      </c>
      <c r="B34" s="12" t="s">
        <v>103</v>
      </c>
      <c r="C34" s="21"/>
      <c r="D34" s="21"/>
      <c r="E34" s="21">
        <v>28</v>
      </c>
      <c r="F34" s="21">
        <v>28</v>
      </c>
      <c r="G34" s="21">
        <v>28</v>
      </c>
      <c r="H34" s="21">
        <v>28</v>
      </c>
    </row>
    <row r="35" spans="1:8" s="6" customFormat="1" x14ac:dyDescent="0.25">
      <c r="A35" s="13" t="s">
        <v>52</v>
      </c>
      <c r="B35" s="14" t="s">
        <v>98</v>
      </c>
      <c r="C35" s="22"/>
      <c r="D35" s="22"/>
      <c r="E35" s="22">
        <f>E36+E45+E47+E50</f>
        <v>1312</v>
      </c>
      <c r="F35" s="22">
        <f>F36+F45+F47+F50</f>
        <v>1230</v>
      </c>
      <c r="G35" s="22">
        <f t="shared" ref="G35:H35" si="1">G36+G45+G47+G50</f>
        <v>1260</v>
      </c>
      <c r="H35" s="22">
        <f t="shared" si="1"/>
        <v>1060</v>
      </c>
    </row>
    <row r="36" spans="1:8" s="146" customFormat="1" x14ac:dyDescent="0.25">
      <c r="A36" s="13">
        <v>1</v>
      </c>
      <c r="B36" s="14" t="s">
        <v>26</v>
      </c>
      <c r="C36" s="22"/>
      <c r="D36" s="22"/>
      <c r="E36" s="22">
        <f>SUM(E37:E44)</f>
        <v>402</v>
      </c>
      <c r="F36" s="22">
        <f>SUM(F37:F44)</f>
        <v>520</v>
      </c>
      <c r="G36" s="22">
        <f t="shared" ref="G36:H36" si="2">SUM(G37:G44)</f>
        <v>350</v>
      </c>
      <c r="H36" s="22">
        <f t="shared" si="2"/>
        <v>350</v>
      </c>
    </row>
    <row r="37" spans="1:8" x14ac:dyDescent="0.25">
      <c r="A37" s="11" t="s">
        <v>99</v>
      </c>
      <c r="B37" s="12" t="s">
        <v>1188</v>
      </c>
      <c r="C37" s="21"/>
      <c r="D37" s="21"/>
      <c r="E37" s="21">
        <v>18</v>
      </c>
      <c r="F37" s="21">
        <f>E37</f>
        <v>18</v>
      </c>
      <c r="G37" s="21">
        <v>18</v>
      </c>
      <c r="H37" s="21">
        <v>18</v>
      </c>
    </row>
    <row r="38" spans="1:8" x14ac:dyDescent="0.3">
      <c r="A38" s="11" t="s">
        <v>99</v>
      </c>
      <c r="B38" s="33" t="s">
        <v>110</v>
      </c>
      <c r="C38" s="21"/>
      <c r="D38" s="21"/>
      <c r="E38" s="21">
        <v>144</v>
      </c>
      <c r="F38" s="21">
        <f>E38</f>
        <v>144</v>
      </c>
      <c r="G38" s="21">
        <v>144</v>
      </c>
      <c r="H38" s="21">
        <v>144</v>
      </c>
    </row>
    <row r="39" spans="1:8" x14ac:dyDescent="0.3">
      <c r="A39" s="11" t="s">
        <v>99</v>
      </c>
      <c r="B39" s="33" t="s">
        <v>112</v>
      </c>
      <c r="C39" s="21"/>
      <c r="D39" s="21"/>
      <c r="E39" s="21">
        <v>100</v>
      </c>
      <c r="F39" s="21">
        <f>E39</f>
        <v>100</v>
      </c>
      <c r="G39" s="21">
        <f>E39</f>
        <v>100</v>
      </c>
      <c r="H39" s="21">
        <f>G39</f>
        <v>100</v>
      </c>
    </row>
    <row r="40" spans="1:8" ht="37.5" x14ac:dyDescent="0.25">
      <c r="A40" s="11" t="s">
        <v>99</v>
      </c>
      <c r="B40" s="12" t="s">
        <v>605</v>
      </c>
      <c r="C40" s="21"/>
      <c r="D40" s="21"/>
      <c r="E40" s="21">
        <v>80</v>
      </c>
      <c r="F40" s="21">
        <v>88</v>
      </c>
      <c r="G40" s="21">
        <f>F40</f>
        <v>88</v>
      </c>
      <c r="H40" s="21">
        <f>G40</f>
        <v>88</v>
      </c>
    </row>
    <row r="41" spans="1:8" x14ac:dyDescent="0.25">
      <c r="A41" s="11" t="s">
        <v>99</v>
      </c>
      <c r="B41" s="12" t="s">
        <v>114</v>
      </c>
      <c r="C41" s="21"/>
      <c r="D41" s="21"/>
      <c r="E41" s="21">
        <v>30</v>
      </c>
      <c r="F41" s="21">
        <f>E41</f>
        <v>30</v>
      </c>
      <c r="G41" s="21"/>
      <c r="H41" s="21"/>
    </row>
    <row r="42" spans="1:8" x14ac:dyDescent="0.25">
      <c r="A42" s="11" t="s">
        <v>99</v>
      </c>
      <c r="B42" s="12" t="s">
        <v>604</v>
      </c>
      <c r="C42" s="21"/>
      <c r="D42" s="21"/>
      <c r="E42" s="21">
        <v>30</v>
      </c>
      <c r="F42" s="21"/>
      <c r="G42" s="21"/>
      <c r="H42" s="21"/>
    </row>
    <row r="43" spans="1:8" x14ac:dyDescent="0.25">
      <c r="A43" s="11" t="s">
        <v>99</v>
      </c>
      <c r="B43" s="12" t="s">
        <v>1233</v>
      </c>
      <c r="C43" s="21"/>
      <c r="D43" s="21"/>
      <c r="E43" s="21"/>
      <c r="F43" s="21">
        <v>100</v>
      </c>
      <c r="G43" s="21"/>
      <c r="H43" s="21"/>
    </row>
    <row r="44" spans="1:8" x14ac:dyDescent="0.25">
      <c r="A44" s="11" t="s">
        <v>99</v>
      </c>
      <c r="B44" s="12" t="s">
        <v>1232</v>
      </c>
      <c r="C44" s="21"/>
      <c r="D44" s="21"/>
      <c r="E44" s="21"/>
      <c r="F44" s="21">
        <v>40</v>
      </c>
      <c r="G44" s="21"/>
      <c r="H44" s="21"/>
    </row>
    <row r="45" spans="1:8" s="146" customFormat="1" x14ac:dyDescent="0.25">
      <c r="A45" s="13">
        <v>2</v>
      </c>
      <c r="B45" s="14" t="s">
        <v>1231</v>
      </c>
      <c r="C45" s="22"/>
      <c r="D45" s="22"/>
      <c r="E45" s="22">
        <f>E46</f>
        <v>100</v>
      </c>
      <c r="F45" s="22">
        <f t="shared" ref="F45:H45" si="3">F46</f>
        <v>100</v>
      </c>
      <c r="G45" s="22">
        <f t="shared" si="3"/>
        <v>100</v>
      </c>
      <c r="H45" s="22">
        <f t="shared" si="3"/>
        <v>100</v>
      </c>
    </row>
    <row r="46" spans="1:8" ht="37.5" x14ac:dyDescent="0.25">
      <c r="A46" s="11" t="s">
        <v>99</v>
      </c>
      <c r="B46" s="12" t="s">
        <v>113</v>
      </c>
      <c r="C46" s="21"/>
      <c r="D46" s="21"/>
      <c r="E46" s="21">
        <v>100</v>
      </c>
      <c r="F46" s="21">
        <f>E46</f>
        <v>100</v>
      </c>
      <c r="G46" s="21">
        <v>100</v>
      </c>
      <c r="H46" s="21">
        <v>100</v>
      </c>
    </row>
    <row r="47" spans="1:8" s="146" customFormat="1" x14ac:dyDescent="0.25">
      <c r="A47" s="13">
        <v>3</v>
      </c>
      <c r="B47" s="14" t="s">
        <v>1230</v>
      </c>
      <c r="C47" s="22"/>
      <c r="D47" s="22"/>
      <c r="E47" s="22">
        <f>E48+E49</f>
        <v>700</v>
      </c>
      <c r="F47" s="22">
        <v>500</v>
      </c>
      <c r="G47" s="22">
        <f>E47</f>
        <v>700</v>
      </c>
      <c r="H47" s="22">
        <f>F47</f>
        <v>500</v>
      </c>
    </row>
    <row r="48" spans="1:8" ht="37.5" x14ac:dyDescent="0.25">
      <c r="A48" s="11" t="s">
        <v>99</v>
      </c>
      <c r="B48" s="12" t="s">
        <v>1234</v>
      </c>
      <c r="C48" s="21"/>
      <c r="D48" s="21"/>
      <c r="E48" s="21">
        <v>350</v>
      </c>
      <c r="F48" s="21"/>
      <c r="G48" s="21"/>
      <c r="H48" s="21"/>
    </row>
    <row r="49" spans="1:8" ht="37.5" x14ac:dyDescent="0.25">
      <c r="A49" s="11" t="s">
        <v>99</v>
      </c>
      <c r="B49" s="12" t="s">
        <v>115</v>
      </c>
      <c r="C49" s="21"/>
      <c r="D49" s="21"/>
      <c r="E49" s="21">
        <v>350</v>
      </c>
      <c r="F49" s="21"/>
      <c r="G49" s="21"/>
      <c r="H49" s="21"/>
    </row>
    <row r="50" spans="1:8" s="146" customFormat="1" x14ac:dyDescent="0.25">
      <c r="A50" s="13">
        <v>4</v>
      </c>
      <c r="B50" s="14" t="s">
        <v>1228</v>
      </c>
      <c r="C50" s="22"/>
      <c r="D50" s="22"/>
      <c r="E50" s="22">
        <f>E51</f>
        <v>110</v>
      </c>
      <c r="F50" s="22">
        <f t="shared" ref="F50:H50" si="4">F51</f>
        <v>110</v>
      </c>
      <c r="G50" s="22">
        <f t="shared" si="4"/>
        <v>110</v>
      </c>
      <c r="H50" s="22">
        <f t="shared" si="4"/>
        <v>110</v>
      </c>
    </row>
    <row r="51" spans="1:8" x14ac:dyDescent="0.3">
      <c r="A51" s="11" t="s">
        <v>99</v>
      </c>
      <c r="B51" s="33" t="s">
        <v>111</v>
      </c>
      <c r="C51" s="21"/>
      <c r="D51" s="21"/>
      <c r="E51" s="21">
        <v>110</v>
      </c>
      <c r="F51" s="21">
        <f>E51</f>
        <v>110</v>
      </c>
      <c r="G51" s="21">
        <f>E51</f>
        <v>110</v>
      </c>
      <c r="H51" s="21">
        <f>G51</f>
        <v>110</v>
      </c>
    </row>
    <row r="52" spans="1:8" x14ac:dyDescent="0.25">
      <c r="A52" s="15"/>
      <c r="B52" s="16"/>
      <c r="C52" s="23"/>
      <c r="D52" s="23"/>
      <c r="E52" s="23"/>
      <c r="F52" s="23"/>
      <c r="G52" s="23"/>
      <c r="H52" s="23"/>
    </row>
    <row r="53" spans="1:8" ht="40.5" customHeight="1" x14ac:dyDescent="0.25">
      <c r="A53" s="30"/>
      <c r="B53" s="567" t="s">
        <v>1235</v>
      </c>
      <c r="C53" s="567"/>
      <c r="D53" s="567"/>
      <c r="E53" s="567"/>
      <c r="F53" s="567"/>
      <c r="G53" s="567"/>
      <c r="H53" s="567"/>
    </row>
    <row r="54" spans="1:8" x14ac:dyDescent="0.25">
      <c r="A54" s="2"/>
      <c r="B54" s="7" t="s">
        <v>1236</v>
      </c>
    </row>
    <row r="55" spans="1:8" x14ac:dyDescent="0.25">
      <c r="A55" s="2"/>
    </row>
    <row r="56" spans="1:8" x14ac:dyDescent="0.25">
      <c r="A56" s="550" t="s">
        <v>36</v>
      </c>
      <c r="B56" s="550"/>
      <c r="D56" s="550" t="s">
        <v>37</v>
      </c>
      <c r="E56" s="550"/>
      <c r="F56" s="550"/>
      <c r="G56" s="550"/>
      <c r="H56" s="550"/>
    </row>
  </sheetData>
  <mergeCells count="19">
    <mergeCell ref="C21:H21"/>
    <mergeCell ref="A1:H1"/>
    <mergeCell ref="B3:H3"/>
    <mergeCell ref="C6:H6"/>
    <mergeCell ref="C7:H7"/>
    <mergeCell ref="C8:H8"/>
    <mergeCell ref="C9:H9"/>
    <mergeCell ref="C10:H10"/>
    <mergeCell ref="C15:H15"/>
    <mergeCell ref="C17:H17"/>
    <mergeCell ref="C19:H19"/>
    <mergeCell ref="C20:H20"/>
    <mergeCell ref="C18:H18"/>
    <mergeCell ref="B53:H53"/>
    <mergeCell ref="A56:B56"/>
    <mergeCell ref="D56:H56"/>
    <mergeCell ref="C22:H22"/>
    <mergeCell ref="C23:H23"/>
    <mergeCell ref="B24:H24"/>
  </mergeCells>
  <printOptions horizontalCentered="1"/>
  <pageMargins left="0.19685039370078741" right="0.19685039370078741" top="0.59055118110236227" bottom="0.59055118110236227" header="0.31496062992125984" footer="0.31496062992125984"/>
  <pageSetup paperSize="9" scale="89" orientation="portrait" r:id="rId1"/>
  <headerFooter>
    <oddFooter>&amp;C&amp;P/&amp;N</oddFooter>
  </headerFooter>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92"/>
  <sheetViews>
    <sheetView topLeftCell="A76" zoomScaleNormal="100" workbookViewId="0">
      <selection activeCell="F55" sqref="F55"/>
    </sheetView>
  </sheetViews>
  <sheetFormatPr defaultColWidth="9.140625" defaultRowHeight="18.75" x14ac:dyDescent="0.25"/>
  <cols>
    <col min="1" max="1" width="4.85546875" style="7" customWidth="1"/>
    <col min="2" max="2" width="43.28515625" style="7" customWidth="1"/>
    <col min="3" max="4" width="7.85546875" style="7" customWidth="1"/>
    <col min="5" max="8" width="11.7109375" style="7" customWidth="1"/>
    <col min="9" max="16384" width="9.140625" style="7"/>
  </cols>
  <sheetData>
    <row r="1" spans="1:8" ht="41.25" customHeight="1" x14ac:dyDescent="0.25">
      <c r="A1" s="549" t="s">
        <v>1074</v>
      </c>
      <c r="B1" s="555"/>
      <c r="C1" s="555"/>
      <c r="D1" s="555"/>
      <c r="E1" s="555"/>
      <c r="F1" s="555"/>
      <c r="G1" s="555"/>
      <c r="H1" s="555"/>
    </row>
    <row r="2" spans="1:8" x14ac:dyDescent="0.25">
      <c r="A2" s="6"/>
      <c r="B2" s="6"/>
      <c r="C2" s="6"/>
      <c r="D2" s="1"/>
      <c r="E2" s="1"/>
      <c r="F2" s="1"/>
      <c r="G2" s="1"/>
      <c r="H2" s="1"/>
    </row>
    <row r="3" spans="1:8" ht="40.5" customHeight="1" x14ac:dyDescent="0.25">
      <c r="B3" s="565" t="s">
        <v>1238</v>
      </c>
      <c r="C3" s="565"/>
      <c r="D3" s="565"/>
      <c r="E3" s="565"/>
      <c r="F3" s="565"/>
      <c r="G3" s="565"/>
      <c r="H3" s="565"/>
    </row>
    <row r="4" spans="1:8" x14ac:dyDescent="0.25">
      <c r="B4" s="7" t="s">
        <v>39</v>
      </c>
      <c r="D4" s="8"/>
      <c r="E4" s="8"/>
      <c r="F4" s="8"/>
      <c r="G4" s="8"/>
      <c r="H4" s="8"/>
    </row>
    <row r="5" spans="1:8" s="6" customFormat="1" x14ac:dyDescent="0.25">
      <c r="B5" s="3" t="s">
        <v>18</v>
      </c>
      <c r="F5" s="146"/>
    </row>
    <row r="6" spans="1:8" x14ac:dyDescent="0.25">
      <c r="B6" s="2" t="s">
        <v>23</v>
      </c>
      <c r="C6" s="558" t="s">
        <v>49</v>
      </c>
      <c r="D6" s="558"/>
      <c r="E6" s="558"/>
      <c r="F6" s="558"/>
      <c r="G6" s="558"/>
      <c r="H6" s="558"/>
    </row>
    <row r="7" spans="1:8" x14ac:dyDescent="0.25">
      <c r="A7" s="2"/>
      <c r="B7" s="2" t="s">
        <v>19</v>
      </c>
      <c r="C7" s="558" t="s">
        <v>50</v>
      </c>
      <c r="D7" s="558"/>
      <c r="E7" s="558"/>
      <c r="F7" s="558"/>
      <c r="G7" s="558"/>
      <c r="H7" s="558"/>
    </row>
    <row r="8" spans="1:8" hidden="1" x14ac:dyDescent="0.25">
      <c r="A8" s="2"/>
      <c r="B8" s="2" t="s">
        <v>90</v>
      </c>
      <c r="C8" s="558" t="s">
        <v>60</v>
      </c>
      <c r="D8" s="558"/>
      <c r="E8" s="558"/>
      <c r="F8" s="558"/>
      <c r="G8" s="558"/>
      <c r="H8" s="558"/>
    </row>
    <row r="9" spans="1:8" x14ac:dyDescent="0.25">
      <c r="A9" s="2"/>
      <c r="B9" s="2" t="s">
        <v>59</v>
      </c>
      <c r="C9" s="558" t="s">
        <v>60</v>
      </c>
      <c r="D9" s="558"/>
      <c r="E9" s="558"/>
      <c r="F9" s="558"/>
      <c r="G9" s="558"/>
      <c r="H9" s="558"/>
    </row>
    <row r="10" spans="1:8" hidden="1" x14ac:dyDescent="0.25">
      <c r="A10" s="2"/>
      <c r="B10" s="2" t="s">
        <v>20</v>
      </c>
      <c r="C10" s="558" t="s">
        <v>86</v>
      </c>
      <c r="D10" s="558"/>
      <c r="E10" s="558"/>
      <c r="F10" s="558"/>
      <c r="G10" s="558"/>
      <c r="H10" s="558"/>
    </row>
    <row r="11" spans="1:8" hidden="1" x14ac:dyDescent="0.25">
      <c r="A11" s="2"/>
      <c r="B11" s="2" t="s">
        <v>21</v>
      </c>
      <c r="C11" s="35" t="s">
        <v>87</v>
      </c>
      <c r="D11" s="35"/>
      <c r="E11" s="35"/>
      <c r="F11" s="345"/>
      <c r="G11" s="35"/>
      <c r="H11" s="35"/>
    </row>
    <row r="12" spans="1:8" x14ac:dyDescent="0.25">
      <c r="A12" s="2"/>
      <c r="B12" s="2" t="s">
        <v>213</v>
      </c>
      <c r="C12" s="35" t="s">
        <v>88</v>
      </c>
      <c r="D12" s="35"/>
      <c r="E12" s="35"/>
      <c r="F12" s="345"/>
      <c r="G12" s="35"/>
      <c r="H12" s="35"/>
    </row>
    <row r="13" spans="1:8" hidden="1" x14ac:dyDescent="0.25">
      <c r="A13" s="2"/>
      <c r="B13" s="2" t="s">
        <v>94</v>
      </c>
      <c r="C13" s="35" t="s">
        <v>95</v>
      </c>
      <c r="D13" s="35"/>
      <c r="E13" s="35"/>
      <c r="F13" s="345"/>
      <c r="G13" s="35"/>
      <c r="H13" s="35"/>
    </row>
    <row r="14" spans="1:8" x14ac:dyDescent="0.25">
      <c r="A14" s="2"/>
      <c r="B14" s="2"/>
      <c r="C14" s="35"/>
      <c r="D14" s="35"/>
      <c r="E14" s="35"/>
      <c r="F14" s="345"/>
      <c r="G14" s="35"/>
      <c r="H14" s="35"/>
    </row>
    <row r="15" spans="1:8" hidden="1" x14ac:dyDescent="0.25">
      <c r="A15" s="2"/>
      <c r="B15" s="2" t="s">
        <v>21</v>
      </c>
      <c r="C15" s="558"/>
      <c r="D15" s="558"/>
      <c r="E15" s="558"/>
      <c r="F15" s="558"/>
      <c r="G15" s="558"/>
      <c r="H15" s="558"/>
    </row>
    <row r="16" spans="1:8" s="6" customFormat="1" x14ac:dyDescent="0.25">
      <c r="A16" s="3"/>
      <c r="B16" s="3" t="s">
        <v>144</v>
      </c>
      <c r="C16" s="3"/>
      <c r="D16" s="3"/>
      <c r="E16" s="3"/>
      <c r="F16" s="3"/>
      <c r="G16" s="3"/>
      <c r="H16" s="3"/>
    </row>
    <row r="17" spans="1:8" x14ac:dyDescent="0.25">
      <c r="A17" s="2"/>
      <c r="B17" s="2" t="s">
        <v>152</v>
      </c>
      <c r="C17" s="558" t="s">
        <v>153</v>
      </c>
      <c r="D17" s="558"/>
      <c r="E17" s="558"/>
      <c r="F17" s="558"/>
      <c r="G17" s="558"/>
      <c r="H17" s="558"/>
    </row>
    <row r="18" spans="1:8" hidden="1" x14ac:dyDescent="0.25">
      <c r="A18" s="2"/>
      <c r="B18" s="2" t="s">
        <v>20</v>
      </c>
      <c r="C18" s="35"/>
      <c r="D18" s="35"/>
      <c r="E18" s="35"/>
      <c r="F18" s="345"/>
      <c r="G18" s="35"/>
      <c r="H18" s="35"/>
    </row>
    <row r="19" spans="1:8" hidden="1" x14ac:dyDescent="0.25">
      <c r="A19" s="2"/>
      <c r="B19" s="2" t="s">
        <v>21</v>
      </c>
      <c r="C19" s="558" t="s">
        <v>108</v>
      </c>
      <c r="D19" s="558"/>
      <c r="E19" s="558"/>
      <c r="F19" s="558"/>
      <c r="G19" s="558"/>
      <c r="H19" s="558"/>
    </row>
    <row r="20" spans="1:8" x14ac:dyDescent="0.25">
      <c r="A20" s="2"/>
      <c r="B20" s="2" t="s">
        <v>148</v>
      </c>
      <c r="C20" s="558" t="s">
        <v>149</v>
      </c>
      <c r="D20" s="558"/>
      <c r="E20" s="558"/>
      <c r="F20" s="558"/>
      <c r="G20" s="558"/>
      <c r="H20" s="558"/>
    </row>
    <row r="21" spans="1:8" hidden="1" x14ac:dyDescent="0.25">
      <c r="A21" s="2"/>
      <c r="B21" s="2" t="s">
        <v>154</v>
      </c>
      <c r="C21" s="38" t="s">
        <v>80</v>
      </c>
      <c r="D21" s="38"/>
      <c r="E21" s="38"/>
      <c r="F21" s="345"/>
      <c r="G21" s="38"/>
      <c r="H21" s="38"/>
    </row>
    <row r="22" spans="1:8" x14ac:dyDescent="0.25">
      <c r="A22" s="2"/>
      <c r="B22" s="2" t="s">
        <v>1239</v>
      </c>
      <c r="C22" s="558" t="s">
        <v>377</v>
      </c>
      <c r="D22" s="558"/>
      <c r="E22" s="558"/>
      <c r="F22" s="558"/>
      <c r="G22" s="558"/>
      <c r="H22" s="558"/>
    </row>
    <row r="23" spans="1:8" x14ac:dyDescent="0.25">
      <c r="A23" s="2"/>
      <c r="B23" s="2" t="s">
        <v>150</v>
      </c>
      <c r="C23" s="558" t="s">
        <v>108</v>
      </c>
      <c r="D23" s="558"/>
      <c r="E23" s="558"/>
      <c r="F23" s="558"/>
      <c r="G23" s="558"/>
      <c r="H23" s="558"/>
    </row>
    <row r="24" spans="1:8" x14ac:dyDescent="0.25">
      <c r="A24" s="2"/>
      <c r="B24" s="2" t="s">
        <v>151</v>
      </c>
      <c r="C24" s="558" t="s">
        <v>108</v>
      </c>
      <c r="D24" s="558"/>
      <c r="E24" s="558"/>
      <c r="F24" s="558"/>
      <c r="G24" s="558"/>
      <c r="H24" s="558"/>
    </row>
    <row r="25" spans="1:8" ht="39.75" customHeight="1" x14ac:dyDescent="0.25">
      <c r="A25" s="2"/>
      <c r="B25" s="556" t="s">
        <v>1073</v>
      </c>
      <c r="C25" s="556"/>
      <c r="D25" s="556"/>
      <c r="E25" s="556"/>
      <c r="F25" s="556"/>
      <c r="G25" s="556"/>
      <c r="H25" s="556"/>
    </row>
    <row r="26" spans="1:8" x14ac:dyDescent="0.25">
      <c r="A26" s="4"/>
      <c r="H26" s="4" t="s">
        <v>61</v>
      </c>
    </row>
    <row r="27" spans="1:8" s="342" customFormat="1" ht="75" x14ac:dyDescent="0.25">
      <c r="A27" s="358" t="s">
        <v>62</v>
      </c>
      <c r="B27" s="358" t="s">
        <v>2</v>
      </c>
      <c r="C27" s="358" t="s">
        <v>17</v>
      </c>
      <c r="D27" s="359" t="s">
        <v>464</v>
      </c>
      <c r="E27" s="358" t="s">
        <v>1099</v>
      </c>
      <c r="F27" s="358" t="s">
        <v>9</v>
      </c>
      <c r="G27" s="358" t="s">
        <v>461</v>
      </c>
      <c r="H27" s="358" t="s">
        <v>1046</v>
      </c>
    </row>
    <row r="28" spans="1:8" s="6" customFormat="1" x14ac:dyDescent="0.25">
      <c r="A28" s="358"/>
      <c r="B28" s="358" t="s">
        <v>97</v>
      </c>
      <c r="C28" s="32"/>
      <c r="D28" s="32"/>
      <c r="E28" s="32">
        <f>E29+E70</f>
        <v>6932</v>
      </c>
      <c r="F28" s="32">
        <f>F29+F70</f>
        <v>7144</v>
      </c>
      <c r="G28" s="32">
        <f>G29+G70</f>
        <v>7012</v>
      </c>
      <c r="H28" s="32">
        <f>H29+H70</f>
        <v>7114</v>
      </c>
    </row>
    <row r="29" spans="1:8" s="6" customFormat="1" ht="21" customHeight="1" x14ac:dyDescent="0.25">
      <c r="A29" s="9" t="s">
        <v>6</v>
      </c>
      <c r="B29" s="10" t="s">
        <v>145</v>
      </c>
      <c r="C29" s="20"/>
      <c r="D29" s="20"/>
      <c r="E29" s="20">
        <f>E30+E36</f>
        <v>5886</v>
      </c>
      <c r="F29" s="20">
        <f t="shared" ref="F29:H29" si="0">F30+F36</f>
        <v>6010</v>
      </c>
      <c r="G29" s="20">
        <f t="shared" si="0"/>
        <v>6105</v>
      </c>
      <c r="H29" s="20">
        <f t="shared" si="0"/>
        <v>6200</v>
      </c>
    </row>
    <row r="30" spans="1:8" s="6" customFormat="1" ht="21" customHeight="1" x14ac:dyDescent="0.25">
      <c r="A30" s="13" t="s">
        <v>51</v>
      </c>
      <c r="B30" s="14" t="s">
        <v>10</v>
      </c>
      <c r="C30" s="22"/>
      <c r="D30" s="22"/>
      <c r="E30" s="22">
        <f>+E31+E34-E35</f>
        <v>3509</v>
      </c>
      <c r="F30" s="22">
        <f>+F31+F34-F35</f>
        <v>3337</v>
      </c>
      <c r="G30" s="22">
        <f>+G31+G34-G35</f>
        <v>3432</v>
      </c>
      <c r="H30" s="22">
        <f>+H31+H34-H35</f>
        <v>3527</v>
      </c>
    </row>
    <row r="31" spans="1:8" ht="37.5" x14ac:dyDescent="0.25">
      <c r="A31" s="11">
        <v>1</v>
      </c>
      <c r="B31" s="12" t="s">
        <v>1084</v>
      </c>
      <c r="C31" s="21">
        <v>24</v>
      </c>
      <c r="D31" s="21">
        <v>25</v>
      </c>
      <c r="E31" s="21">
        <v>3055</v>
      </c>
      <c r="F31" s="21">
        <v>2883</v>
      </c>
      <c r="G31" s="21">
        <f>ROUND(F31+9*10.5,0)</f>
        <v>2978</v>
      </c>
      <c r="H31" s="21">
        <f>ROUND(G31+9*10.5,0)</f>
        <v>3073</v>
      </c>
    </row>
    <row r="32" spans="1:8" hidden="1" x14ac:dyDescent="0.25">
      <c r="A32" s="11"/>
      <c r="B32" s="12" t="s">
        <v>1118</v>
      </c>
      <c r="C32" s="21"/>
      <c r="D32" s="21"/>
      <c r="E32" s="21"/>
      <c r="F32" s="21"/>
      <c r="G32" s="21"/>
      <c r="H32" s="21"/>
    </row>
    <row r="33" spans="1:8" hidden="1" x14ac:dyDescent="0.25">
      <c r="A33" s="11"/>
      <c r="B33" s="12" t="s">
        <v>1240</v>
      </c>
      <c r="C33" s="21"/>
      <c r="D33" s="21"/>
      <c r="E33" s="21"/>
      <c r="F33" s="21"/>
      <c r="G33" s="21"/>
      <c r="H33" s="21"/>
    </row>
    <row r="34" spans="1:8" ht="37.5" x14ac:dyDescent="0.25">
      <c r="A34" s="11">
        <v>2</v>
      </c>
      <c r="B34" s="12" t="s">
        <v>1085</v>
      </c>
      <c r="C34" s="21">
        <v>24</v>
      </c>
      <c r="D34" s="21"/>
      <c r="E34" s="21">
        <v>504</v>
      </c>
      <c r="F34" s="21">
        <f>+C34*21</f>
        <v>504</v>
      </c>
      <c r="G34" s="21">
        <f>F34</f>
        <v>504</v>
      </c>
      <c r="H34" s="21">
        <f>G34</f>
        <v>504</v>
      </c>
    </row>
    <row r="35" spans="1:8" ht="37.5" x14ac:dyDescent="0.25">
      <c r="A35" s="11">
        <v>3</v>
      </c>
      <c r="B35" s="12" t="s">
        <v>103</v>
      </c>
      <c r="C35" s="21"/>
      <c r="D35" s="21"/>
      <c r="E35" s="21">
        <v>50</v>
      </c>
      <c r="F35" s="21">
        <v>50</v>
      </c>
      <c r="G35" s="21">
        <f>F35</f>
        <v>50</v>
      </c>
      <c r="H35" s="21">
        <f>G35</f>
        <v>50</v>
      </c>
    </row>
    <row r="36" spans="1:8" s="50" customFormat="1" x14ac:dyDescent="0.25">
      <c r="A36" s="62" t="s">
        <v>52</v>
      </c>
      <c r="B36" s="63" t="s">
        <v>11</v>
      </c>
      <c r="C36" s="64"/>
      <c r="D36" s="64"/>
      <c r="E36" s="64">
        <f>E37+E64</f>
        <v>2377</v>
      </c>
      <c r="F36" s="64">
        <f t="shared" ref="F36:H36" si="1">F37+F64</f>
        <v>2673</v>
      </c>
      <c r="G36" s="64">
        <f t="shared" si="1"/>
        <v>2673</v>
      </c>
      <c r="H36" s="64">
        <f t="shared" si="1"/>
        <v>2673</v>
      </c>
    </row>
    <row r="37" spans="1:8" s="142" customFormat="1" ht="19.5" x14ac:dyDescent="0.25">
      <c r="A37" s="139" t="s">
        <v>53</v>
      </c>
      <c r="B37" s="140" t="s">
        <v>81</v>
      </c>
      <c r="C37" s="141"/>
      <c r="D37" s="141"/>
      <c r="E37" s="141">
        <f>SUM(E38:E62)</f>
        <v>1892</v>
      </c>
      <c r="F37" s="141">
        <f>SUM(F38:F63)</f>
        <v>2373</v>
      </c>
      <c r="G37" s="141">
        <f>F37</f>
        <v>2373</v>
      </c>
      <c r="H37" s="141">
        <f>G37</f>
        <v>2373</v>
      </c>
    </row>
    <row r="38" spans="1:8" s="49" customFormat="1" x14ac:dyDescent="0.25">
      <c r="A38" s="58" t="s">
        <v>99</v>
      </c>
      <c r="B38" s="59" t="s">
        <v>157</v>
      </c>
      <c r="C38" s="60"/>
      <c r="D38" s="60"/>
      <c r="E38" s="60">
        <v>13</v>
      </c>
      <c r="F38" s="60">
        <v>38</v>
      </c>
      <c r="G38" s="60"/>
      <c r="H38" s="60"/>
    </row>
    <row r="39" spans="1:8" s="49" customFormat="1" hidden="1" x14ac:dyDescent="0.3">
      <c r="A39" s="58" t="s">
        <v>99</v>
      </c>
      <c r="B39" s="65"/>
      <c r="C39" s="60"/>
      <c r="D39" s="60"/>
      <c r="E39" s="60"/>
      <c r="F39" s="60"/>
      <c r="G39" s="60"/>
      <c r="H39" s="60"/>
    </row>
    <row r="40" spans="1:8" s="49" customFormat="1" x14ac:dyDescent="0.3">
      <c r="A40" s="58" t="s">
        <v>99</v>
      </c>
      <c r="B40" s="65" t="s">
        <v>158</v>
      </c>
      <c r="C40" s="60"/>
      <c r="D40" s="60"/>
      <c r="E40" s="60">
        <v>50</v>
      </c>
      <c r="F40" s="60">
        <v>50</v>
      </c>
      <c r="G40" s="60"/>
      <c r="H40" s="60"/>
    </row>
    <row r="41" spans="1:8" s="49" customFormat="1" ht="37.5" x14ac:dyDescent="0.25">
      <c r="A41" s="58" t="s">
        <v>99</v>
      </c>
      <c r="B41" s="59" t="s">
        <v>159</v>
      </c>
      <c r="C41" s="60"/>
      <c r="D41" s="60"/>
      <c r="E41" s="60">
        <v>120</v>
      </c>
      <c r="F41" s="60">
        <f>E41</f>
        <v>120</v>
      </c>
      <c r="G41" s="60"/>
      <c r="H41" s="60"/>
    </row>
    <row r="42" spans="1:8" s="49" customFormat="1" ht="37.5" x14ac:dyDescent="0.25">
      <c r="A42" s="58" t="s">
        <v>99</v>
      </c>
      <c r="B42" s="59" t="s">
        <v>160</v>
      </c>
      <c r="C42" s="60"/>
      <c r="D42" s="60"/>
      <c r="E42" s="60">
        <v>120</v>
      </c>
      <c r="F42" s="60">
        <f>E42</f>
        <v>120</v>
      </c>
      <c r="G42" s="60"/>
      <c r="H42" s="60"/>
    </row>
    <row r="43" spans="1:8" s="49" customFormat="1" x14ac:dyDescent="0.25">
      <c r="A43" s="58" t="s">
        <v>99</v>
      </c>
      <c r="B43" s="59" t="s">
        <v>161</v>
      </c>
      <c r="C43" s="60"/>
      <c r="D43" s="60"/>
      <c r="E43" s="60">
        <v>24</v>
      </c>
      <c r="F43" s="60">
        <v>68</v>
      </c>
      <c r="G43" s="60"/>
      <c r="H43" s="60"/>
    </row>
    <row r="44" spans="1:8" s="49" customFormat="1" x14ac:dyDescent="0.25">
      <c r="A44" s="58" t="s">
        <v>99</v>
      </c>
      <c r="B44" s="59" t="s">
        <v>162</v>
      </c>
      <c r="C44" s="60"/>
      <c r="D44" s="60"/>
      <c r="E44" s="60">
        <v>78</v>
      </c>
      <c r="F44" s="60">
        <f>E44</f>
        <v>78</v>
      </c>
      <c r="G44" s="60"/>
      <c r="H44" s="60"/>
    </row>
    <row r="45" spans="1:8" s="49" customFormat="1" x14ac:dyDescent="0.25">
      <c r="A45" s="58" t="s">
        <v>99</v>
      </c>
      <c r="B45" s="59" t="s">
        <v>595</v>
      </c>
      <c r="C45" s="60"/>
      <c r="D45" s="60"/>
      <c r="E45" s="60">
        <v>80</v>
      </c>
      <c r="F45" s="60">
        <v>82</v>
      </c>
      <c r="G45" s="60"/>
      <c r="H45" s="60"/>
    </row>
    <row r="46" spans="1:8" s="49" customFormat="1" x14ac:dyDescent="0.25">
      <c r="A46" s="58" t="s">
        <v>99</v>
      </c>
      <c r="B46" s="59" t="s">
        <v>602</v>
      </c>
      <c r="C46" s="60"/>
      <c r="D46" s="60"/>
      <c r="E46" s="60">
        <v>82</v>
      </c>
      <c r="F46" s="60">
        <v>84</v>
      </c>
      <c r="G46" s="60"/>
      <c r="H46" s="60"/>
    </row>
    <row r="47" spans="1:8" s="49" customFormat="1" ht="37.5" x14ac:dyDescent="0.25">
      <c r="A47" s="58" t="s">
        <v>99</v>
      </c>
      <c r="B47" s="59" t="s">
        <v>282</v>
      </c>
      <c r="C47" s="60"/>
      <c r="D47" s="60"/>
      <c r="E47" s="60">
        <v>89</v>
      </c>
      <c r="F47" s="60">
        <v>119</v>
      </c>
      <c r="G47" s="60"/>
      <c r="H47" s="60"/>
    </row>
    <row r="48" spans="1:8" s="49" customFormat="1" x14ac:dyDescent="0.25">
      <c r="A48" s="58" t="s">
        <v>99</v>
      </c>
      <c r="B48" s="59" t="s">
        <v>163</v>
      </c>
      <c r="C48" s="60"/>
      <c r="D48" s="60"/>
      <c r="E48" s="60">
        <v>50</v>
      </c>
      <c r="F48" s="60">
        <f>E48</f>
        <v>50</v>
      </c>
      <c r="G48" s="60"/>
      <c r="H48" s="60"/>
    </row>
    <row r="49" spans="1:8" s="49" customFormat="1" ht="37.5" x14ac:dyDescent="0.25">
      <c r="A49" s="58" t="s">
        <v>99</v>
      </c>
      <c r="B49" s="59" t="s">
        <v>597</v>
      </c>
      <c r="C49" s="60"/>
      <c r="D49" s="60"/>
      <c r="E49" s="60">
        <v>98</v>
      </c>
      <c r="F49" s="60"/>
      <c r="G49" s="60"/>
      <c r="H49" s="60"/>
    </row>
    <row r="50" spans="1:8" s="49" customFormat="1" ht="37.5" x14ac:dyDescent="0.25">
      <c r="A50" s="58" t="s">
        <v>99</v>
      </c>
      <c r="B50" s="59" t="s">
        <v>1256</v>
      </c>
      <c r="C50" s="60"/>
      <c r="D50" s="60"/>
      <c r="E50" s="60">
        <v>480</v>
      </c>
      <c r="F50" s="60"/>
      <c r="G50" s="60"/>
      <c r="H50" s="60"/>
    </row>
    <row r="51" spans="1:8" s="49" customFormat="1" ht="37.5" x14ac:dyDescent="0.25">
      <c r="A51" s="58" t="s">
        <v>99</v>
      </c>
      <c r="B51" s="59" t="s">
        <v>598</v>
      </c>
      <c r="C51" s="60"/>
      <c r="D51" s="60"/>
      <c r="E51" s="121">
        <v>300</v>
      </c>
      <c r="F51" s="121"/>
      <c r="G51" s="60"/>
      <c r="H51" s="60"/>
    </row>
    <row r="52" spans="1:8" s="49" customFormat="1" ht="37.5" x14ac:dyDescent="0.25">
      <c r="A52" s="58" t="s">
        <v>99</v>
      </c>
      <c r="B52" s="59" t="s">
        <v>599</v>
      </c>
      <c r="C52" s="60"/>
      <c r="D52" s="60"/>
      <c r="E52" s="121">
        <v>120</v>
      </c>
      <c r="F52" s="121"/>
      <c r="G52" s="60"/>
      <c r="H52" s="60"/>
    </row>
    <row r="53" spans="1:8" s="49" customFormat="1" ht="37.5" x14ac:dyDescent="0.25">
      <c r="A53" s="58" t="s">
        <v>99</v>
      </c>
      <c r="B53" s="59" t="s">
        <v>603</v>
      </c>
      <c r="C53" s="60"/>
      <c r="D53" s="60"/>
      <c r="E53" s="60">
        <v>60</v>
      </c>
      <c r="F53" s="60">
        <v>49</v>
      </c>
      <c r="G53" s="60"/>
      <c r="H53" s="60"/>
    </row>
    <row r="54" spans="1:8" s="49" customFormat="1" ht="37.5" x14ac:dyDescent="0.25">
      <c r="A54" s="58" t="s">
        <v>99</v>
      </c>
      <c r="B54" s="59" t="s">
        <v>600</v>
      </c>
      <c r="C54" s="60"/>
      <c r="D54" s="60"/>
      <c r="E54" s="60">
        <v>68</v>
      </c>
      <c r="F54" s="60"/>
      <c r="G54" s="60"/>
      <c r="H54" s="60"/>
    </row>
    <row r="55" spans="1:8" s="49" customFormat="1" x14ac:dyDescent="0.25">
      <c r="A55" s="58" t="s">
        <v>99</v>
      </c>
      <c r="B55" s="59" t="s">
        <v>114</v>
      </c>
      <c r="C55" s="60"/>
      <c r="D55" s="60"/>
      <c r="E55" s="60">
        <v>60</v>
      </c>
      <c r="F55" s="60"/>
      <c r="G55" s="60"/>
      <c r="H55" s="60"/>
    </row>
    <row r="56" spans="1:8" s="49" customFormat="1" ht="37.5" x14ac:dyDescent="0.25">
      <c r="A56" s="58" t="s">
        <v>99</v>
      </c>
      <c r="B56" s="59" t="s">
        <v>1241</v>
      </c>
      <c r="C56" s="60"/>
      <c r="D56" s="60"/>
      <c r="E56" s="60"/>
      <c r="F56" s="60">
        <v>461</v>
      </c>
      <c r="G56" s="60"/>
      <c r="H56" s="60"/>
    </row>
    <row r="57" spans="1:8" s="49" customFormat="1" ht="75" x14ac:dyDescent="0.25">
      <c r="A57" s="58" t="s">
        <v>99</v>
      </c>
      <c r="B57" s="59" t="s">
        <v>1242</v>
      </c>
      <c r="C57" s="60"/>
      <c r="D57" s="60"/>
      <c r="E57" s="60"/>
      <c r="F57" s="60">
        <v>322</v>
      </c>
      <c r="G57" s="60"/>
      <c r="H57" s="60"/>
    </row>
    <row r="58" spans="1:8" s="49" customFormat="1" ht="37.5" x14ac:dyDescent="0.25">
      <c r="A58" s="58" t="s">
        <v>99</v>
      </c>
      <c r="B58" s="59" t="s">
        <v>1252</v>
      </c>
      <c r="C58" s="60"/>
      <c r="D58" s="60"/>
      <c r="E58" s="60"/>
      <c r="F58" s="60">
        <v>203</v>
      </c>
      <c r="G58" s="60"/>
      <c r="H58" s="60"/>
    </row>
    <row r="59" spans="1:8" s="49" customFormat="1" ht="37.5" x14ac:dyDescent="0.25">
      <c r="A59" s="58" t="s">
        <v>99</v>
      </c>
      <c r="B59" s="59" t="s">
        <v>1243</v>
      </c>
      <c r="C59" s="60"/>
      <c r="D59" s="60"/>
      <c r="E59" s="60"/>
      <c r="F59" s="60">
        <v>36</v>
      </c>
      <c r="G59" s="60"/>
      <c r="H59" s="60"/>
    </row>
    <row r="60" spans="1:8" s="49" customFormat="1" x14ac:dyDescent="0.25">
      <c r="A60" s="58" t="s">
        <v>99</v>
      </c>
      <c r="B60" s="59" t="s">
        <v>1259</v>
      </c>
      <c r="C60" s="60"/>
      <c r="D60" s="60"/>
      <c r="E60" s="60"/>
      <c r="F60" s="60">
        <v>306</v>
      </c>
      <c r="G60" s="60"/>
      <c r="H60" s="60"/>
    </row>
    <row r="61" spans="1:8" s="49" customFormat="1" x14ac:dyDescent="0.25">
      <c r="A61" s="58"/>
      <c r="B61" s="59" t="s">
        <v>1251</v>
      </c>
      <c r="C61" s="60"/>
      <c r="D61" s="60"/>
      <c r="E61" s="60"/>
      <c r="F61" s="60">
        <v>87</v>
      </c>
      <c r="G61" s="60"/>
      <c r="H61" s="60"/>
    </row>
    <row r="62" spans="1:8" s="49" customFormat="1" x14ac:dyDescent="0.25">
      <c r="A62" s="58" t="s">
        <v>99</v>
      </c>
      <c r="B62" s="59" t="s">
        <v>1257</v>
      </c>
      <c r="C62" s="60"/>
      <c r="D62" s="60"/>
      <c r="E62" s="60"/>
      <c r="F62" s="60">
        <v>23</v>
      </c>
      <c r="G62" s="60"/>
      <c r="H62" s="60"/>
    </row>
    <row r="63" spans="1:8" s="49" customFormat="1" ht="37.5" x14ac:dyDescent="0.25">
      <c r="A63" s="58" t="s">
        <v>99</v>
      </c>
      <c r="B63" s="261" t="s">
        <v>1250</v>
      </c>
      <c r="C63" s="60"/>
      <c r="D63" s="60"/>
      <c r="E63" s="60"/>
      <c r="F63" s="60">
        <v>77</v>
      </c>
      <c r="G63" s="60"/>
      <c r="H63" s="60"/>
    </row>
    <row r="64" spans="1:8" s="142" customFormat="1" ht="19.5" x14ac:dyDescent="0.35">
      <c r="A64" s="139" t="s">
        <v>54</v>
      </c>
      <c r="B64" s="189" t="s">
        <v>83</v>
      </c>
      <c r="C64" s="141"/>
      <c r="D64" s="141"/>
      <c r="E64" s="141">
        <f>SUM(E65:E69)</f>
        <v>485</v>
      </c>
      <c r="F64" s="141">
        <v>300</v>
      </c>
      <c r="G64" s="141">
        <v>300</v>
      </c>
      <c r="H64" s="141">
        <v>300</v>
      </c>
    </row>
    <row r="65" spans="1:8" s="49" customFormat="1" x14ac:dyDescent="0.3">
      <c r="A65" s="58" t="s">
        <v>99</v>
      </c>
      <c r="B65" s="65" t="s">
        <v>164</v>
      </c>
      <c r="C65" s="60"/>
      <c r="D65" s="60"/>
      <c r="E65" s="60">
        <v>70</v>
      </c>
      <c r="F65" s="60"/>
      <c r="G65" s="60"/>
      <c r="H65" s="60"/>
    </row>
    <row r="66" spans="1:8" s="49" customFormat="1" x14ac:dyDescent="0.3">
      <c r="A66" s="58" t="s">
        <v>99</v>
      </c>
      <c r="B66" s="72" t="s">
        <v>100</v>
      </c>
      <c r="C66" s="60"/>
      <c r="D66" s="60"/>
      <c r="E66" s="60">
        <v>300</v>
      </c>
      <c r="F66" s="60"/>
      <c r="G66" s="60"/>
      <c r="H66" s="60"/>
    </row>
    <row r="67" spans="1:8" s="49" customFormat="1" x14ac:dyDescent="0.3">
      <c r="A67" s="58" t="s">
        <v>99</v>
      </c>
      <c r="B67" s="72" t="s">
        <v>596</v>
      </c>
      <c r="C67" s="60"/>
      <c r="D67" s="60"/>
      <c r="E67" s="60">
        <v>115</v>
      </c>
      <c r="F67" s="60"/>
      <c r="G67" s="60"/>
      <c r="H67" s="60"/>
    </row>
    <row r="68" spans="1:8" s="49" customFormat="1" x14ac:dyDescent="0.25">
      <c r="A68" s="58" t="s">
        <v>99</v>
      </c>
      <c r="B68" s="59" t="s">
        <v>601</v>
      </c>
      <c r="C68" s="60"/>
      <c r="D68" s="60"/>
      <c r="E68" s="60"/>
      <c r="F68" s="60"/>
      <c r="G68" s="60"/>
      <c r="H68" s="60"/>
    </row>
    <row r="69" spans="1:8" s="49" customFormat="1" ht="56.25" x14ac:dyDescent="0.25">
      <c r="A69" s="58" t="s">
        <v>99</v>
      </c>
      <c r="B69" s="59" t="s">
        <v>1249</v>
      </c>
      <c r="C69" s="60"/>
      <c r="D69" s="60"/>
      <c r="E69" s="60"/>
      <c r="F69" s="60"/>
      <c r="G69" s="60"/>
      <c r="H69" s="60"/>
    </row>
    <row r="70" spans="1:8" s="49" customFormat="1" x14ac:dyDescent="0.25">
      <c r="A70" s="13" t="s">
        <v>7</v>
      </c>
      <c r="B70" s="14" t="s">
        <v>146</v>
      </c>
      <c r="C70" s="60"/>
      <c r="D70" s="60"/>
      <c r="E70" s="64">
        <f>E72+E78</f>
        <v>1046</v>
      </c>
      <c r="F70" s="64">
        <f t="shared" ref="F70:H70" si="2">F72+F78</f>
        <v>1134</v>
      </c>
      <c r="G70" s="64">
        <f t="shared" si="2"/>
        <v>907</v>
      </c>
      <c r="H70" s="64">
        <f t="shared" si="2"/>
        <v>914</v>
      </c>
    </row>
    <row r="71" spans="1:8" s="49" customFormat="1" x14ac:dyDescent="0.25">
      <c r="A71" s="13"/>
      <c r="B71" s="12" t="s">
        <v>155</v>
      </c>
      <c r="C71" s="60"/>
      <c r="D71" s="60"/>
      <c r="E71" s="21">
        <v>2523</v>
      </c>
      <c r="F71" s="21">
        <v>2405</v>
      </c>
      <c r="G71" s="21">
        <f>E71</f>
        <v>2523</v>
      </c>
      <c r="H71" s="21">
        <f>G71</f>
        <v>2523</v>
      </c>
    </row>
    <row r="72" spans="1:8" s="6" customFormat="1" ht="21" customHeight="1" x14ac:dyDescent="0.25">
      <c r="A72" s="13" t="s">
        <v>51</v>
      </c>
      <c r="B72" s="14" t="s">
        <v>10</v>
      </c>
      <c r="C72" s="22"/>
      <c r="D72" s="22"/>
      <c r="E72" s="22">
        <f>+E73+E74-E75</f>
        <v>496</v>
      </c>
      <c r="F72" s="22">
        <f t="shared" ref="F72:H72" si="3">+F73+F74-F75</f>
        <v>350</v>
      </c>
      <c r="G72" s="22">
        <f t="shared" si="3"/>
        <v>357</v>
      </c>
      <c r="H72" s="22">
        <f t="shared" si="3"/>
        <v>364</v>
      </c>
    </row>
    <row r="73" spans="1:8" ht="37.5" x14ac:dyDescent="0.25">
      <c r="A73" s="11">
        <v>1</v>
      </c>
      <c r="B73" s="12" t="s">
        <v>1244</v>
      </c>
      <c r="C73" s="21">
        <v>3</v>
      </c>
      <c r="D73" s="21">
        <v>14</v>
      </c>
      <c r="E73" s="21">
        <v>427</v>
      </c>
      <c r="F73" s="21">
        <v>338</v>
      </c>
      <c r="G73" s="21">
        <f>ROUND(F73+7.3,0)</f>
        <v>345</v>
      </c>
      <c r="H73" s="21">
        <f>ROUND(G73+7.3,0)</f>
        <v>352</v>
      </c>
    </row>
    <row r="74" spans="1:8" ht="37.5" x14ac:dyDescent="0.25">
      <c r="A74" s="11">
        <v>2</v>
      </c>
      <c r="B74" s="12" t="s">
        <v>1245</v>
      </c>
      <c r="C74" s="21">
        <v>3</v>
      </c>
      <c r="D74" s="21"/>
      <c r="E74" s="21">
        <v>76</v>
      </c>
      <c r="F74" s="21">
        <f>C74*19</f>
        <v>57</v>
      </c>
      <c r="G74" s="21">
        <f>F74</f>
        <v>57</v>
      </c>
      <c r="H74" s="21">
        <f>G74</f>
        <v>57</v>
      </c>
    </row>
    <row r="75" spans="1:8" x14ac:dyDescent="0.25">
      <c r="A75" s="11">
        <v>3</v>
      </c>
      <c r="B75" s="12" t="s">
        <v>1092</v>
      </c>
      <c r="C75" s="21"/>
      <c r="D75" s="21"/>
      <c r="E75" s="21">
        <f>SUM(E76:E77)</f>
        <v>7</v>
      </c>
      <c r="F75" s="21">
        <f t="shared" ref="F75:H75" si="4">SUM(F76:F77)</f>
        <v>45</v>
      </c>
      <c r="G75" s="21">
        <f t="shared" si="4"/>
        <v>45</v>
      </c>
      <c r="H75" s="21">
        <f t="shared" si="4"/>
        <v>45</v>
      </c>
    </row>
    <row r="76" spans="1:8" x14ac:dyDescent="0.25">
      <c r="A76" s="11"/>
      <c r="B76" s="12" t="s">
        <v>969</v>
      </c>
      <c r="C76" s="21"/>
      <c r="D76" s="21"/>
      <c r="E76" s="21">
        <v>7</v>
      </c>
      <c r="F76" s="21">
        <v>5</v>
      </c>
      <c r="G76" s="21">
        <f>F76</f>
        <v>5</v>
      </c>
      <c r="H76" s="21">
        <f>G76</f>
        <v>5</v>
      </c>
    </row>
    <row r="77" spans="1:8" x14ac:dyDescent="0.25">
      <c r="A77" s="11"/>
      <c r="B77" s="12" t="s">
        <v>968</v>
      </c>
      <c r="C77" s="21"/>
      <c r="D77" s="21"/>
      <c r="E77" s="21"/>
      <c r="F77" s="21">
        <f>100*0.4</f>
        <v>40</v>
      </c>
      <c r="G77" s="21">
        <f>F77</f>
        <v>40</v>
      </c>
      <c r="H77" s="21">
        <f>G77</f>
        <v>40</v>
      </c>
    </row>
    <row r="78" spans="1:8" s="50" customFormat="1" x14ac:dyDescent="0.25">
      <c r="A78" s="62" t="s">
        <v>52</v>
      </c>
      <c r="B78" s="63" t="s">
        <v>11</v>
      </c>
      <c r="C78" s="64"/>
      <c r="D78" s="64"/>
      <c r="E78" s="64">
        <f>SUM(E79:E83)</f>
        <v>550</v>
      </c>
      <c r="F78" s="64">
        <f>SUM(F79:F83)</f>
        <v>784</v>
      </c>
      <c r="G78" s="64">
        <f t="shared" ref="G78:H78" si="5">SUM(G79:G83)</f>
        <v>550</v>
      </c>
      <c r="H78" s="64">
        <f t="shared" si="5"/>
        <v>550</v>
      </c>
    </row>
    <row r="79" spans="1:8" s="49" customFormat="1" ht="111" customHeight="1" x14ac:dyDescent="0.3">
      <c r="A79" s="58" t="s">
        <v>99</v>
      </c>
      <c r="B79" s="72" t="s">
        <v>1254</v>
      </c>
      <c r="C79" s="60"/>
      <c r="D79" s="60"/>
      <c r="E79" s="60">
        <v>550</v>
      </c>
      <c r="F79" s="60"/>
      <c r="G79" s="60">
        <f>E79</f>
        <v>550</v>
      </c>
      <c r="H79" s="60">
        <f>G79</f>
        <v>550</v>
      </c>
    </row>
    <row r="80" spans="1:8" s="49" customFormat="1" ht="37.5" x14ac:dyDescent="0.3">
      <c r="A80" s="58"/>
      <c r="B80" s="72" t="s">
        <v>1248</v>
      </c>
      <c r="C80" s="60"/>
      <c r="D80" s="60"/>
      <c r="E80" s="60"/>
      <c r="F80" s="60">
        <v>68</v>
      </c>
      <c r="G80" s="60"/>
      <c r="H80" s="60"/>
    </row>
    <row r="81" spans="1:8" s="49" customFormat="1" x14ac:dyDescent="0.25">
      <c r="A81" s="58"/>
      <c r="B81" s="12" t="s">
        <v>1247</v>
      </c>
      <c r="C81" s="60"/>
      <c r="D81" s="60"/>
      <c r="E81" s="60"/>
      <c r="F81" s="60">
        <v>283</v>
      </c>
      <c r="G81" s="60"/>
      <c r="H81" s="60"/>
    </row>
    <row r="82" spans="1:8" s="49" customFormat="1" x14ac:dyDescent="0.3">
      <c r="A82" s="58"/>
      <c r="B82" s="72" t="s">
        <v>1246</v>
      </c>
      <c r="C82" s="60"/>
      <c r="D82" s="60"/>
      <c r="E82" s="60"/>
      <c r="F82" s="60">
        <v>208</v>
      </c>
      <c r="G82" s="60"/>
      <c r="H82" s="60"/>
    </row>
    <row r="83" spans="1:8" s="49" customFormat="1" ht="56.25" x14ac:dyDescent="0.3">
      <c r="A83" s="58"/>
      <c r="B83" s="72" t="s">
        <v>1255</v>
      </c>
      <c r="C83" s="60"/>
      <c r="D83" s="60"/>
      <c r="E83" s="60"/>
      <c r="F83" s="60">
        <v>225</v>
      </c>
      <c r="G83" s="60"/>
      <c r="H83" s="60"/>
    </row>
    <row r="84" spans="1:8" s="49" customFormat="1" hidden="1" x14ac:dyDescent="0.3">
      <c r="A84" s="58"/>
      <c r="B84" s="72"/>
      <c r="C84" s="60"/>
      <c r="D84" s="60"/>
      <c r="E84" s="60"/>
      <c r="F84" s="60"/>
      <c r="G84" s="60"/>
      <c r="H84" s="60"/>
    </row>
    <row r="85" spans="1:8" s="49" customFormat="1" hidden="1" x14ac:dyDescent="0.3">
      <c r="A85" s="58"/>
      <c r="B85" s="72"/>
      <c r="C85" s="60"/>
      <c r="D85" s="60"/>
      <c r="E85" s="60"/>
      <c r="F85" s="60"/>
      <c r="G85" s="60"/>
      <c r="H85" s="60"/>
    </row>
    <row r="86" spans="1:8" s="49" customFormat="1" hidden="1" x14ac:dyDescent="0.3">
      <c r="A86" s="58"/>
      <c r="B86" s="72"/>
      <c r="C86" s="60"/>
      <c r="D86" s="60"/>
      <c r="E86" s="60"/>
      <c r="F86" s="60"/>
      <c r="G86" s="60"/>
      <c r="H86" s="60"/>
    </row>
    <row r="87" spans="1:8" s="49" customFormat="1" x14ac:dyDescent="0.25">
      <c r="A87" s="67"/>
      <c r="B87" s="68"/>
      <c r="C87" s="69"/>
      <c r="D87" s="69"/>
      <c r="E87" s="69"/>
      <c r="F87" s="69"/>
      <c r="G87" s="69"/>
      <c r="H87" s="69"/>
    </row>
    <row r="88" spans="1:8" s="49" customFormat="1" x14ac:dyDescent="0.25">
      <c r="A88" s="572"/>
      <c r="B88" s="572"/>
      <c r="C88" s="572"/>
      <c r="D88" s="572"/>
      <c r="E88" s="572"/>
      <c r="F88" s="572"/>
      <c r="G88" s="572"/>
      <c r="H88" s="572"/>
    </row>
    <row r="89" spans="1:8" s="49" customFormat="1" ht="40.5" customHeight="1" x14ac:dyDescent="0.25">
      <c r="A89" s="70"/>
      <c r="B89" s="571" t="s">
        <v>1258</v>
      </c>
      <c r="C89" s="571"/>
      <c r="D89" s="571"/>
      <c r="E89" s="571"/>
      <c r="F89" s="571"/>
      <c r="G89" s="571"/>
      <c r="H89" s="571"/>
    </row>
    <row r="90" spans="1:8" s="49" customFormat="1" x14ac:dyDescent="0.25">
      <c r="B90" s="7" t="s">
        <v>1253</v>
      </c>
      <c r="C90" s="7"/>
      <c r="D90" s="7"/>
      <c r="E90" s="7"/>
      <c r="F90" s="7"/>
      <c r="G90" s="7"/>
      <c r="H90" s="7"/>
    </row>
    <row r="91" spans="1:8" s="49" customFormat="1" x14ac:dyDescent="0.25"/>
    <row r="92" spans="1:8" x14ac:dyDescent="0.25">
      <c r="A92" s="550" t="s">
        <v>36</v>
      </c>
      <c r="B92" s="550"/>
      <c r="D92" s="550" t="s">
        <v>37</v>
      </c>
      <c r="E92" s="550"/>
      <c r="F92" s="550"/>
      <c r="G92" s="550"/>
      <c r="H92" s="550"/>
    </row>
  </sheetData>
  <mergeCells count="19">
    <mergeCell ref="C20:H20"/>
    <mergeCell ref="C9:H9"/>
    <mergeCell ref="C10:H10"/>
    <mergeCell ref="C15:H15"/>
    <mergeCell ref="C17:H17"/>
    <mergeCell ref="C19:H19"/>
    <mergeCell ref="A1:H1"/>
    <mergeCell ref="B3:H3"/>
    <mergeCell ref="C6:H6"/>
    <mergeCell ref="C7:H7"/>
    <mergeCell ref="C8:H8"/>
    <mergeCell ref="B89:H89"/>
    <mergeCell ref="A92:B92"/>
    <mergeCell ref="D92:H92"/>
    <mergeCell ref="C24:H24"/>
    <mergeCell ref="C22:H22"/>
    <mergeCell ref="B25:H25"/>
    <mergeCell ref="A88:H88"/>
    <mergeCell ref="C23:H23"/>
  </mergeCells>
  <printOptions horizontalCentered="1"/>
  <pageMargins left="0.19685039370078741" right="0.19685039370078741" top="0.59055118110236227" bottom="0.59055118110236227" header="0.31496062992125984" footer="0.31496062992125984"/>
  <pageSetup paperSize="9" scale="89" orientation="portrait" r:id="rId1"/>
  <headerFooter>
    <oddFooter>&amp;C&amp;P/&amp;N</oddFooter>
  </headerFooter>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62"/>
  <sheetViews>
    <sheetView topLeftCell="A35" zoomScaleNormal="100" workbookViewId="0">
      <selection activeCell="F39" sqref="F39"/>
    </sheetView>
  </sheetViews>
  <sheetFormatPr defaultColWidth="9.140625" defaultRowHeight="18.75" x14ac:dyDescent="0.25"/>
  <cols>
    <col min="1" max="1" width="4.85546875" style="7" customWidth="1"/>
    <col min="2" max="2" width="43.28515625" style="7" customWidth="1"/>
    <col min="3" max="4" width="7.85546875" style="7" customWidth="1"/>
    <col min="5" max="8" width="11.7109375" style="7" customWidth="1"/>
    <col min="9" max="16384" width="9.140625" style="7"/>
  </cols>
  <sheetData>
    <row r="1" spans="1:8" ht="41.25" customHeight="1" x14ac:dyDescent="0.25">
      <c r="A1" s="549" t="s">
        <v>1074</v>
      </c>
      <c r="B1" s="555"/>
      <c r="C1" s="555"/>
      <c r="D1" s="555"/>
      <c r="E1" s="555"/>
      <c r="F1" s="555"/>
      <c r="G1" s="555"/>
      <c r="H1" s="555"/>
    </row>
    <row r="2" spans="1:8" x14ac:dyDescent="0.25">
      <c r="A2" s="136"/>
      <c r="B2" s="136"/>
      <c r="C2" s="136"/>
      <c r="D2" s="1"/>
      <c r="E2" s="1"/>
      <c r="F2" s="1"/>
      <c r="G2" s="1"/>
      <c r="H2" s="1"/>
    </row>
    <row r="3" spans="1:8" ht="39" customHeight="1" x14ac:dyDescent="0.25">
      <c r="B3" s="556" t="s">
        <v>1264</v>
      </c>
      <c r="C3" s="556"/>
      <c r="D3" s="556"/>
      <c r="E3" s="556"/>
      <c r="F3" s="556"/>
      <c r="G3" s="556"/>
      <c r="H3" s="556"/>
    </row>
    <row r="4" spans="1:8" x14ac:dyDescent="0.25">
      <c r="B4" s="7" t="s">
        <v>39</v>
      </c>
      <c r="D4" s="8"/>
      <c r="E4" s="8"/>
      <c r="F4" s="8"/>
      <c r="G4" s="8"/>
      <c r="H4" s="8"/>
    </row>
    <row r="5" spans="1:8" s="136" customFormat="1" x14ac:dyDescent="0.25">
      <c r="B5" s="3" t="s">
        <v>18</v>
      </c>
      <c r="F5" s="146"/>
    </row>
    <row r="6" spans="1:8" x14ac:dyDescent="0.25">
      <c r="B6" s="2" t="s">
        <v>23</v>
      </c>
      <c r="C6" s="558" t="s">
        <v>49</v>
      </c>
      <c r="D6" s="558"/>
      <c r="E6" s="558"/>
      <c r="F6" s="558"/>
      <c r="G6" s="558"/>
      <c r="H6" s="558"/>
    </row>
    <row r="7" spans="1:8" x14ac:dyDescent="0.25">
      <c r="A7" s="2"/>
      <c r="B7" s="2" t="s">
        <v>19</v>
      </c>
      <c r="C7" s="558" t="s">
        <v>50</v>
      </c>
      <c r="D7" s="558"/>
      <c r="E7" s="558"/>
      <c r="F7" s="558"/>
      <c r="G7" s="558"/>
      <c r="H7" s="558"/>
    </row>
    <row r="8" spans="1:8" hidden="1" x14ac:dyDescent="0.25">
      <c r="A8" s="2"/>
      <c r="B8" s="2" t="s">
        <v>90</v>
      </c>
      <c r="C8" s="558" t="s">
        <v>60</v>
      </c>
      <c r="D8" s="558"/>
      <c r="E8" s="558"/>
      <c r="F8" s="558"/>
      <c r="G8" s="558"/>
      <c r="H8" s="558"/>
    </row>
    <row r="9" spans="1:8" x14ac:dyDescent="0.25">
      <c r="A9" s="2"/>
      <c r="B9" s="2" t="s">
        <v>59</v>
      </c>
      <c r="C9" s="558" t="s">
        <v>60</v>
      </c>
      <c r="D9" s="558"/>
      <c r="E9" s="558"/>
      <c r="F9" s="558"/>
      <c r="G9" s="558"/>
      <c r="H9" s="558"/>
    </row>
    <row r="10" spans="1:8" hidden="1" x14ac:dyDescent="0.25">
      <c r="A10" s="2"/>
      <c r="B10" s="2" t="s">
        <v>20</v>
      </c>
      <c r="C10" s="558" t="s">
        <v>86</v>
      </c>
      <c r="D10" s="558"/>
      <c r="E10" s="558"/>
      <c r="F10" s="558"/>
      <c r="G10" s="558"/>
      <c r="H10" s="558"/>
    </row>
    <row r="11" spans="1:8" hidden="1" x14ac:dyDescent="0.25">
      <c r="A11" s="2"/>
      <c r="B11" s="2" t="s">
        <v>1205</v>
      </c>
      <c r="C11" s="137" t="s">
        <v>87</v>
      </c>
      <c r="D11" s="137"/>
      <c r="E11" s="137"/>
      <c r="F11" s="345"/>
      <c r="G11" s="137"/>
      <c r="H11" s="137"/>
    </row>
    <row r="12" spans="1:8" x14ac:dyDescent="0.25">
      <c r="A12" s="2"/>
      <c r="B12" s="2" t="s">
        <v>213</v>
      </c>
      <c r="C12" s="137" t="s">
        <v>88</v>
      </c>
      <c r="D12" s="137"/>
      <c r="E12" s="137"/>
      <c r="F12" s="345"/>
      <c r="G12" s="137"/>
      <c r="H12" s="137"/>
    </row>
    <row r="13" spans="1:8" hidden="1" x14ac:dyDescent="0.25">
      <c r="A13" s="2"/>
      <c r="B13" s="2" t="s">
        <v>94</v>
      </c>
      <c r="C13" s="137" t="s">
        <v>95</v>
      </c>
      <c r="D13" s="137"/>
      <c r="E13" s="137"/>
      <c r="F13" s="345"/>
      <c r="G13" s="137"/>
      <c r="H13" s="137"/>
    </row>
    <row r="14" spans="1:8" x14ac:dyDescent="0.25">
      <c r="A14" s="2"/>
      <c r="B14" s="2"/>
      <c r="C14" s="137"/>
      <c r="D14" s="137"/>
      <c r="E14" s="137"/>
      <c r="F14" s="345"/>
      <c r="G14" s="137"/>
      <c r="H14" s="137"/>
    </row>
    <row r="15" spans="1:8" s="136" customFormat="1" x14ac:dyDescent="0.25">
      <c r="A15" s="3"/>
      <c r="B15" s="3" t="s">
        <v>447</v>
      </c>
      <c r="C15" s="3"/>
      <c r="D15" s="3"/>
      <c r="E15" s="3"/>
      <c r="F15" s="3"/>
      <c r="G15" s="3"/>
      <c r="H15" s="3"/>
    </row>
    <row r="16" spans="1:8" x14ac:dyDescent="0.25">
      <c r="A16" s="2"/>
      <c r="B16" s="2" t="s">
        <v>1265</v>
      </c>
      <c r="C16" s="558" t="s">
        <v>106</v>
      </c>
      <c r="D16" s="558"/>
      <c r="E16" s="558"/>
      <c r="F16" s="558"/>
      <c r="G16" s="558"/>
      <c r="H16" s="558"/>
    </row>
    <row r="17" spans="1:8" hidden="1" x14ac:dyDescent="0.25">
      <c r="A17" s="2"/>
      <c r="B17" s="2" t="s">
        <v>20</v>
      </c>
      <c r="C17" s="137"/>
      <c r="D17" s="137"/>
      <c r="E17" s="137"/>
      <c r="F17" s="345"/>
      <c r="G17" s="137"/>
      <c r="H17" s="137"/>
    </row>
    <row r="18" spans="1:8" x14ac:dyDescent="0.25">
      <c r="A18" s="2"/>
      <c r="B18" s="2" t="s">
        <v>578</v>
      </c>
      <c r="C18" s="558" t="s">
        <v>108</v>
      </c>
      <c r="D18" s="558"/>
      <c r="E18" s="558"/>
      <c r="F18" s="558"/>
      <c r="G18" s="558"/>
      <c r="H18" s="558"/>
    </row>
    <row r="19" spans="1:8" hidden="1" x14ac:dyDescent="0.25">
      <c r="A19" s="2"/>
      <c r="B19" s="2" t="s">
        <v>20</v>
      </c>
      <c r="C19" s="558"/>
      <c r="D19" s="558"/>
      <c r="E19" s="558"/>
      <c r="F19" s="558"/>
      <c r="G19" s="558"/>
      <c r="H19" s="558"/>
    </row>
    <row r="20" spans="1:8" hidden="1" x14ac:dyDescent="0.25">
      <c r="A20" s="2"/>
      <c r="B20" s="2" t="s">
        <v>21</v>
      </c>
      <c r="C20" s="558"/>
      <c r="D20" s="558"/>
      <c r="E20" s="558"/>
      <c r="F20" s="558"/>
      <c r="G20" s="558"/>
      <c r="H20" s="558"/>
    </row>
    <row r="21" spans="1:8" hidden="1" x14ac:dyDescent="0.25">
      <c r="A21" s="2"/>
      <c r="B21" s="2" t="s">
        <v>21</v>
      </c>
      <c r="C21" s="558"/>
      <c r="D21" s="558"/>
      <c r="E21" s="558"/>
      <c r="F21" s="558"/>
      <c r="G21" s="558"/>
      <c r="H21" s="558"/>
    </row>
    <row r="22" spans="1:8" hidden="1" x14ac:dyDescent="0.25">
      <c r="A22" s="2"/>
      <c r="B22" s="2" t="s">
        <v>21</v>
      </c>
      <c r="C22" s="558"/>
      <c r="D22" s="558"/>
      <c r="E22" s="558"/>
      <c r="F22" s="558"/>
      <c r="G22" s="558"/>
      <c r="H22" s="558"/>
    </row>
    <row r="23" spans="1:8" ht="37.5" customHeight="1" x14ac:dyDescent="0.25">
      <c r="A23" s="2"/>
      <c r="B23" s="556" t="s">
        <v>1073</v>
      </c>
      <c r="C23" s="556"/>
      <c r="D23" s="556"/>
      <c r="E23" s="556"/>
      <c r="F23" s="556"/>
      <c r="G23" s="556"/>
      <c r="H23" s="556"/>
    </row>
    <row r="24" spans="1:8" x14ac:dyDescent="0.25">
      <c r="A24" s="4"/>
      <c r="H24" s="4" t="s">
        <v>61</v>
      </c>
    </row>
    <row r="25" spans="1:8" s="342" customFormat="1" ht="75" x14ac:dyDescent="0.25">
      <c r="A25" s="343" t="s">
        <v>62</v>
      </c>
      <c r="B25" s="343" t="s">
        <v>2</v>
      </c>
      <c r="C25" s="343" t="s">
        <v>17</v>
      </c>
      <c r="D25" s="346" t="s">
        <v>464</v>
      </c>
      <c r="E25" s="344" t="s">
        <v>1099</v>
      </c>
      <c r="F25" s="343" t="s">
        <v>9</v>
      </c>
      <c r="G25" s="343" t="s">
        <v>461</v>
      </c>
      <c r="H25" s="343" t="s">
        <v>1046</v>
      </c>
    </row>
    <row r="26" spans="1:8" s="136" customFormat="1" x14ac:dyDescent="0.25">
      <c r="A26" s="138"/>
      <c r="B26" s="138" t="s">
        <v>97</v>
      </c>
      <c r="C26" s="32"/>
      <c r="D26" s="32"/>
      <c r="E26" s="32">
        <f>E27+E31</f>
        <v>2990</v>
      </c>
      <c r="F26" s="32">
        <f>F27+F31</f>
        <v>2402</v>
      </c>
      <c r="G26" s="32">
        <f>G27+G31</f>
        <v>2434</v>
      </c>
      <c r="H26" s="32">
        <f>H27+H31</f>
        <v>2476</v>
      </c>
    </row>
    <row r="27" spans="1:8" s="136" customFormat="1" x14ac:dyDescent="0.25">
      <c r="A27" s="43" t="s">
        <v>52</v>
      </c>
      <c r="B27" s="44" t="s">
        <v>349</v>
      </c>
      <c r="C27" s="45"/>
      <c r="D27" s="45"/>
      <c r="E27" s="45">
        <f>+E28+E29-E30</f>
        <v>1815</v>
      </c>
      <c r="F27" s="45">
        <f>+F28+F29-F30</f>
        <v>1774</v>
      </c>
      <c r="G27" s="45">
        <f>+G28+G29-G30</f>
        <v>1837</v>
      </c>
      <c r="H27" s="45">
        <f>+H28+H29-H30</f>
        <v>1879</v>
      </c>
    </row>
    <row r="28" spans="1:8" ht="37.5" x14ac:dyDescent="0.25">
      <c r="A28" s="11">
        <v>1</v>
      </c>
      <c r="B28" s="12" t="s">
        <v>1086</v>
      </c>
      <c r="C28" s="21">
        <v>13</v>
      </c>
      <c r="D28" s="21">
        <v>12</v>
      </c>
      <c r="E28" s="21">
        <v>1537</v>
      </c>
      <c r="F28" s="21">
        <v>1516</v>
      </c>
      <c r="G28" s="21">
        <f>ROUND(E28+4*10.5,0)</f>
        <v>1579</v>
      </c>
      <c r="H28" s="21">
        <f>ROUND(G28+4*10.5,0)</f>
        <v>1621</v>
      </c>
    </row>
    <row r="29" spans="1:8" ht="37.5" x14ac:dyDescent="0.25">
      <c r="A29" s="11">
        <v>2</v>
      </c>
      <c r="B29" s="12" t="s">
        <v>1087</v>
      </c>
      <c r="C29" s="21">
        <v>13</v>
      </c>
      <c r="D29" s="21"/>
      <c r="E29" s="21">
        <v>308</v>
      </c>
      <c r="F29" s="21">
        <f>C29*22</f>
        <v>286</v>
      </c>
      <c r="G29" s="21">
        <f>F29</f>
        <v>286</v>
      </c>
      <c r="H29" s="21">
        <f>G29</f>
        <v>286</v>
      </c>
    </row>
    <row r="30" spans="1:8" ht="37.5" x14ac:dyDescent="0.25">
      <c r="A30" s="11">
        <v>3</v>
      </c>
      <c r="B30" s="12" t="s">
        <v>103</v>
      </c>
      <c r="C30" s="21"/>
      <c r="D30" s="21"/>
      <c r="E30" s="21">
        <v>30</v>
      </c>
      <c r="F30" s="21">
        <v>28</v>
      </c>
      <c r="G30" s="21">
        <f>F30</f>
        <v>28</v>
      </c>
      <c r="H30" s="21">
        <f>G30</f>
        <v>28</v>
      </c>
    </row>
    <row r="31" spans="1:8" s="136" customFormat="1" x14ac:dyDescent="0.25">
      <c r="A31" s="13" t="s">
        <v>52</v>
      </c>
      <c r="B31" s="14" t="s">
        <v>98</v>
      </c>
      <c r="C31" s="22"/>
      <c r="D31" s="22"/>
      <c r="E31" s="22">
        <f>SUM(E32:E40)</f>
        <v>1175</v>
      </c>
      <c r="F31" s="22">
        <f>SUM(F32:F40)</f>
        <v>628</v>
      </c>
      <c r="G31" s="22">
        <f>SUM(G32:G40)</f>
        <v>597</v>
      </c>
      <c r="H31" s="22">
        <f>SUM(H32:H40)</f>
        <v>597</v>
      </c>
    </row>
    <row r="32" spans="1:8" s="49" customFormat="1" x14ac:dyDescent="0.25">
      <c r="A32" s="58" t="s">
        <v>99</v>
      </c>
      <c r="B32" s="59" t="s">
        <v>1188</v>
      </c>
      <c r="C32" s="60"/>
      <c r="D32" s="60"/>
      <c r="E32" s="60">
        <v>14</v>
      </c>
      <c r="F32" s="60">
        <f>E32+6</f>
        <v>20</v>
      </c>
      <c r="G32" s="60">
        <f>E32</f>
        <v>14</v>
      </c>
      <c r="H32" s="60">
        <f>G32</f>
        <v>14</v>
      </c>
    </row>
    <row r="33" spans="1:8" s="49" customFormat="1" ht="37.5" x14ac:dyDescent="0.25">
      <c r="A33" s="58" t="s">
        <v>99</v>
      </c>
      <c r="B33" s="59" t="s">
        <v>579</v>
      </c>
      <c r="C33" s="60"/>
      <c r="D33" s="60"/>
      <c r="E33" s="60">
        <v>140</v>
      </c>
      <c r="F33" s="60">
        <f>E33</f>
        <v>140</v>
      </c>
      <c r="G33" s="60">
        <f>E33</f>
        <v>140</v>
      </c>
      <c r="H33" s="60">
        <f>G33</f>
        <v>140</v>
      </c>
    </row>
    <row r="34" spans="1:8" s="49" customFormat="1" ht="56.25" x14ac:dyDescent="0.25">
      <c r="A34" s="58" t="s">
        <v>99</v>
      </c>
      <c r="B34" s="12" t="s">
        <v>580</v>
      </c>
      <c r="C34" s="60"/>
      <c r="D34" s="60"/>
      <c r="E34" s="60">
        <v>409</v>
      </c>
      <c r="F34" s="60"/>
      <c r="G34" s="60"/>
      <c r="H34" s="60"/>
    </row>
    <row r="35" spans="1:8" s="49" customFormat="1" x14ac:dyDescent="0.25">
      <c r="A35" s="58" t="s">
        <v>99</v>
      </c>
      <c r="B35" s="59" t="s">
        <v>450</v>
      </c>
      <c r="C35" s="60"/>
      <c r="D35" s="60"/>
      <c r="E35" s="60">
        <v>90</v>
      </c>
      <c r="F35" s="60">
        <v>84</v>
      </c>
      <c r="G35" s="60">
        <f t="shared" ref="G35:H37" si="0">F35</f>
        <v>84</v>
      </c>
      <c r="H35" s="60">
        <f t="shared" si="0"/>
        <v>84</v>
      </c>
    </row>
    <row r="36" spans="1:8" s="49" customFormat="1" ht="37.5" x14ac:dyDescent="0.25">
      <c r="A36" s="58" t="s">
        <v>99</v>
      </c>
      <c r="B36" s="59" t="s">
        <v>1262</v>
      </c>
      <c r="C36" s="60"/>
      <c r="D36" s="60"/>
      <c r="E36" s="60">
        <v>195</v>
      </c>
      <c r="F36" s="60">
        <v>115</v>
      </c>
      <c r="G36" s="60">
        <f t="shared" si="0"/>
        <v>115</v>
      </c>
      <c r="H36" s="60">
        <f t="shared" si="0"/>
        <v>115</v>
      </c>
    </row>
    <row r="37" spans="1:8" s="49" customFormat="1" ht="37.5" x14ac:dyDescent="0.25">
      <c r="A37" s="58"/>
      <c r="B37" s="59" t="s">
        <v>1261</v>
      </c>
      <c r="C37" s="60"/>
      <c r="D37" s="60"/>
      <c r="E37" s="60">
        <v>25</v>
      </c>
      <c r="F37" s="60">
        <v>20</v>
      </c>
      <c r="G37" s="60">
        <f t="shared" si="0"/>
        <v>20</v>
      </c>
      <c r="H37" s="60">
        <f t="shared" si="0"/>
        <v>20</v>
      </c>
    </row>
    <row r="38" spans="1:8" s="49" customFormat="1" x14ac:dyDescent="0.25">
      <c r="A38" s="58" t="s">
        <v>99</v>
      </c>
      <c r="B38" s="59" t="s">
        <v>581</v>
      </c>
      <c r="C38" s="60"/>
      <c r="D38" s="60"/>
      <c r="E38" s="60">
        <f>45+7</f>
        <v>52</v>
      </c>
      <c r="F38" s="60"/>
      <c r="G38" s="60"/>
      <c r="H38" s="60"/>
    </row>
    <row r="39" spans="1:8" s="49" customFormat="1" x14ac:dyDescent="0.25">
      <c r="A39" s="58" t="s">
        <v>99</v>
      </c>
      <c r="B39" s="59" t="s">
        <v>1260</v>
      </c>
      <c r="C39" s="60"/>
      <c r="D39" s="60"/>
      <c r="E39" s="60"/>
      <c r="F39" s="60">
        <f>20+5</f>
        <v>25</v>
      </c>
      <c r="G39" s="60"/>
      <c r="H39" s="60"/>
    </row>
    <row r="40" spans="1:8" s="49" customFormat="1" ht="150" x14ac:dyDescent="0.25">
      <c r="A40" s="58" t="s">
        <v>99</v>
      </c>
      <c r="B40" s="59" t="s">
        <v>1266</v>
      </c>
      <c r="C40" s="60"/>
      <c r="D40" s="60"/>
      <c r="E40" s="60">
        <v>250</v>
      </c>
      <c r="F40" s="60">
        <v>224</v>
      </c>
      <c r="G40" s="60">
        <f>F40</f>
        <v>224</v>
      </c>
      <c r="H40" s="60">
        <f>G40</f>
        <v>224</v>
      </c>
    </row>
    <row r="41" spans="1:8" s="49" customFormat="1" hidden="1" x14ac:dyDescent="0.25">
      <c r="A41" s="58" t="s">
        <v>99</v>
      </c>
      <c r="B41" s="59"/>
      <c r="C41" s="60"/>
      <c r="D41" s="60"/>
      <c r="E41" s="60"/>
      <c r="F41" s="60"/>
      <c r="G41" s="60"/>
      <c r="H41" s="60"/>
    </row>
    <row r="42" spans="1:8" s="49" customFormat="1" hidden="1" x14ac:dyDescent="0.25">
      <c r="A42" s="58" t="s">
        <v>99</v>
      </c>
      <c r="B42" s="59"/>
      <c r="C42" s="60"/>
      <c r="D42" s="60"/>
      <c r="E42" s="60"/>
      <c r="F42" s="60"/>
      <c r="G42" s="60"/>
      <c r="H42" s="60"/>
    </row>
    <row r="43" spans="1:8" s="50" customFormat="1" hidden="1" x14ac:dyDescent="0.25">
      <c r="A43" s="62" t="s">
        <v>7</v>
      </c>
      <c r="B43" s="63" t="s">
        <v>83</v>
      </c>
      <c r="C43" s="64"/>
      <c r="D43" s="64"/>
      <c r="E43" s="64">
        <f>E44</f>
        <v>0</v>
      </c>
      <c r="F43" s="64"/>
      <c r="G43" s="64">
        <f>G44</f>
        <v>0</v>
      </c>
      <c r="H43" s="64">
        <f>H44</f>
        <v>0</v>
      </c>
    </row>
    <row r="44" spans="1:8" s="49" customFormat="1" hidden="1" x14ac:dyDescent="0.25">
      <c r="A44" s="58" t="s">
        <v>99</v>
      </c>
      <c r="B44" s="59"/>
      <c r="C44" s="60"/>
      <c r="D44" s="60"/>
      <c r="E44" s="60"/>
      <c r="F44" s="60"/>
      <c r="G44" s="60">
        <f>E44</f>
        <v>0</v>
      </c>
      <c r="H44" s="60">
        <f>G44</f>
        <v>0</v>
      </c>
    </row>
    <row r="45" spans="1:8" s="49" customFormat="1" hidden="1" x14ac:dyDescent="0.3">
      <c r="A45" s="58"/>
      <c r="B45" s="65"/>
      <c r="C45" s="60"/>
      <c r="D45" s="60"/>
      <c r="E45" s="60"/>
      <c r="F45" s="60"/>
      <c r="G45" s="60"/>
      <c r="H45" s="60"/>
    </row>
    <row r="46" spans="1:8" s="49" customFormat="1" hidden="1" x14ac:dyDescent="0.25">
      <c r="A46" s="58"/>
      <c r="B46" s="59"/>
      <c r="C46" s="60"/>
      <c r="D46" s="60"/>
      <c r="E46" s="60"/>
      <c r="F46" s="60"/>
      <c r="G46" s="60"/>
      <c r="H46" s="60"/>
    </row>
    <row r="47" spans="1:8" s="49" customFormat="1" hidden="1" x14ac:dyDescent="0.25">
      <c r="A47" s="58" t="s">
        <v>99</v>
      </c>
      <c r="B47" s="59"/>
      <c r="C47" s="60"/>
      <c r="D47" s="60"/>
      <c r="E47" s="60"/>
      <c r="F47" s="60"/>
      <c r="G47" s="60"/>
      <c r="H47" s="60"/>
    </row>
    <row r="48" spans="1:8" s="49" customFormat="1" hidden="1" x14ac:dyDescent="0.25">
      <c r="A48" s="58" t="s">
        <v>99</v>
      </c>
      <c r="B48" s="59"/>
      <c r="C48" s="60"/>
      <c r="D48" s="60"/>
      <c r="E48" s="60"/>
      <c r="F48" s="60"/>
      <c r="G48" s="60"/>
      <c r="H48" s="60"/>
    </row>
    <row r="49" spans="1:8" s="49" customFormat="1" hidden="1" x14ac:dyDescent="0.25">
      <c r="A49" s="58" t="s">
        <v>99</v>
      </c>
      <c r="B49" s="59"/>
      <c r="C49" s="60"/>
      <c r="D49" s="60"/>
      <c r="E49" s="60"/>
      <c r="F49" s="60"/>
      <c r="G49" s="60"/>
      <c r="H49" s="60"/>
    </row>
    <row r="50" spans="1:8" s="50" customFormat="1" hidden="1" x14ac:dyDescent="0.25">
      <c r="A50" s="62">
        <v>2</v>
      </c>
      <c r="B50" s="63" t="s">
        <v>82</v>
      </c>
      <c r="C50" s="64"/>
      <c r="D50" s="64"/>
      <c r="E50" s="64">
        <f>E51</f>
        <v>0</v>
      </c>
      <c r="F50" s="64"/>
      <c r="G50" s="64">
        <f>G51</f>
        <v>0</v>
      </c>
      <c r="H50" s="64">
        <f>H51</f>
        <v>0</v>
      </c>
    </row>
    <row r="51" spans="1:8" s="49" customFormat="1" hidden="1" x14ac:dyDescent="0.3">
      <c r="A51" s="58" t="s">
        <v>99</v>
      </c>
      <c r="B51" s="65"/>
      <c r="C51" s="60"/>
      <c r="D51" s="60"/>
      <c r="E51" s="60"/>
      <c r="F51" s="60"/>
      <c r="G51" s="60">
        <f>E51</f>
        <v>0</v>
      </c>
      <c r="H51" s="60">
        <f>G51</f>
        <v>0</v>
      </c>
    </row>
    <row r="52" spans="1:8" s="50" customFormat="1" hidden="1" x14ac:dyDescent="0.3">
      <c r="A52" s="62">
        <v>3</v>
      </c>
      <c r="B52" s="66" t="s">
        <v>83</v>
      </c>
      <c r="C52" s="64"/>
      <c r="D52" s="64"/>
      <c r="E52" s="64">
        <f>E53</f>
        <v>0</v>
      </c>
      <c r="F52" s="64"/>
      <c r="G52" s="64">
        <f>G53</f>
        <v>0</v>
      </c>
      <c r="H52" s="64">
        <f>H53</f>
        <v>0</v>
      </c>
    </row>
    <row r="53" spans="1:8" s="49" customFormat="1" hidden="1" x14ac:dyDescent="0.25">
      <c r="A53" s="58" t="s">
        <v>99</v>
      </c>
      <c r="B53" s="59"/>
      <c r="C53" s="60"/>
      <c r="D53" s="60"/>
      <c r="E53" s="60"/>
      <c r="F53" s="60"/>
      <c r="G53" s="60"/>
      <c r="H53" s="60"/>
    </row>
    <row r="54" spans="1:8" s="49" customFormat="1" hidden="1" x14ac:dyDescent="0.25">
      <c r="A54" s="58"/>
      <c r="B54" s="59"/>
      <c r="C54" s="60"/>
      <c r="D54" s="60"/>
      <c r="E54" s="60"/>
      <c r="F54" s="60"/>
      <c r="G54" s="60"/>
      <c r="H54" s="60"/>
    </row>
    <row r="55" spans="1:8" s="49" customFormat="1" hidden="1" x14ac:dyDescent="0.25">
      <c r="A55" s="58"/>
      <c r="B55" s="59"/>
      <c r="C55" s="60"/>
      <c r="D55" s="60"/>
      <c r="E55" s="60"/>
      <c r="F55" s="60"/>
      <c r="G55" s="60"/>
      <c r="H55" s="60"/>
    </row>
    <row r="56" spans="1:8" s="49" customFormat="1" hidden="1" x14ac:dyDescent="0.25">
      <c r="A56" s="58"/>
      <c r="B56" s="59"/>
      <c r="C56" s="60"/>
      <c r="D56" s="60"/>
      <c r="E56" s="60"/>
      <c r="F56" s="60"/>
      <c r="G56" s="60"/>
      <c r="H56" s="60"/>
    </row>
    <row r="57" spans="1:8" s="49" customFormat="1" hidden="1" x14ac:dyDescent="0.25">
      <c r="A57" s="58"/>
      <c r="B57" s="59"/>
      <c r="C57" s="60"/>
      <c r="D57" s="60"/>
      <c r="E57" s="60"/>
      <c r="F57" s="60"/>
      <c r="G57" s="60"/>
      <c r="H57" s="60"/>
    </row>
    <row r="58" spans="1:8" s="49" customFormat="1" x14ac:dyDescent="0.25">
      <c r="A58" s="67"/>
      <c r="B58" s="68"/>
      <c r="C58" s="69"/>
      <c r="D58" s="69"/>
      <c r="E58" s="69"/>
      <c r="F58" s="69"/>
      <c r="G58" s="69"/>
      <c r="H58" s="69"/>
    </row>
    <row r="59" spans="1:8" ht="39" customHeight="1" x14ac:dyDescent="0.25">
      <c r="A59" s="30"/>
      <c r="B59" s="567" t="s">
        <v>1263</v>
      </c>
      <c r="C59" s="567"/>
      <c r="D59" s="567"/>
      <c r="E59" s="567"/>
      <c r="F59" s="567"/>
      <c r="G59" s="567"/>
      <c r="H59" s="567"/>
    </row>
    <row r="60" spans="1:8" x14ac:dyDescent="0.25">
      <c r="A60" s="2"/>
      <c r="B60" s="7" t="s">
        <v>1211</v>
      </c>
    </row>
    <row r="61" spans="1:8" x14ac:dyDescent="0.25">
      <c r="A61" s="2"/>
    </row>
    <row r="62" spans="1:8" x14ac:dyDescent="0.25">
      <c r="A62" s="550" t="s">
        <v>36</v>
      </c>
      <c r="B62" s="550"/>
      <c r="D62" s="550" t="s">
        <v>37</v>
      </c>
      <c r="E62" s="550"/>
      <c r="F62" s="550"/>
      <c r="G62" s="550"/>
      <c r="H62" s="550"/>
    </row>
  </sheetData>
  <mergeCells count="17">
    <mergeCell ref="B59:H59"/>
    <mergeCell ref="A62:B62"/>
    <mergeCell ref="D62:H62"/>
    <mergeCell ref="C21:H21"/>
    <mergeCell ref="C22:H22"/>
    <mergeCell ref="B23:H23"/>
    <mergeCell ref="C20:H20"/>
    <mergeCell ref="A1:H1"/>
    <mergeCell ref="B3:H3"/>
    <mergeCell ref="C6:H6"/>
    <mergeCell ref="C7:H7"/>
    <mergeCell ref="C8:H8"/>
    <mergeCell ref="C9:H9"/>
    <mergeCell ref="C10:H10"/>
    <mergeCell ref="C16:H16"/>
    <mergeCell ref="C18:H18"/>
    <mergeCell ref="C19:H19"/>
  </mergeCells>
  <printOptions horizontalCentered="1"/>
  <pageMargins left="0.25" right="0.25" top="1" bottom="1" header="0.31496062992126" footer="0.31496062992126"/>
  <pageSetup paperSize="9" scale="86" orientation="portrait" r:id="rId1"/>
  <headerFooter>
    <oddFooter>&amp;C&amp;P/&amp;N</oddFooter>
  </headerFooter>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53"/>
  <sheetViews>
    <sheetView topLeftCell="A40" zoomScaleNormal="100" workbookViewId="0">
      <selection activeCell="F47" sqref="F47"/>
    </sheetView>
  </sheetViews>
  <sheetFormatPr defaultColWidth="9.140625" defaultRowHeight="18.75" x14ac:dyDescent="0.25"/>
  <cols>
    <col min="1" max="1" width="4.85546875" style="7" customWidth="1"/>
    <col min="2" max="2" width="43.28515625" style="7" customWidth="1"/>
    <col min="3" max="4" width="7.85546875" style="7" customWidth="1"/>
    <col min="5" max="8" width="11.7109375" style="7" customWidth="1"/>
    <col min="9" max="16384" width="9.140625" style="7"/>
  </cols>
  <sheetData>
    <row r="1" spans="1:8" ht="41.25" customHeight="1" x14ac:dyDescent="0.25">
      <c r="A1" s="549" t="s">
        <v>1074</v>
      </c>
      <c r="B1" s="555"/>
      <c r="C1" s="555"/>
      <c r="D1" s="555"/>
      <c r="E1" s="555"/>
      <c r="F1" s="555"/>
      <c r="G1" s="555"/>
      <c r="H1" s="555"/>
    </row>
    <row r="2" spans="1:8" x14ac:dyDescent="0.25">
      <c r="A2" s="144"/>
      <c r="B2" s="144"/>
      <c r="C2" s="144"/>
      <c r="D2" s="1"/>
      <c r="E2" s="1"/>
      <c r="F2" s="1"/>
      <c r="G2" s="1"/>
      <c r="H2" s="1"/>
    </row>
    <row r="3" spans="1:8" ht="40.5" customHeight="1" x14ac:dyDescent="0.25">
      <c r="B3" s="565" t="s">
        <v>1279</v>
      </c>
      <c r="C3" s="565"/>
      <c r="D3" s="565"/>
      <c r="E3" s="565"/>
      <c r="F3" s="565"/>
      <c r="G3" s="565"/>
      <c r="H3" s="565"/>
    </row>
    <row r="4" spans="1:8" x14ac:dyDescent="0.25">
      <c r="B4" s="7" t="s">
        <v>39</v>
      </c>
      <c r="D4" s="8"/>
      <c r="E4" s="8"/>
      <c r="F4" s="8"/>
      <c r="G4" s="8"/>
      <c r="H4" s="8"/>
    </row>
    <row r="5" spans="1:8" s="144" customFormat="1" x14ac:dyDescent="0.25">
      <c r="B5" s="3" t="s">
        <v>18</v>
      </c>
      <c r="F5" s="146"/>
    </row>
    <row r="6" spans="1:8" x14ac:dyDescent="0.25">
      <c r="B6" s="2" t="s">
        <v>23</v>
      </c>
      <c r="C6" s="558" t="s">
        <v>49</v>
      </c>
      <c r="D6" s="558"/>
      <c r="E6" s="558"/>
      <c r="F6" s="558"/>
      <c r="G6" s="558"/>
      <c r="H6" s="558"/>
    </row>
    <row r="7" spans="1:8" x14ac:dyDescent="0.25">
      <c r="A7" s="2"/>
      <c r="B7" s="2" t="s">
        <v>19</v>
      </c>
      <c r="C7" s="558" t="s">
        <v>50</v>
      </c>
      <c r="D7" s="558"/>
      <c r="E7" s="558"/>
      <c r="F7" s="558"/>
      <c r="G7" s="558"/>
      <c r="H7" s="558"/>
    </row>
    <row r="8" spans="1:8" hidden="1" x14ac:dyDescent="0.25">
      <c r="A8" s="2"/>
      <c r="B8" s="2" t="s">
        <v>90</v>
      </c>
      <c r="C8" s="558" t="s">
        <v>60</v>
      </c>
      <c r="D8" s="558"/>
      <c r="E8" s="558"/>
      <c r="F8" s="558"/>
      <c r="G8" s="558"/>
      <c r="H8" s="558"/>
    </row>
    <row r="9" spans="1:8" x14ac:dyDescent="0.25">
      <c r="A9" s="2"/>
      <c r="B9" s="2" t="s">
        <v>59</v>
      </c>
      <c r="C9" s="558" t="s">
        <v>60</v>
      </c>
      <c r="D9" s="558"/>
      <c r="E9" s="558"/>
      <c r="F9" s="558"/>
      <c r="G9" s="558"/>
      <c r="H9" s="558"/>
    </row>
    <row r="10" spans="1:8" hidden="1" x14ac:dyDescent="0.25">
      <c r="A10" s="2"/>
      <c r="B10" s="2" t="s">
        <v>20</v>
      </c>
      <c r="C10" s="558" t="s">
        <v>86</v>
      </c>
      <c r="D10" s="558"/>
      <c r="E10" s="558"/>
      <c r="F10" s="558"/>
      <c r="G10" s="558"/>
      <c r="H10" s="558"/>
    </row>
    <row r="11" spans="1:8" x14ac:dyDescent="0.25">
      <c r="A11" s="2"/>
      <c r="B11" s="2" t="s">
        <v>1205</v>
      </c>
      <c r="C11" s="145" t="s">
        <v>87</v>
      </c>
      <c r="D11" s="145"/>
      <c r="E11" s="145"/>
      <c r="F11" s="345"/>
      <c r="G11" s="145"/>
      <c r="H11" s="145"/>
    </row>
    <row r="12" spans="1:8" x14ac:dyDescent="0.25">
      <c r="A12" s="2"/>
      <c r="B12" s="2" t="s">
        <v>213</v>
      </c>
      <c r="C12" s="145" t="s">
        <v>88</v>
      </c>
      <c r="D12" s="145"/>
      <c r="E12" s="145"/>
      <c r="F12" s="345"/>
      <c r="G12" s="145"/>
      <c r="H12" s="145"/>
    </row>
    <row r="13" spans="1:8" hidden="1" x14ac:dyDescent="0.25">
      <c r="A13" s="2"/>
      <c r="B13" s="2" t="s">
        <v>94</v>
      </c>
      <c r="C13" s="145" t="s">
        <v>95</v>
      </c>
      <c r="D13" s="145"/>
      <c r="E13" s="145"/>
      <c r="F13" s="345"/>
      <c r="G13" s="145"/>
      <c r="H13" s="145"/>
    </row>
    <row r="14" spans="1:8" x14ac:dyDescent="0.25">
      <c r="A14" s="2"/>
      <c r="B14" s="2"/>
      <c r="C14" s="145"/>
      <c r="D14" s="145"/>
      <c r="E14" s="145"/>
      <c r="F14" s="345"/>
      <c r="G14" s="145"/>
      <c r="H14" s="145"/>
    </row>
    <row r="15" spans="1:8" hidden="1" x14ac:dyDescent="0.25">
      <c r="A15" s="2"/>
      <c r="B15" s="2" t="s">
        <v>21</v>
      </c>
      <c r="C15" s="558"/>
      <c r="D15" s="558"/>
      <c r="E15" s="558"/>
      <c r="F15" s="558"/>
      <c r="G15" s="558"/>
      <c r="H15" s="558"/>
    </row>
    <row r="16" spans="1:8" s="144" customFormat="1" x14ac:dyDescent="0.25">
      <c r="A16" s="3"/>
      <c r="B16" s="3" t="s">
        <v>126</v>
      </c>
      <c r="C16" s="3"/>
      <c r="D16" s="3"/>
      <c r="E16" s="3"/>
      <c r="F16" s="3"/>
      <c r="G16" s="3"/>
      <c r="H16" s="3"/>
    </row>
    <row r="17" spans="1:8" x14ac:dyDescent="0.25">
      <c r="A17" s="2"/>
      <c r="B17" s="2" t="s">
        <v>130</v>
      </c>
      <c r="C17" s="558" t="s">
        <v>131</v>
      </c>
      <c r="D17" s="558"/>
      <c r="E17" s="558"/>
      <c r="F17" s="558"/>
      <c r="G17" s="558"/>
      <c r="H17" s="558"/>
    </row>
    <row r="18" spans="1:8" hidden="1" x14ac:dyDescent="0.25">
      <c r="A18" s="2"/>
      <c r="B18" s="2" t="s">
        <v>127</v>
      </c>
      <c r="C18" s="145" t="s">
        <v>128</v>
      </c>
      <c r="D18" s="145"/>
      <c r="E18" s="145"/>
      <c r="F18" s="345"/>
      <c r="G18" s="145"/>
      <c r="H18" s="145"/>
    </row>
    <row r="19" spans="1:8" x14ac:dyDescent="0.25">
      <c r="A19" s="2"/>
      <c r="B19" s="2" t="s">
        <v>129</v>
      </c>
      <c r="C19" s="558" t="s">
        <v>108</v>
      </c>
      <c r="D19" s="558"/>
      <c r="E19" s="558"/>
      <c r="F19" s="558"/>
      <c r="G19" s="558"/>
      <c r="H19" s="558"/>
    </row>
    <row r="20" spans="1:8" hidden="1" x14ac:dyDescent="0.25">
      <c r="A20" s="2"/>
      <c r="B20" s="2" t="s">
        <v>91</v>
      </c>
      <c r="C20" s="558"/>
      <c r="D20" s="558"/>
      <c r="E20" s="558"/>
      <c r="F20" s="558"/>
      <c r="G20" s="558"/>
      <c r="H20" s="558"/>
    </row>
    <row r="21" spans="1:8" hidden="1" x14ac:dyDescent="0.25">
      <c r="A21" s="2"/>
      <c r="B21" s="2" t="s">
        <v>21</v>
      </c>
      <c r="C21" s="558"/>
      <c r="D21" s="558"/>
      <c r="E21" s="558"/>
      <c r="F21" s="558"/>
      <c r="G21" s="558"/>
      <c r="H21" s="558"/>
    </row>
    <row r="22" spans="1:8" hidden="1" x14ac:dyDescent="0.25">
      <c r="A22" s="2"/>
      <c r="B22" s="2" t="s">
        <v>21</v>
      </c>
      <c r="C22" s="558"/>
      <c r="D22" s="558"/>
      <c r="E22" s="558"/>
      <c r="F22" s="558"/>
      <c r="G22" s="558"/>
      <c r="H22" s="558"/>
    </row>
    <row r="23" spans="1:8" hidden="1" x14ac:dyDescent="0.25">
      <c r="A23" s="2"/>
      <c r="B23" s="2" t="s">
        <v>21</v>
      </c>
      <c r="C23" s="558"/>
      <c r="D23" s="558"/>
      <c r="E23" s="558"/>
      <c r="F23" s="558"/>
      <c r="G23" s="558"/>
      <c r="H23" s="558"/>
    </row>
    <row r="24" spans="1:8" ht="39.75" customHeight="1" x14ac:dyDescent="0.25">
      <c r="A24" s="2"/>
      <c r="B24" s="556" t="s">
        <v>1073</v>
      </c>
      <c r="C24" s="556"/>
      <c r="D24" s="556"/>
      <c r="E24" s="556"/>
      <c r="F24" s="556"/>
      <c r="G24" s="556"/>
      <c r="H24" s="556"/>
    </row>
    <row r="25" spans="1:8" x14ac:dyDescent="0.25">
      <c r="A25" s="4"/>
      <c r="H25" s="4" t="s">
        <v>61</v>
      </c>
    </row>
    <row r="26" spans="1:8" s="342" customFormat="1" ht="75" x14ac:dyDescent="0.25">
      <c r="A26" s="360" t="s">
        <v>1280</v>
      </c>
      <c r="B26" s="360" t="s">
        <v>2</v>
      </c>
      <c r="C26" s="360" t="s">
        <v>17</v>
      </c>
      <c r="D26" s="361" t="s">
        <v>464</v>
      </c>
      <c r="E26" s="360" t="s">
        <v>1099</v>
      </c>
      <c r="F26" s="360" t="s">
        <v>9</v>
      </c>
      <c r="G26" s="360" t="s">
        <v>461</v>
      </c>
      <c r="H26" s="361" t="s">
        <v>1046</v>
      </c>
    </row>
    <row r="27" spans="1:8" s="144" customFormat="1" x14ac:dyDescent="0.25">
      <c r="A27" s="360"/>
      <c r="B27" s="360" t="s">
        <v>97</v>
      </c>
      <c r="C27" s="32"/>
      <c r="D27" s="32"/>
      <c r="E27" s="32">
        <f>E28+E32</f>
        <v>3910</v>
      </c>
      <c r="F27" s="32">
        <f>F28+F32</f>
        <v>4463</v>
      </c>
      <c r="G27" s="32">
        <f>G28+G32</f>
        <v>4353</v>
      </c>
      <c r="H27" s="32">
        <f>H28+H32</f>
        <v>4427</v>
      </c>
    </row>
    <row r="28" spans="1:8" s="144" customFormat="1" ht="21" customHeight="1" x14ac:dyDescent="0.25">
      <c r="A28" s="9" t="s">
        <v>51</v>
      </c>
      <c r="B28" s="10" t="s">
        <v>1081</v>
      </c>
      <c r="C28" s="20"/>
      <c r="D28" s="20"/>
      <c r="E28" s="20">
        <f>+E29+E30-E31</f>
        <v>3240</v>
      </c>
      <c r="F28" s="20">
        <f>+F29+F30-F31</f>
        <v>3290</v>
      </c>
      <c r="G28" s="20">
        <f>+G29+G30-G31</f>
        <v>3364</v>
      </c>
      <c r="H28" s="20">
        <f>+H29+H30-H31</f>
        <v>3438</v>
      </c>
    </row>
    <row r="29" spans="1:8" ht="37.5" x14ac:dyDescent="0.25">
      <c r="A29" s="11">
        <v>1</v>
      </c>
      <c r="B29" s="12" t="s">
        <v>1082</v>
      </c>
      <c r="C29" s="21">
        <v>21</v>
      </c>
      <c r="D29" s="21">
        <v>21</v>
      </c>
      <c r="E29" s="21">
        <v>2824</v>
      </c>
      <c r="F29" s="21">
        <v>2893</v>
      </c>
      <c r="G29" s="60">
        <f>ROUND(F29+10.5*7,0)</f>
        <v>2967</v>
      </c>
      <c r="H29" s="60">
        <f>ROUND(G29+10.5*7,0)</f>
        <v>3041</v>
      </c>
    </row>
    <row r="30" spans="1:8" ht="37.5" x14ac:dyDescent="0.25">
      <c r="A30" s="11">
        <v>2</v>
      </c>
      <c r="B30" s="12" t="s">
        <v>174</v>
      </c>
      <c r="C30" s="21">
        <v>21</v>
      </c>
      <c r="D30" s="21"/>
      <c r="E30" s="21">
        <v>462</v>
      </c>
      <c r="F30" s="21">
        <f>+C30*21</f>
        <v>441</v>
      </c>
      <c r="G30" s="21">
        <f>+F30</f>
        <v>441</v>
      </c>
      <c r="H30" s="21">
        <f>G30</f>
        <v>441</v>
      </c>
    </row>
    <row r="31" spans="1:8" ht="37.5" x14ac:dyDescent="0.25">
      <c r="A31" s="11">
        <v>3</v>
      </c>
      <c r="B31" s="12" t="s">
        <v>103</v>
      </c>
      <c r="C31" s="21"/>
      <c r="D31" s="21"/>
      <c r="E31" s="21">
        <v>46</v>
      </c>
      <c r="F31" s="21">
        <v>44</v>
      </c>
      <c r="G31" s="21">
        <f>+F31</f>
        <v>44</v>
      </c>
      <c r="H31" s="21">
        <f>G31</f>
        <v>44</v>
      </c>
    </row>
    <row r="32" spans="1:8" s="144" customFormat="1" x14ac:dyDescent="0.25">
      <c r="A32" s="13" t="s">
        <v>52</v>
      </c>
      <c r="B32" s="14" t="s">
        <v>98</v>
      </c>
      <c r="C32" s="22"/>
      <c r="D32" s="22"/>
      <c r="E32" s="22">
        <v>670</v>
      </c>
      <c r="F32" s="22">
        <f>SUM(F34:F48)</f>
        <v>1173</v>
      </c>
      <c r="G32" s="22">
        <f>F32-F41-F42</f>
        <v>989</v>
      </c>
      <c r="H32" s="22">
        <f>G32</f>
        <v>989</v>
      </c>
    </row>
    <row r="33" spans="1:8" s="144" customFormat="1" hidden="1" x14ac:dyDescent="0.25">
      <c r="A33" s="13">
        <v>1</v>
      </c>
      <c r="B33" s="14" t="s">
        <v>81</v>
      </c>
      <c r="C33" s="22"/>
      <c r="D33" s="22"/>
      <c r="E33" s="22">
        <f>SUM(E34:E35)</f>
        <v>14</v>
      </c>
      <c r="F33" s="22"/>
      <c r="G33" s="22">
        <f>SUM(G34:G35)</f>
        <v>0</v>
      </c>
      <c r="H33" s="22">
        <f>SUM(H34:H35)</f>
        <v>0</v>
      </c>
    </row>
    <row r="34" spans="1:8" x14ac:dyDescent="0.25">
      <c r="A34" s="11" t="s">
        <v>99</v>
      </c>
      <c r="B34" s="12" t="s">
        <v>1188</v>
      </c>
      <c r="C34" s="21"/>
      <c r="D34" s="21"/>
      <c r="E34" s="21">
        <v>14</v>
      </c>
      <c r="F34" s="21">
        <f>14+10</f>
        <v>24</v>
      </c>
      <c r="G34" s="21"/>
      <c r="H34" s="21"/>
    </row>
    <row r="35" spans="1:8" hidden="1" x14ac:dyDescent="0.3">
      <c r="A35" s="11" t="s">
        <v>99</v>
      </c>
      <c r="B35" s="33" t="s">
        <v>132</v>
      </c>
      <c r="C35" s="21"/>
      <c r="D35" s="21"/>
      <c r="E35" s="21"/>
      <c r="F35" s="21"/>
      <c r="G35" s="21"/>
      <c r="H35" s="21"/>
    </row>
    <row r="36" spans="1:8" ht="75" x14ac:dyDescent="0.25">
      <c r="A36" s="11" t="s">
        <v>99</v>
      </c>
      <c r="B36" s="12" t="s">
        <v>1269</v>
      </c>
      <c r="C36" s="21"/>
      <c r="D36" s="21"/>
      <c r="E36" s="21"/>
      <c r="F36" s="121">
        <v>104</v>
      </c>
      <c r="G36" s="21"/>
      <c r="H36" s="21"/>
    </row>
    <row r="37" spans="1:8" ht="75" x14ac:dyDescent="0.25">
      <c r="A37" s="11" t="s">
        <v>99</v>
      </c>
      <c r="B37" s="12" t="s">
        <v>1267</v>
      </c>
      <c r="C37" s="21"/>
      <c r="D37" s="21"/>
      <c r="E37" s="21"/>
      <c r="F37" s="21">
        <v>17</v>
      </c>
      <c r="G37" s="21"/>
      <c r="H37" s="21"/>
    </row>
    <row r="38" spans="1:8" ht="56.25" x14ac:dyDescent="0.25">
      <c r="A38" s="11" t="s">
        <v>99</v>
      </c>
      <c r="B38" s="12" t="s">
        <v>1271</v>
      </c>
      <c r="C38" s="21"/>
      <c r="D38" s="21"/>
      <c r="E38" s="21"/>
      <c r="F38" s="21">
        <v>75</v>
      </c>
      <c r="G38" s="21"/>
      <c r="H38" s="21"/>
    </row>
    <row r="39" spans="1:8" ht="56.25" x14ac:dyDescent="0.25">
      <c r="A39" s="11" t="s">
        <v>99</v>
      </c>
      <c r="B39" s="12" t="s">
        <v>1270</v>
      </c>
      <c r="C39" s="21"/>
      <c r="D39" s="21"/>
      <c r="E39" s="21"/>
      <c r="F39" s="21">
        <v>25</v>
      </c>
      <c r="G39" s="21"/>
      <c r="H39" s="21"/>
    </row>
    <row r="40" spans="1:8" ht="37.5" x14ac:dyDescent="0.25">
      <c r="A40" s="11" t="s">
        <v>99</v>
      </c>
      <c r="B40" s="12" t="s">
        <v>1268</v>
      </c>
      <c r="C40" s="21"/>
      <c r="D40" s="21"/>
      <c r="E40" s="21"/>
      <c r="F40" s="121">
        <v>178</v>
      </c>
      <c r="G40" s="21"/>
      <c r="H40" s="21"/>
    </row>
    <row r="41" spans="1:8" ht="75" x14ac:dyDescent="0.25">
      <c r="A41" s="11" t="s">
        <v>99</v>
      </c>
      <c r="B41" s="12" t="s">
        <v>1272</v>
      </c>
      <c r="C41" s="21"/>
      <c r="D41" s="21"/>
      <c r="E41" s="21"/>
      <c r="F41" s="439">
        <v>129</v>
      </c>
      <c r="G41" s="21"/>
      <c r="H41" s="21"/>
    </row>
    <row r="42" spans="1:8" ht="37.5" x14ac:dyDescent="0.25">
      <c r="A42" s="11" t="s">
        <v>99</v>
      </c>
      <c r="B42" s="12" t="s">
        <v>1273</v>
      </c>
      <c r="C42" s="21"/>
      <c r="D42" s="21"/>
      <c r="E42" s="21"/>
      <c r="F42" s="21">
        <v>55</v>
      </c>
      <c r="G42" s="21"/>
      <c r="H42" s="21"/>
    </row>
    <row r="43" spans="1:8" ht="75" x14ac:dyDescent="0.25">
      <c r="A43" s="11" t="s">
        <v>99</v>
      </c>
      <c r="B43" s="12" t="s">
        <v>1276</v>
      </c>
      <c r="C43" s="21"/>
      <c r="D43" s="21"/>
      <c r="E43" s="21"/>
      <c r="F43" s="121">
        <v>145</v>
      </c>
      <c r="G43" s="21"/>
      <c r="H43" s="21"/>
    </row>
    <row r="44" spans="1:8" x14ac:dyDescent="0.25">
      <c r="A44" s="11" t="s">
        <v>99</v>
      </c>
      <c r="B44" s="12" t="s">
        <v>1274</v>
      </c>
      <c r="C44" s="21"/>
      <c r="D44" s="21"/>
      <c r="E44" s="21"/>
      <c r="F44" s="21">
        <v>200</v>
      </c>
      <c r="G44" s="21"/>
      <c r="H44" s="21"/>
    </row>
    <row r="45" spans="1:8" x14ac:dyDescent="0.25">
      <c r="A45" s="11" t="s">
        <v>99</v>
      </c>
      <c r="B45" s="12" t="s">
        <v>713</v>
      </c>
      <c r="C45" s="21"/>
      <c r="D45" s="21"/>
      <c r="E45" s="21"/>
      <c r="F45" s="21">
        <v>50</v>
      </c>
      <c r="G45" s="21"/>
      <c r="H45" s="21"/>
    </row>
    <row r="46" spans="1:8" x14ac:dyDescent="0.25">
      <c r="A46" s="11" t="s">
        <v>99</v>
      </c>
      <c r="B46" s="12" t="s">
        <v>1275</v>
      </c>
      <c r="C46" s="21"/>
      <c r="D46" s="21"/>
      <c r="E46" s="21"/>
      <c r="F46" s="21">
        <v>96</v>
      </c>
      <c r="G46" s="21"/>
      <c r="H46" s="21"/>
    </row>
    <row r="47" spans="1:8" x14ac:dyDescent="0.25">
      <c r="A47" s="11" t="s">
        <v>99</v>
      </c>
      <c r="B47" s="12" t="s">
        <v>1277</v>
      </c>
      <c r="C47" s="21"/>
      <c r="D47" s="21"/>
      <c r="E47" s="21"/>
      <c r="F47" s="21">
        <v>55</v>
      </c>
      <c r="G47" s="21"/>
      <c r="H47" s="21"/>
    </row>
    <row r="48" spans="1:8" x14ac:dyDescent="0.25">
      <c r="A48" s="11" t="s">
        <v>99</v>
      </c>
      <c r="B48" s="12" t="s">
        <v>114</v>
      </c>
      <c r="C48" s="21"/>
      <c r="D48" s="21"/>
      <c r="E48" s="21"/>
      <c r="F48" s="21">
        <v>20</v>
      </c>
      <c r="G48" s="21"/>
      <c r="H48" s="21"/>
    </row>
    <row r="49" spans="1:8" x14ac:dyDescent="0.25">
      <c r="A49" s="15"/>
      <c r="B49" s="16"/>
      <c r="C49" s="23"/>
      <c r="D49" s="23"/>
      <c r="E49" s="23"/>
      <c r="F49" s="23"/>
      <c r="G49" s="23"/>
      <c r="H49" s="23"/>
    </row>
    <row r="50" spans="1:8" ht="40.5" customHeight="1" x14ac:dyDescent="0.25">
      <c r="A50" s="30"/>
      <c r="B50" s="567" t="s">
        <v>1278</v>
      </c>
      <c r="C50" s="567"/>
      <c r="D50" s="567"/>
      <c r="E50" s="567"/>
      <c r="F50" s="567"/>
      <c r="G50" s="567"/>
      <c r="H50" s="567"/>
    </row>
    <row r="51" spans="1:8" x14ac:dyDescent="0.25">
      <c r="A51" s="2"/>
      <c r="B51" s="7" t="s">
        <v>1176</v>
      </c>
    </row>
    <row r="52" spans="1:8" x14ac:dyDescent="0.25">
      <c r="A52" s="2"/>
    </row>
    <row r="53" spans="1:8" x14ac:dyDescent="0.25">
      <c r="A53" s="550" t="s">
        <v>36</v>
      </c>
      <c r="B53" s="550"/>
      <c r="D53" s="550" t="s">
        <v>37</v>
      </c>
      <c r="E53" s="550"/>
      <c r="F53" s="550"/>
      <c r="G53" s="550"/>
      <c r="H53" s="550"/>
    </row>
  </sheetData>
  <mergeCells count="18">
    <mergeCell ref="C21:H21"/>
    <mergeCell ref="A1:H1"/>
    <mergeCell ref="B3:H3"/>
    <mergeCell ref="C6:H6"/>
    <mergeCell ref="C7:H7"/>
    <mergeCell ref="C8:H8"/>
    <mergeCell ref="C9:H9"/>
    <mergeCell ref="C10:H10"/>
    <mergeCell ref="C15:H15"/>
    <mergeCell ref="C17:H17"/>
    <mergeCell ref="C19:H19"/>
    <mergeCell ref="C20:H20"/>
    <mergeCell ref="B50:H50"/>
    <mergeCell ref="A53:B53"/>
    <mergeCell ref="D53:H53"/>
    <mergeCell ref="C22:H22"/>
    <mergeCell ref="C23:H23"/>
    <mergeCell ref="B24:H24"/>
  </mergeCells>
  <printOptions horizontalCentered="1"/>
  <pageMargins left="0.19685039370078741" right="0.19685039370078741" top="0.39370078740157483" bottom="0.19685039370078741" header="0.31496062992125984" footer="0.31496062992125984"/>
  <pageSetup paperSize="9" scale="89" orientation="portrait" r:id="rId1"/>
  <headerFooter>
    <oddFooter>&amp;C&amp;P/&amp;N</oddFooter>
  </headerFooter>
  <legacy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9"/>
  <sheetViews>
    <sheetView topLeftCell="A41" zoomScaleNormal="100" workbookViewId="0">
      <selection activeCell="B47" sqref="B47"/>
    </sheetView>
  </sheetViews>
  <sheetFormatPr defaultColWidth="9.140625" defaultRowHeight="18.75" x14ac:dyDescent="0.25"/>
  <cols>
    <col min="1" max="1" width="4.85546875" style="7" customWidth="1"/>
    <col min="2" max="2" width="43.28515625" style="7" customWidth="1"/>
    <col min="3" max="4" width="7.85546875" style="7" customWidth="1"/>
    <col min="5" max="8" width="11.7109375" style="7" customWidth="1"/>
    <col min="9" max="16384" width="9.140625" style="7"/>
  </cols>
  <sheetData>
    <row r="1" spans="1:8" ht="41.25" customHeight="1" x14ac:dyDescent="0.25">
      <c r="A1" s="549" t="s">
        <v>1074</v>
      </c>
      <c r="B1" s="555"/>
      <c r="C1" s="555"/>
      <c r="D1" s="555"/>
      <c r="E1" s="555"/>
      <c r="F1" s="555"/>
      <c r="G1" s="555"/>
      <c r="H1" s="555"/>
    </row>
    <row r="2" spans="1:8" x14ac:dyDescent="0.25">
      <c r="A2" s="46"/>
      <c r="B2" s="46"/>
      <c r="C2" s="46"/>
      <c r="D2" s="1"/>
      <c r="E2" s="1"/>
      <c r="F2" s="1"/>
      <c r="G2" s="1"/>
      <c r="H2" s="1"/>
    </row>
    <row r="3" spans="1:8" ht="39" customHeight="1" x14ac:dyDescent="0.25">
      <c r="B3" s="565" t="s">
        <v>1281</v>
      </c>
      <c r="C3" s="565"/>
      <c r="D3" s="565"/>
      <c r="E3" s="565"/>
      <c r="F3" s="565"/>
      <c r="G3" s="565"/>
      <c r="H3" s="565"/>
    </row>
    <row r="4" spans="1:8" x14ac:dyDescent="0.25">
      <c r="B4" s="7" t="s">
        <v>39</v>
      </c>
      <c r="D4" s="8"/>
      <c r="E4" s="8"/>
      <c r="F4" s="8"/>
      <c r="G4" s="8"/>
      <c r="H4" s="8"/>
    </row>
    <row r="5" spans="1:8" s="46" customFormat="1" x14ac:dyDescent="0.25">
      <c r="B5" s="3" t="s">
        <v>18</v>
      </c>
      <c r="F5" s="146"/>
    </row>
    <row r="6" spans="1:8" x14ac:dyDescent="0.25">
      <c r="B6" s="2" t="s">
        <v>23</v>
      </c>
      <c r="C6" s="558" t="s">
        <v>49</v>
      </c>
      <c r="D6" s="558"/>
      <c r="E6" s="558"/>
      <c r="F6" s="558"/>
      <c r="G6" s="558"/>
      <c r="H6" s="558"/>
    </row>
    <row r="7" spans="1:8" x14ac:dyDescent="0.25">
      <c r="A7" s="2"/>
      <c r="B7" s="2" t="s">
        <v>19</v>
      </c>
      <c r="C7" s="558" t="s">
        <v>50</v>
      </c>
      <c r="D7" s="558"/>
      <c r="E7" s="558"/>
      <c r="F7" s="558"/>
      <c r="G7" s="558"/>
      <c r="H7" s="558"/>
    </row>
    <row r="8" spans="1:8" hidden="1" x14ac:dyDescent="0.25">
      <c r="A8" s="2"/>
      <c r="B8" s="2" t="s">
        <v>90</v>
      </c>
      <c r="C8" s="558" t="s">
        <v>60</v>
      </c>
      <c r="D8" s="558"/>
      <c r="E8" s="558"/>
      <c r="F8" s="558"/>
      <c r="G8" s="558"/>
      <c r="H8" s="558"/>
    </row>
    <row r="9" spans="1:8" x14ac:dyDescent="0.25">
      <c r="A9" s="2"/>
      <c r="B9" s="2" t="s">
        <v>59</v>
      </c>
      <c r="C9" s="558" t="s">
        <v>60</v>
      </c>
      <c r="D9" s="558"/>
      <c r="E9" s="558"/>
      <c r="F9" s="558"/>
      <c r="G9" s="558"/>
      <c r="H9" s="558"/>
    </row>
    <row r="10" spans="1:8" hidden="1" x14ac:dyDescent="0.25">
      <c r="A10" s="2"/>
      <c r="B10" s="2" t="s">
        <v>20</v>
      </c>
      <c r="C10" s="558" t="s">
        <v>86</v>
      </c>
      <c r="D10" s="558"/>
      <c r="E10" s="558"/>
      <c r="F10" s="558"/>
      <c r="G10" s="558"/>
      <c r="H10" s="558"/>
    </row>
    <row r="11" spans="1:8" x14ac:dyDescent="0.25">
      <c r="A11" s="2"/>
      <c r="B11" s="2" t="s">
        <v>1205</v>
      </c>
      <c r="C11" s="47" t="s">
        <v>87</v>
      </c>
      <c r="D11" s="47"/>
      <c r="E11" s="47"/>
      <c r="F11" s="364"/>
      <c r="G11" s="47"/>
      <c r="H11" s="47"/>
    </row>
    <row r="12" spans="1:8" x14ac:dyDescent="0.25">
      <c r="A12" s="2"/>
      <c r="B12" s="2" t="s">
        <v>316</v>
      </c>
      <c r="C12" s="47" t="s">
        <v>88</v>
      </c>
      <c r="D12" s="47"/>
      <c r="E12" s="47"/>
      <c r="F12" s="364"/>
      <c r="G12" s="47"/>
      <c r="H12" s="47"/>
    </row>
    <row r="13" spans="1:8" hidden="1" x14ac:dyDescent="0.25">
      <c r="A13" s="2"/>
      <c r="B13" s="2" t="s">
        <v>94</v>
      </c>
      <c r="C13" s="47" t="s">
        <v>95</v>
      </c>
      <c r="D13" s="47"/>
      <c r="E13" s="47"/>
      <c r="F13" s="364"/>
      <c r="G13" s="47"/>
      <c r="H13" s="47"/>
    </row>
    <row r="14" spans="1:8" x14ac:dyDescent="0.25">
      <c r="A14" s="2"/>
      <c r="B14" s="2"/>
      <c r="C14" s="47"/>
      <c r="D14" s="47"/>
      <c r="E14" s="47"/>
      <c r="F14" s="364"/>
      <c r="G14" s="47"/>
      <c r="H14" s="47"/>
    </row>
    <row r="15" spans="1:8" hidden="1" x14ac:dyDescent="0.25">
      <c r="A15" s="2"/>
      <c r="B15" s="2" t="s">
        <v>21</v>
      </c>
      <c r="C15" s="558"/>
      <c r="D15" s="558"/>
      <c r="E15" s="558"/>
      <c r="F15" s="558"/>
      <c r="G15" s="558"/>
      <c r="H15" s="558"/>
    </row>
    <row r="16" spans="1:8" s="46" customFormat="1" x14ac:dyDescent="0.25">
      <c r="A16" s="3"/>
      <c r="B16" s="3" t="s">
        <v>177</v>
      </c>
      <c r="C16" s="3"/>
      <c r="D16" s="3"/>
      <c r="E16" s="3"/>
      <c r="F16" s="3"/>
      <c r="G16" s="3"/>
      <c r="H16" s="3"/>
    </row>
    <row r="17" spans="1:8" x14ac:dyDescent="0.25">
      <c r="A17" s="2"/>
      <c r="B17" s="2" t="s">
        <v>1283</v>
      </c>
      <c r="C17" s="558" t="s">
        <v>131</v>
      </c>
      <c r="D17" s="558"/>
      <c r="E17" s="558"/>
      <c r="F17" s="558"/>
      <c r="G17" s="558"/>
      <c r="H17" s="558"/>
    </row>
    <row r="18" spans="1:8" hidden="1" x14ac:dyDescent="0.25">
      <c r="A18" s="2"/>
      <c r="B18" s="2" t="s">
        <v>20</v>
      </c>
      <c r="C18" s="47"/>
      <c r="D18" s="47"/>
      <c r="E18" s="47"/>
      <c r="F18" s="364"/>
      <c r="G18" s="47"/>
      <c r="H18" s="47"/>
    </row>
    <row r="19" spans="1:8" x14ac:dyDescent="0.25">
      <c r="A19" s="2"/>
      <c r="B19" s="2" t="s">
        <v>187</v>
      </c>
      <c r="C19" s="558" t="s">
        <v>108</v>
      </c>
      <c r="D19" s="558"/>
      <c r="E19" s="558"/>
      <c r="F19" s="558"/>
      <c r="G19" s="558"/>
      <c r="H19" s="558"/>
    </row>
    <row r="20" spans="1:8" hidden="1" x14ac:dyDescent="0.25">
      <c r="A20" s="2"/>
      <c r="B20" s="2" t="s">
        <v>20</v>
      </c>
      <c r="C20" s="558"/>
      <c r="D20" s="558"/>
      <c r="E20" s="558"/>
      <c r="F20" s="558"/>
      <c r="G20" s="558"/>
      <c r="H20" s="558"/>
    </row>
    <row r="21" spans="1:8" hidden="1" x14ac:dyDescent="0.25">
      <c r="A21" s="2"/>
      <c r="B21" s="2" t="s">
        <v>21</v>
      </c>
      <c r="C21" s="558"/>
      <c r="D21" s="558"/>
      <c r="E21" s="558"/>
      <c r="F21" s="558"/>
      <c r="G21" s="558"/>
      <c r="H21" s="558"/>
    </row>
    <row r="22" spans="1:8" hidden="1" x14ac:dyDescent="0.25">
      <c r="A22" s="2"/>
      <c r="B22" s="2" t="s">
        <v>21</v>
      </c>
      <c r="C22" s="558"/>
      <c r="D22" s="558"/>
      <c r="E22" s="558"/>
      <c r="F22" s="558"/>
      <c r="G22" s="558"/>
      <c r="H22" s="558"/>
    </row>
    <row r="23" spans="1:8" hidden="1" x14ac:dyDescent="0.25">
      <c r="A23" s="2"/>
      <c r="B23" s="2" t="s">
        <v>21</v>
      </c>
      <c r="C23" s="558"/>
      <c r="D23" s="558"/>
      <c r="E23" s="558"/>
      <c r="F23" s="558"/>
      <c r="G23" s="558"/>
      <c r="H23" s="558"/>
    </row>
    <row r="24" spans="1:8" ht="39.75" customHeight="1" x14ac:dyDescent="0.25">
      <c r="A24" s="2"/>
      <c r="B24" s="556" t="s">
        <v>1073</v>
      </c>
      <c r="C24" s="556"/>
      <c r="D24" s="556"/>
      <c r="E24" s="556"/>
      <c r="F24" s="556"/>
      <c r="G24" s="556"/>
      <c r="H24" s="556"/>
    </row>
    <row r="25" spans="1:8" x14ac:dyDescent="0.25">
      <c r="A25" s="4"/>
      <c r="H25" s="4" t="s">
        <v>61</v>
      </c>
    </row>
    <row r="26" spans="1:8" s="362" customFormat="1" ht="75" x14ac:dyDescent="0.25">
      <c r="A26" s="363" t="s">
        <v>62</v>
      </c>
      <c r="B26" s="363" t="s">
        <v>2</v>
      </c>
      <c r="C26" s="363" t="s">
        <v>17</v>
      </c>
      <c r="D26" s="365" t="s">
        <v>464</v>
      </c>
      <c r="E26" s="363" t="s">
        <v>1099</v>
      </c>
      <c r="F26" s="363" t="s">
        <v>9</v>
      </c>
      <c r="G26" s="363" t="s">
        <v>461</v>
      </c>
      <c r="H26" s="365" t="s">
        <v>1046</v>
      </c>
    </row>
    <row r="27" spans="1:8" s="46" customFormat="1" x14ac:dyDescent="0.25">
      <c r="A27" s="363"/>
      <c r="B27" s="363" t="s">
        <v>97</v>
      </c>
      <c r="C27" s="32"/>
      <c r="D27" s="32"/>
      <c r="E27" s="32">
        <f>E28+E35</f>
        <v>3395</v>
      </c>
      <c r="F27" s="32">
        <f>F28+F35</f>
        <v>3569</v>
      </c>
      <c r="G27" s="32">
        <f>G28+G35</f>
        <v>3380</v>
      </c>
      <c r="H27" s="32">
        <f>H28+H35</f>
        <v>3417</v>
      </c>
    </row>
    <row r="28" spans="1:8" s="46" customFormat="1" ht="21" customHeight="1" x14ac:dyDescent="0.25">
      <c r="A28" s="9" t="s">
        <v>51</v>
      </c>
      <c r="B28" s="10" t="s">
        <v>1081</v>
      </c>
      <c r="C28" s="20"/>
      <c r="D28" s="20"/>
      <c r="E28" s="20">
        <f>+E29+E33-E34</f>
        <v>1768</v>
      </c>
      <c r="F28" s="20">
        <f>+F29+F33-F34</f>
        <v>1793</v>
      </c>
      <c r="G28" s="20">
        <f>+G29+G33-G34</f>
        <v>1830</v>
      </c>
      <c r="H28" s="20">
        <f>+H29+H33-H34</f>
        <v>1867</v>
      </c>
    </row>
    <row r="29" spans="1:8" ht="56.25" x14ac:dyDescent="0.25">
      <c r="A29" s="11">
        <v>1</v>
      </c>
      <c r="B29" s="12" t="s">
        <v>1185</v>
      </c>
      <c r="C29" s="21"/>
      <c r="D29" s="21"/>
      <c r="E29" s="21">
        <f>1348+42</f>
        <v>1390</v>
      </c>
      <c r="F29" s="21">
        <f>SUM(F30:F32)</f>
        <v>1436</v>
      </c>
      <c r="G29" s="21">
        <f t="shared" ref="G29:H29" si="0">SUM(G30:G32)</f>
        <v>1473</v>
      </c>
      <c r="H29" s="21">
        <f t="shared" si="0"/>
        <v>1510</v>
      </c>
    </row>
    <row r="30" spans="1:8" x14ac:dyDescent="0.25">
      <c r="A30" s="11"/>
      <c r="B30" s="12" t="s">
        <v>1282</v>
      </c>
      <c r="C30" s="21">
        <v>18</v>
      </c>
      <c r="D30" s="36">
        <v>16</v>
      </c>
      <c r="E30" s="21"/>
      <c r="F30" s="21">
        <f>1227+15</f>
        <v>1242</v>
      </c>
      <c r="G30" s="21">
        <f>ROUND(F30+5*7.3,0)</f>
        <v>1279</v>
      </c>
      <c r="H30" s="21">
        <f>ROUND(G30+5*7.3,0)</f>
        <v>1316</v>
      </c>
    </row>
    <row r="31" spans="1:8" x14ac:dyDescent="0.25">
      <c r="A31" s="11"/>
      <c r="B31" s="12" t="s">
        <v>1115</v>
      </c>
      <c r="C31" s="21"/>
      <c r="D31" s="36"/>
      <c r="E31" s="21"/>
      <c r="F31" s="21">
        <v>103</v>
      </c>
      <c r="G31" s="21">
        <f>F31</f>
        <v>103</v>
      </c>
      <c r="H31" s="21">
        <f>G31</f>
        <v>103</v>
      </c>
    </row>
    <row r="32" spans="1:8" ht="37.5" x14ac:dyDescent="0.25">
      <c r="A32" s="11"/>
      <c r="B32" s="12" t="s">
        <v>1089</v>
      </c>
      <c r="C32" s="21">
        <v>2</v>
      </c>
      <c r="D32" s="21">
        <v>2</v>
      </c>
      <c r="E32" s="21"/>
      <c r="F32" s="21">
        <f>69+22</f>
        <v>91</v>
      </c>
      <c r="G32" s="21">
        <f>F32</f>
        <v>91</v>
      </c>
      <c r="H32" s="21">
        <f>G32</f>
        <v>91</v>
      </c>
    </row>
    <row r="33" spans="1:8" ht="37.5" x14ac:dyDescent="0.25">
      <c r="A33" s="11">
        <v>2</v>
      </c>
      <c r="B33" s="12" t="s">
        <v>1090</v>
      </c>
      <c r="C33" s="21">
        <v>18</v>
      </c>
      <c r="D33" s="21"/>
      <c r="E33" s="21">
        <v>420</v>
      </c>
      <c r="F33" s="21">
        <f>C33*22</f>
        <v>396</v>
      </c>
      <c r="G33" s="21">
        <f>F33</f>
        <v>396</v>
      </c>
      <c r="H33" s="21">
        <f>+G33</f>
        <v>396</v>
      </c>
    </row>
    <row r="34" spans="1:8" ht="37.5" x14ac:dyDescent="0.25">
      <c r="A34" s="11">
        <v>3</v>
      </c>
      <c r="B34" s="12" t="s">
        <v>103</v>
      </c>
      <c r="C34" s="21"/>
      <c r="D34" s="21"/>
      <c r="E34" s="21">
        <v>42</v>
      </c>
      <c r="F34" s="21">
        <v>39</v>
      </c>
      <c r="G34" s="21">
        <f>F34</f>
        <v>39</v>
      </c>
      <c r="H34" s="21">
        <f>G34</f>
        <v>39</v>
      </c>
    </row>
    <row r="35" spans="1:8" s="46" customFormat="1" x14ac:dyDescent="0.25">
      <c r="A35" s="13" t="s">
        <v>52</v>
      </c>
      <c r="B35" s="14" t="s">
        <v>98</v>
      </c>
      <c r="C35" s="22"/>
      <c r="D35" s="22"/>
      <c r="E35" s="22">
        <f>E36+E50</f>
        <v>1627</v>
      </c>
      <c r="F35" s="22">
        <f>F36+F50</f>
        <v>1776</v>
      </c>
      <c r="G35" s="22">
        <f t="shared" ref="G35:H35" si="1">G36+G50</f>
        <v>1550</v>
      </c>
      <c r="H35" s="22">
        <f t="shared" si="1"/>
        <v>1550</v>
      </c>
    </row>
    <row r="36" spans="1:8" s="210" customFormat="1" ht="19.5" x14ac:dyDescent="0.25">
      <c r="A36" s="201">
        <v>1</v>
      </c>
      <c r="B36" s="202" t="s">
        <v>81</v>
      </c>
      <c r="C36" s="203"/>
      <c r="D36" s="203"/>
      <c r="E36" s="203">
        <f>SUM(E37:E49)</f>
        <v>1447</v>
      </c>
      <c r="F36" s="203">
        <f t="shared" ref="F36:H36" si="2">SUM(F37:F49)</f>
        <v>1596</v>
      </c>
      <c r="G36" s="203">
        <f t="shared" si="2"/>
        <v>1370</v>
      </c>
      <c r="H36" s="203">
        <f t="shared" si="2"/>
        <v>1370</v>
      </c>
    </row>
    <row r="37" spans="1:8" s="49" customFormat="1" x14ac:dyDescent="0.25">
      <c r="A37" s="58" t="s">
        <v>99</v>
      </c>
      <c r="B37" s="59" t="s">
        <v>1188</v>
      </c>
      <c r="C37" s="60"/>
      <c r="D37" s="60"/>
      <c r="E37" s="60">
        <v>20</v>
      </c>
      <c r="F37" s="60">
        <v>29</v>
      </c>
      <c r="G37" s="60">
        <f>E37</f>
        <v>20</v>
      </c>
      <c r="H37" s="60">
        <f t="shared" ref="H37:H42" si="3">G37</f>
        <v>20</v>
      </c>
    </row>
    <row r="38" spans="1:8" s="49" customFormat="1" ht="56.25" x14ac:dyDescent="0.25">
      <c r="A38" s="58" t="s">
        <v>99</v>
      </c>
      <c r="B38" s="12" t="s">
        <v>188</v>
      </c>
      <c r="C38" s="60"/>
      <c r="D38" s="60"/>
      <c r="E38" s="60">
        <v>150</v>
      </c>
      <c r="F38" s="60">
        <f>E38</f>
        <v>150</v>
      </c>
      <c r="G38" s="60">
        <f>E38</f>
        <v>150</v>
      </c>
      <c r="H38" s="60">
        <f t="shared" si="3"/>
        <v>150</v>
      </c>
    </row>
    <row r="39" spans="1:8" s="49" customFormat="1" x14ac:dyDescent="0.25">
      <c r="A39" s="58" t="s">
        <v>99</v>
      </c>
      <c r="B39" s="59" t="s">
        <v>189</v>
      </c>
      <c r="C39" s="60"/>
      <c r="D39" s="60"/>
      <c r="E39" s="60">
        <v>976</v>
      </c>
      <c r="F39" s="60">
        <v>1060</v>
      </c>
      <c r="G39" s="60">
        <f>F39</f>
        <v>1060</v>
      </c>
      <c r="H39" s="60">
        <f t="shared" si="3"/>
        <v>1060</v>
      </c>
    </row>
    <row r="40" spans="1:8" s="49" customFormat="1" x14ac:dyDescent="0.3">
      <c r="A40" s="58" t="s">
        <v>99</v>
      </c>
      <c r="B40" s="33" t="s">
        <v>190</v>
      </c>
      <c r="C40" s="60"/>
      <c r="D40" s="60"/>
      <c r="E40" s="60">
        <v>60</v>
      </c>
      <c r="F40" s="60">
        <f>E40</f>
        <v>60</v>
      </c>
      <c r="G40" s="60">
        <f>E40</f>
        <v>60</v>
      </c>
      <c r="H40" s="60">
        <f t="shared" si="3"/>
        <v>60</v>
      </c>
    </row>
    <row r="41" spans="1:8" s="49" customFormat="1" ht="37.5" x14ac:dyDescent="0.25">
      <c r="A41" s="58" t="s">
        <v>99</v>
      </c>
      <c r="B41" s="59" t="s">
        <v>191</v>
      </c>
      <c r="C41" s="60"/>
      <c r="D41" s="60"/>
      <c r="E41" s="60">
        <v>40</v>
      </c>
      <c r="F41" s="60">
        <f>E41</f>
        <v>40</v>
      </c>
      <c r="G41" s="60">
        <f>E41</f>
        <v>40</v>
      </c>
      <c r="H41" s="60">
        <f t="shared" si="3"/>
        <v>40</v>
      </c>
    </row>
    <row r="42" spans="1:8" s="49" customFormat="1" x14ac:dyDescent="0.3">
      <c r="A42" s="58" t="s">
        <v>99</v>
      </c>
      <c r="B42" s="33" t="s">
        <v>193</v>
      </c>
      <c r="C42" s="60"/>
      <c r="D42" s="60"/>
      <c r="E42" s="60">
        <v>30</v>
      </c>
      <c r="F42" s="60">
        <v>40</v>
      </c>
      <c r="G42" s="60">
        <f>F42</f>
        <v>40</v>
      </c>
      <c r="H42" s="60">
        <f t="shared" si="3"/>
        <v>40</v>
      </c>
    </row>
    <row r="43" spans="1:8" s="49" customFormat="1" ht="37.5" x14ac:dyDescent="0.25">
      <c r="A43" s="58" t="s">
        <v>99</v>
      </c>
      <c r="B43" s="59" t="s">
        <v>194</v>
      </c>
      <c r="C43" s="60"/>
      <c r="D43" s="60"/>
      <c r="E43" s="60">
        <v>30</v>
      </c>
      <c r="F43" s="60"/>
      <c r="G43" s="60"/>
      <c r="H43" s="60"/>
    </row>
    <row r="44" spans="1:8" s="49" customFormat="1" x14ac:dyDescent="0.25">
      <c r="A44" s="58" t="s">
        <v>99</v>
      </c>
      <c r="B44" s="59" t="s">
        <v>822</v>
      </c>
      <c r="C44" s="60"/>
      <c r="D44" s="60"/>
      <c r="E44" s="60">
        <v>25</v>
      </c>
      <c r="F44" s="60"/>
      <c r="G44" s="60"/>
      <c r="H44" s="60"/>
    </row>
    <row r="45" spans="1:8" s="49" customFormat="1" x14ac:dyDescent="0.25">
      <c r="A45" s="58" t="s">
        <v>99</v>
      </c>
      <c r="B45" s="59" t="s">
        <v>1284</v>
      </c>
      <c r="C45" s="60"/>
      <c r="D45" s="60"/>
      <c r="E45" s="60"/>
      <c r="F45" s="60">
        <v>120</v>
      </c>
      <c r="G45" s="60"/>
      <c r="H45" s="60"/>
    </row>
    <row r="46" spans="1:8" s="49" customFormat="1" x14ac:dyDescent="0.25">
      <c r="A46" s="58" t="s">
        <v>99</v>
      </c>
      <c r="B46" s="59" t="s">
        <v>821</v>
      </c>
      <c r="C46" s="60"/>
      <c r="D46" s="60"/>
      <c r="E46" s="60">
        <v>20</v>
      </c>
      <c r="F46" s="60"/>
      <c r="G46" s="60"/>
      <c r="H46" s="60"/>
    </row>
    <row r="47" spans="1:8" s="49" customFormat="1" ht="37.5" x14ac:dyDescent="0.25">
      <c r="A47" s="58" t="s">
        <v>99</v>
      </c>
      <c r="B47" s="59" t="s">
        <v>1286</v>
      </c>
      <c r="C47" s="60"/>
      <c r="D47" s="60"/>
      <c r="E47" s="60"/>
      <c r="F47" s="60">
        <f>27+25+15</f>
        <v>67</v>
      </c>
      <c r="G47" s="60"/>
      <c r="H47" s="60"/>
    </row>
    <row r="48" spans="1:8" s="49" customFormat="1" x14ac:dyDescent="0.25">
      <c r="A48" s="58" t="s">
        <v>99</v>
      </c>
      <c r="B48" s="59" t="s">
        <v>1285</v>
      </c>
      <c r="C48" s="60"/>
      <c r="D48" s="60"/>
      <c r="E48" s="60"/>
      <c r="F48" s="60">
        <v>30</v>
      </c>
      <c r="G48" s="60"/>
      <c r="H48" s="60"/>
    </row>
    <row r="49" spans="1:8" s="49" customFormat="1" x14ac:dyDescent="0.25">
      <c r="A49" s="58" t="s">
        <v>99</v>
      </c>
      <c r="B49" s="59" t="s">
        <v>504</v>
      </c>
      <c r="C49" s="60"/>
      <c r="D49" s="60"/>
      <c r="E49" s="60">
        <v>96</v>
      </c>
      <c r="F49" s="60"/>
      <c r="G49" s="60"/>
      <c r="H49" s="60"/>
    </row>
    <row r="50" spans="1:8" s="142" customFormat="1" ht="19.5" x14ac:dyDescent="0.25">
      <c r="A50" s="139">
        <v>2</v>
      </c>
      <c r="B50" s="140" t="s">
        <v>83</v>
      </c>
      <c r="C50" s="141"/>
      <c r="D50" s="141"/>
      <c r="E50" s="141">
        <f>E51</f>
        <v>180</v>
      </c>
      <c r="F50" s="141">
        <f>F51</f>
        <v>180</v>
      </c>
      <c r="G50" s="141">
        <f>G51</f>
        <v>180</v>
      </c>
      <c r="H50" s="141">
        <f>H51</f>
        <v>180</v>
      </c>
    </row>
    <row r="51" spans="1:8" s="49" customFormat="1" ht="37.5" x14ac:dyDescent="0.25">
      <c r="A51" s="58" t="s">
        <v>99</v>
      </c>
      <c r="B51" s="59" t="s">
        <v>195</v>
      </c>
      <c r="C51" s="60"/>
      <c r="D51" s="60"/>
      <c r="E51" s="60">
        <v>180</v>
      </c>
      <c r="F51" s="60">
        <f>E51</f>
        <v>180</v>
      </c>
      <c r="G51" s="60">
        <f>E51</f>
        <v>180</v>
      </c>
      <c r="H51" s="60">
        <f>G51</f>
        <v>180</v>
      </c>
    </row>
    <row r="52" spans="1:8" s="49" customFormat="1" hidden="1" x14ac:dyDescent="0.3">
      <c r="A52" s="58"/>
      <c r="B52" s="65"/>
      <c r="C52" s="60"/>
      <c r="D52" s="60"/>
      <c r="E52" s="60"/>
      <c r="F52" s="60"/>
      <c r="G52" s="60"/>
      <c r="H52" s="60"/>
    </row>
    <row r="53" spans="1:8" s="49" customFormat="1" hidden="1" x14ac:dyDescent="0.25">
      <c r="A53" s="58"/>
      <c r="B53" s="59"/>
      <c r="C53" s="60"/>
      <c r="D53" s="60"/>
      <c r="E53" s="60"/>
      <c r="F53" s="60"/>
      <c r="G53" s="60"/>
      <c r="H53" s="60"/>
    </row>
    <row r="54" spans="1:8" s="49" customFormat="1" hidden="1" x14ac:dyDescent="0.25">
      <c r="A54" s="58" t="s">
        <v>99</v>
      </c>
      <c r="B54" s="59"/>
      <c r="C54" s="60"/>
      <c r="D54" s="60"/>
      <c r="E54" s="60"/>
      <c r="F54" s="60"/>
      <c r="G54" s="60"/>
      <c r="H54" s="60"/>
    </row>
    <row r="55" spans="1:8" s="49" customFormat="1" hidden="1" x14ac:dyDescent="0.25">
      <c r="A55" s="58" t="s">
        <v>99</v>
      </c>
      <c r="B55" s="59"/>
      <c r="C55" s="60"/>
      <c r="D55" s="60"/>
      <c r="E55" s="60"/>
      <c r="F55" s="60"/>
      <c r="G55" s="60"/>
      <c r="H55" s="60"/>
    </row>
    <row r="56" spans="1:8" s="49" customFormat="1" hidden="1" x14ac:dyDescent="0.25">
      <c r="A56" s="58" t="s">
        <v>99</v>
      </c>
      <c r="B56" s="59"/>
      <c r="C56" s="60"/>
      <c r="D56" s="60"/>
      <c r="E56" s="60"/>
      <c r="F56" s="60"/>
      <c r="G56" s="60"/>
      <c r="H56" s="60"/>
    </row>
    <row r="57" spans="1:8" s="50" customFormat="1" hidden="1" x14ac:dyDescent="0.25">
      <c r="A57" s="62">
        <v>2</v>
      </c>
      <c r="B57" s="63" t="s">
        <v>82</v>
      </c>
      <c r="C57" s="64"/>
      <c r="D57" s="64"/>
      <c r="E57" s="64">
        <f>E58</f>
        <v>0</v>
      </c>
      <c r="F57" s="64"/>
      <c r="G57" s="64">
        <f>G58</f>
        <v>0</v>
      </c>
      <c r="H57" s="64">
        <f>H58</f>
        <v>0</v>
      </c>
    </row>
    <row r="58" spans="1:8" s="49" customFormat="1" hidden="1" x14ac:dyDescent="0.3">
      <c r="A58" s="58" t="s">
        <v>99</v>
      </c>
      <c r="B58" s="65"/>
      <c r="C58" s="60"/>
      <c r="D58" s="60"/>
      <c r="E58" s="60"/>
      <c r="F58" s="60"/>
      <c r="G58" s="60">
        <f>E58</f>
        <v>0</v>
      </c>
      <c r="H58" s="60">
        <f>G58</f>
        <v>0</v>
      </c>
    </row>
    <row r="59" spans="1:8" s="50" customFormat="1" hidden="1" x14ac:dyDescent="0.3">
      <c r="A59" s="62">
        <v>3</v>
      </c>
      <c r="B59" s="66" t="s">
        <v>83</v>
      </c>
      <c r="C59" s="64"/>
      <c r="D59" s="64"/>
      <c r="E59" s="64">
        <f>E60</f>
        <v>0</v>
      </c>
      <c r="F59" s="64"/>
      <c r="G59" s="64">
        <f>G60</f>
        <v>0</v>
      </c>
      <c r="H59" s="64">
        <f>H60</f>
        <v>0</v>
      </c>
    </row>
    <row r="60" spans="1:8" s="49" customFormat="1" hidden="1" x14ac:dyDescent="0.25">
      <c r="A60" s="58" t="s">
        <v>99</v>
      </c>
      <c r="B60" s="59"/>
      <c r="C60" s="60"/>
      <c r="D60" s="60"/>
      <c r="E60" s="60"/>
      <c r="F60" s="60"/>
      <c r="G60" s="60"/>
      <c r="H60" s="60"/>
    </row>
    <row r="61" spans="1:8" s="49" customFormat="1" hidden="1" x14ac:dyDescent="0.25">
      <c r="A61" s="58"/>
      <c r="B61" s="59"/>
      <c r="C61" s="60"/>
      <c r="D61" s="60"/>
      <c r="E61" s="60"/>
      <c r="F61" s="60"/>
      <c r="G61" s="60"/>
      <c r="H61" s="60"/>
    </row>
    <row r="62" spans="1:8" s="49" customFormat="1" hidden="1" x14ac:dyDescent="0.25">
      <c r="A62" s="58"/>
      <c r="B62" s="59"/>
      <c r="C62" s="60"/>
      <c r="D62" s="60"/>
      <c r="E62" s="60"/>
      <c r="F62" s="60"/>
      <c r="G62" s="60"/>
      <c r="H62" s="60"/>
    </row>
    <row r="63" spans="1:8" s="49" customFormat="1" hidden="1" x14ac:dyDescent="0.25">
      <c r="A63" s="58"/>
      <c r="B63" s="59"/>
      <c r="C63" s="60"/>
      <c r="D63" s="60"/>
      <c r="E63" s="60"/>
      <c r="F63" s="60"/>
      <c r="G63" s="60"/>
      <c r="H63" s="60"/>
    </row>
    <row r="64" spans="1:8" s="49" customFormat="1" hidden="1" x14ac:dyDescent="0.25">
      <c r="A64" s="58"/>
      <c r="B64" s="59"/>
      <c r="C64" s="60"/>
      <c r="D64" s="60"/>
      <c r="E64" s="60"/>
      <c r="F64" s="60"/>
      <c r="G64" s="60"/>
      <c r="H64" s="60"/>
    </row>
    <row r="65" spans="1:8" s="49" customFormat="1" x14ac:dyDescent="0.25">
      <c r="A65" s="67"/>
      <c r="B65" s="68"/>
      <c r="C65" s="69"/>
      <c r="D65" s="69"/>
      <c r="E65" s="69"/>
      <c r="F65" s="69"/>
      <c r="G65" s="69"/>
      <c r="H65" s="69"/>
    </row>
    <row r="66" spans="1:8" ht="40.5" customHeight="1" x14ac:dyDescent="0.25">
      <c r="A66" s="30"/>
      <c r="B66" s="567" t="s">
        <v>1287</v>
      </c>
      <c r="C66" s="567"/>
      <c r="D66" s="567"/>
      <c r="E66" s="567"/>
      <c r="F66" s="567"/>
      <c r="G66" s="567"/>
      <c r="H66" s="567"/>
    </row>
    <row r="67" spans="1:8" x14ac:dyDescent="0.25">
      <c r="A67" s="2"/>
      <c r="B67" s="7" t="s">
        <v>492</v>
      </c>
    </row>
    <row r="68" spans="1:8" x14ac:dyDescent="0.25">
      <c r="A68" s="2"/>
    </row>
    <row r="69" spans="1:8" x14ac:dyDescent="0.25">
      <c r="A69" s="550" t="s">
        <v>36</v>
      </c>
      <c r="B69" s="550"/>
      <c r="D69" s="550" t="s">
        <v>37</v>
      </c>
      <c r="E69" s="550"/>
      <c r="F69" s="550"/>
      <c r="G69" s="550"/>
      <c r="H69" s="550"/>
    </row>
  </sheetData>
  <mergeCells count="18">
    <mergeCell ref="C21:H21"/>
    <mergeCell ref="A1:H1"/>
    <mergeCell ref="B3:H3"/>
    <mergeCell ref="C6:H6"/>
    <mergeCell ref="C7:H7"/>
    <mergeCell ref="C8:H8"/>
    <mergeCell ref="C9:H9"/>
    <mergeCell ref="C10:H10"/>
    <mergeCell ref="C15:H15"/>
    <mergeCell ref="C17:H17"/>
    <mergeCell ref="C19:H19"/>
    <mergeCell ref="C20:H20"/>
    <mergeCell ref="B66:H66"/>
    <mergeCell ref="A69:B69"/>
    <mergeCell ref="D69:H69"/>
    <mergeCell ref="C22:H22"/>
    <mergeCell ref="C23:H23"/>
    <mergeCell ref="B24:H24"/>
  </mergeCells>
  <printOptions horizontalCentered="1"/>
  <pageMargins left="0.19685039370078741" right="0.19685039370078741" top="0.59055118110236227" bottom="0.59055118110236227" header="0.31496062992125984" footer="0.31496062992125984"/>
  <pageSetup paperSize="9" scale="89" orientation="portrait" r:id="rId1"/>
  <headerFooter>
    <oddFooter>&amp;C&amp;P/&amp;N</oddFooter>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88"/>
  <sheetViews>
    <sheetView topLeftCell="A80" zoomScaleNormal="100" workbookViewId="0">
      <selection activeCell="B83" sqref="B83"/>
    </sheetView>
  </sheetViews>
  <sheetFormatPr defaultRowHeight="18.75" x14ac:dyDescent="0.25"/>
  <cols>
    <col min="1" max="1" width="4.85546875" style="7" customWidth="1"/>
    <col min="2" max="2" width="43.28515625" style="7" customWidth="1"/>
    <col min="3" max="4" width="7.85546875" style="7" customWidth="1"/>
    <col min="5" max="8" width="11.7109375" style="7" customWidth="1"/>
    <col min="9" max="16384" width="9.140625" style="7"/>
  </cols>
  <sheetData>
    <row r="1" spans="1:8" ht="41.25" customHeight="1" x14ac:dyDescent="0.25">
      <c r="A1" s="549" t="s">
        <v>1074</v>
      </c>
      <c r="B1" s="555"/>
      <c r="C1" s="555"/>
      <c r="D1" s="555"/>
      <c r="E1" s="555"/>
      <c r="F1" s="555"/>
      <c r="G1" s="555"/>
      <c r="H1" s="555"/>
    </row>
    <row r="2" spans="1:8" x14ac:dyDescent="0.25">
      <c r="A2" s="46"/>
      <c r="B2" s="46"/>
      <c r="C2" s="46"/>
      <c r="D2" s="1"/>
      <c r="E2" s="1"/>
      <c r="F2" s="1"/>
      <c r="G2" s="1"/>
      <c r="H2" s="1"/>
    </row>
    <row r="3" spans="1:8" ht="40.5" customHeight="1" x14ac:dyDescent="0.25">
      <c r="B3" s="565" t="s">
        <v>1293</v>
      </c>
      <c r="C3" s="565"/>
      <c r="D3" s="565"/>
      <c r="E3" s="565"/>
      <c r="F3" s="565"/>
      <c r="G3" s="565"/>
      <c r="H3" s="565"/>
    </row>
    <row r="4" spans="1:8" x14ac:dyDescent="0.25">
      <c r="B4" s="7" t="s">
        <v>39</v>
      </c>
      <c r="D4" s="8"/>
      <c r="E4" s="8"/>
      <c r="F4" s="8"/>
      <c r="G4" s="8"/>
      <c r="H4" s="8"/>
    </row>
    <row r="5" spans="1:8" s="46" customFormat="1" x14ac:dyDescent="0.25">
      <c r="B5" s="3" t="s">
        <v>18</v>
      </c>
      <c r="F5" s="146"/>
    </row>
    <row r="6" spans="1:8" x14ac:dyDescent="0.25">
      <c r="B6" s="2" t="s">
        <v>23</v>
      </c>
      <c r="C6" s="558" t="s">
        <v>49</v>
      </c>
      <c r="D6" s="558"/>
      <c r="E6" s="558"/>
      <c r="F6" s="558"/>
      <c r="G6" s="558"/>
      <c r="H6" s="558"/>
    </row>
    <row r="7" spans="1:8" x14ac:dyDescent="0.25">
      <c r="A7" s="2"/>
      <c r="B7" s="2" t="s">
        <v>19</v>
      </c>
      <c r="C7" s="558" t="s">
        <v>50</v>
      </c>
      <c r="D7" s="558"/>
      <c r="E7" s="558"/>
      <c r="F7" s="558"/>
      <c r="G7" s="558"/>
      <c r="H7" s="558"/>
    </row>
    <row r="8" spans="1:8" hidden="1" x14ac:dyDescent="0.25">
      <c r="A8" s="2"/>
      <c r="B8" s="2" t="s">
        <v>90</v>
      </c>
      <c r="C8" s="558" t="s">
        <v>60</v>
      </c>
      <c r="D8" s="558"/>
      <c r="E8" s="558"/>
      <c r="F8" s="558"/>
      <c r="G8" s="558"/>
      <c r="H8" s="558"/>
    </row>
    <row r="9" spans="1:8" x14ac:dyDescent="0.25">
      <c r="A9" s="2"/>
      <c r="B9" s="2" t="s">
        <v>59</v>
      </c>
      <c r="C9" s="558" t="s">
        <v>60</v>
      </c>
      <c r="D9" s="558"/>
      <c r="E9" s="558"/>
      <c r="F9" s="558"/>
      <c r="G9" s="558"/>
      <c r="H9" s="558"/>
    </row>
    <row r="10" spans="1:8" hidden="1" x14ac:dyDescent="0.25">
      <c r="A10" s="2"/>
      <c r="B10" s="2" t="s">
        <v>20</v>
      </c>
      <c r="C10" s="558" t="s">
        <v>86</v>
      </c>
      <c r="D10" s="558"/>
      <c r="E10" s="558"/>
      <c r="F10" s="558"/>
      <c r="G10" s="558"/>
      <c r="H10" s="558"/>
    </row>
    <row r="11" spans="1:8" x14ac:dyDescent="0.25">
      <c r="A11" s="2"/>
      <c r="B11" s="2" t="s">
        <v>1205</v>
      </c>
      <c r="C11" s="47" t="s">
        <v>87</v>
      </c>
      <c r="D11" s="47"/>
      <c r="E11" s="47"/>
      <c r="F11" s="364"/>
      <c r="G11" s="47"/>
      <c r="H11" s="47"/>
    </row>
    <row r="12" spans="1:8" x14ac:dyDescent="0.25">
      <c r="A12" s="2"/>
      <c r="B12" s="2" t="s">
        <v>213</v>
      </c>
      <c r="C12" s="47" t="s">
        <v>88</v>
      </c>
      <c r="D12" s="47"/>
      <c r="E12" s="47"/>
      <c r="F12" s="364"/>
      <c r="G12" s="47"/>
      <c r="H12" s="47"/>
    </row>
    <row r="13" spans="1:8" hidden="1" x14ac:dyDescent="0.25">
      <c r="A13" s="2"/>
      <c r="B13" s="2" t="s">
        <v>94</v>
      </c>
      <c r="C13" s="47" t="s">
        <v>95</v>
      </c>
      <c r="D13" s="47"/>
      <c r="E13" s="47"/>
      <c r="F13" s="364"/>
      <c r="G13" s="47"/>
      <c r="H13" s="47"/>
    </row>
    <row r="14" spans="1:8" x14ac:dyDescent="0.25">
      <c r="A14" s="2"/>
      <c r="B14" s="2"/>
      <c r="C14" s="47"/>
      <c r="D14" s="47"/>
      <c r="E14" s="47"/>
      <c r="F14" s="364"/>
      <c r="G14" s="47"/>
      <c r="H14" s="47"/>
    </row>
    <row r="15" spans="1:8" hidden="1" x14ac:dyDescent="0.25">
      <c r="A15" s="2"/>
      <c r="B15" s="2" t="s">
        <v>21</v>
      </c>
      <c r="C15" s="558"/>
      <c r="D15" s="558"/>
      <c r="E15" s="558"/>
      <c r="F15" s="558"/>
      <c r="G15" s="558"/>
      <c r="H15" s="558"/>
    </row>
    <row r="16" spans="1:8" s="46" customFormat="1" x14ac:dyDescent="0.25">
      <c r="A16" s="3"/>
      <c r="B16" s="3" t="s">
        <v>178</v>
      </c>
      <c r="C16" s="3"/>
      <c r="D16" s="3"/>
      <c r="E16" s="3"/>
      <c r="F16" s="3"/>
      <c r="G16" s="3"/>
      <c r="H16" s="3"/>
    </row>
    <row r="17" spans="1:8" x14ac:dyDescent="0.25">
      <c r="A17" s="2"/>
      <c r="B17" s="2" t="s">
        <v>1289</v>
      </c>
      <c r="C17" s="558" t="s">
        <v>176</v>
      </c>
      <c r="D17" s="558"/>
      <c r="E17" s="558"/>
      <c r="F17" s="558"/>
      <c r="G17" s="558"/>
      <c r="H17" s="558"/>
    </row>
    <row r="18" spans="1:8" x14ac:dyDescent="0.25">
      <c r="A18" s="2"/>
      <c r="B18" s="2" t="s">
        <v>1290</v>
      </c>
      <c r="C18" s="364" t="s">
        <v>1288</v>
      </c>
      <c r="D18" s="364"/>
      <c r="E18" s="364"/>
      <c r="F18" s="364"/>
      <c r="G18" s="364"/>
      <c r="H18" s="364"/>
    </row>
    <row r="19" spans="1:8" x14ac:dyDescent="0.25">
      <c r="A19" s="2"/>
      <c r="B19" s="2" t="s">
        <v>196</v>
      </c>
      <c r="C19" s="558" t="s">
        <v>108</v>
      </c>
      <c r="D19" s="558"/>
      <c r="E19" s="558"/>
      <c r="F19" s="558"/>
      <c r="G19" s="558"/>
      <c r="H19" s="558"/>
    </row>
    <row r="20" spans="1:8" hidden="1" x14ac:dyDescent="0.25">
      <c r="A20" s="2"/>
      <c r="B20" s="83" t="s">
        <v>197</v>
      </c>
      <c r="C20" s="558" t="s">
        <v>198</v>
      </c>
      <c r="D20" s="558"/>
      <c r="E20" s="558"/>
      <c r="F20" s="558"/>
      <c r="G20" s="558"/>
      <c r="H20" s="558"/>
    </row>
    <row r="21" spans="1:8" hidden="1" x14ac:dyDescent="0.25">
      <c r="A21" s="2"/>
      <c r="B21" s="2" t="s">
        <v>199</v>
      </c>
      <c r="C21" s="558" t="s">
        <v>108</v>
      </c>
      <c r="D21" s="558"/>
      <c r="E21" s="558"/>
      <c r="F21" s="558"/>
      <c r="G21" s="558"/>
      <c r="H21" s="558"/>
    </row>
    <row r="22" spans="1:8" hidden="1" x14ac:dyDescent="0.25">
      <c r="A22" s="2"/>
      <c r="B22" s="2" t="s">
        <v>214</v>
      </c>
      <c r="C22" s="558" t="s">
        <v>215</v>
      </c>
      <c r="D22" s="558"/>
      <c r="E22" s="558"/>
      <c r="F22" s="558"/>
      <c r="G22" s="558"/>
      <c r="H22" s="558"/>
    </row>
    <row r="23" spans="1:8" x14ac:dyDescent="0.25">
      <c r="A23" s="2"/>
      <c r="B23" s="2" t="s">
        <v>200</v>
      </c>
      <c r="C23" s="558" t="s">
        <v>108</v>
      </c>
      <c r="D23" s="558"/>
      <c r="E23" s="558"/>
      <c r="F23" s="558"/>
      <c r="G23" s="558"/>
      <c r="H23" s="558"/>
    </row>
    <row r="24" spans="1:8" hidden="1" x14ac:dyDescent="0.25">
      <c r="A24" s="2"/>
      <c r="B24" s="2" t="s">
        <v>21</v>
      </c>
      <c r="C24" s="558"/>
      <c r="D24" s="558"/>
      <c r="E24" s="558"/>
      <c r="F24" s="558"/>
      <c r="G24" s="558"/>
      <c r="H24" s="558"/>
    </row>
    <row r="25" spans="1:8" ht="39.75" customHeight="1" x14ac:dyDescent="0.25">
      <c r="A25" s="2"/>
      <c r="B25" s="556" t="s">
        <v>1073</v>
      </c>
      <c r="C25" s="556"/>
      <c r="D25" s="556"/>
      <c r="E25" s="556"/>
      <c r="F25" s="556"/>
      <c r="G25" s="556"/>
      <c r="H25" s="556"/>
    </row>
    <row r="26" spans="1:8" x14ac:dyDescent="0.25">
      <c r="A26" s="4"/>
      <c r="H26" s="4" t="s">
        <v>61</v>
      </c>
    </row>
    <row r="27" spans="1:8" s="362" customFormat="1" ht="75" x14ac:dyDescent="0.25">
      <c r="A27" s="363" t="s">
        <v>62</v>
      </c>
      <c r="B27" s="363" t="s">
        <v>2</v>
      </c>
      <c r="C27" s="363" t="s">
        <v>17</v>
      </c>
      <c r="D27" s="365" t="s">
        <v>464</v>
      </c>
      <c r="E27" s="363" t="s">
        <v>1099</v>
      </c>
      <c r="F27" s="363" t="s">
        <v>9</v>
      </c>
      <c r="G27" s="363" t="s">
        <v>461</v>
      </c>
      <c r="H27" s="365" t="s">
        <v>1046</v>
      </c>
    </row>
    <row r="28" spans="1:8" s="46" customFormat="1" x14ac:dyDescent="0.25">
      <c r="A28" s="363"/>
      <c r="B28" s="363" t="s">
        <v>97</v>
      </c>
      <c r="C28" s="32"/>
      <c r="D28" s="32"/>
      <c r="E28" s="32">
        <f>E29+E66</f>
        <v>19931</v>
      </c>
      <c r="F28" s="32">
        <f>F29+F66</f>
        <v>18048</v>
      </c>
      <c r="G28" s="32">
        <f>G29+G66</f>
        <v>8959</v>
      </c>
      <c r="H28" s="32">
        <f>H29+H66</f>
        <v>9176</v>
      </c>
    </row>
    <row r="29" spans="1:8" x14ac:dyDescent="0.25">
      <c r="A29" s="9" t="s">
        <v>6</v>
      </c>
      <c r="B29" s="10" t="s">
        <v>179</v>
      </c>
      <c r="C29" s="20"/>
      <c r="D29" s="20"/>
      <c r="E29" s="20">
        <f>E34+E43</f>
        <v>12845</v>
      </c>
      <c r="F29" s="20">
        <f>F34+F43</f>
        <v>10875</v>
      </c>
      <c r="G29" s="20">
        <f t="shared" ref="G29:H29" si="0">G34+G43</f>
        <v>7075</v>
      </c>
      <c r="H29" s="20">
        <f t="shared" si="0"/>
        <v>7234</v>
      </c>
    </row>
    <row r="30" spans="1:8" s="71" customFormat="1" x14ac:dyDescent="0.25">
      <c r="A30" s="13"/>
      <c r="B30" s="14" t="s">
        <v>737</v>
      </c>
      <c r="C30" s="22"/>
      <c r="D30" s="22"/>
      <c r="E30" s="22"/>
      <c r="F30" s="22"/>
      <c r="G30" s="22"/>
      <c r="H30" s="22"/>
    </row>
    <row r="31" spans="1:8" x14ac:dyDescent="0.25">
      <c r="A31" s="11"/>
      <c r="B31" s="12" t="s">
        <v>626</v>
      </c>
      <c r="C31" s="21"/>
      <c r="D31" s="21"/>
      <c r="E31" s="21">
        <v>250</v>
      </c>
      <c r="F31" s="21">
        <v>250</v>
      </c>
      <c r="G31" s="21">
        <f>E31</f>
        <v>250</v>
      </c>
      <c r="H31" s="21">
        <f>G31</f>
        <v>250</v>
      </c>
    </row>
    <row r="32" spans="1:8" x14ac:dyDescent="0.25">
      <c r="A32" s="11"/>
      <c r="B32" s="12" t="s">
        <v>828</v>
      </c>
      <c r="C32" s="21"/>
      <c r="D32" s="21"/>
      <c r="E32" s="21">
        <v>75</v>
      </c>
      <c r="F32" s="21">
        <v>75</v>
      </c>
      <c r="G32" s="21">
        <f>E32</f>
        <v>75</v>
      </c>
      <c r="H32" s="21">
        <f>G32</f>
        <v>75</v>
      </c>
    </row>
    <row r="33" spans="1:8" x14ac:dyDescent="0.25">
      <c r="A33" s="11"/>
      <c r="B33" s="12" t="s">
        <v>664</v>
      </c>
      <c r="C33" s="21"/>
      <c r="D33" s="21"/>
      <c r="E33" s="21">
        <f>+E31-E32</f>
        <v>175</v>
      </c>
      <c r="F33" s="21">
        <f>+F31-F32</f>
        <v>175</v>
      </c>
      <c r="G33" s="21">
        <f>+G31-G32</f>
        <v>175</v>
      </c>
      <c r="H33" s="21">
        <f>+H31-H32</f>
        <v>175</v>
      </c>
    </row>
    <row r="34" spans="1:8" s="76" customFormat="1" ht="21" customHeight="1" x14ac:dyDescent="0.25">
      <c r="A34" s="73" t="s">
        <v>51</v>
      </c>
      <c r="B34" s="74" t="s">
        <v>1078</v>
      </c>
      <c r="C34" s="75"/>
      <c r="D34" s="75"/>
      <c r="E34" s="75">
        <f>+E35+E39-E40</f>
        <v>6047</v>
      </c>
      <c r="F34" s="75">
        <f t="shared" ref="F34:H34" si="1">+F35+F39-F40</f>
        <v>6303</v>
      </c>
      <c r="G34" s="75">
        <f t="shared" si="1"/>
        <v>6502</v>
      </c>
      <c r="H34" s="75">
        <f t="shared" si="1"/>
        <v>6661</v>
      </c>
    </row>
    <row r="35" spans="1:8" ht="56.25" x14ac:dyDescent="0.25">
      <c r="A35" s="11">
        <v>1</v>
      </c>
      <c r="B35" s="12" t="s">
        <v>1185</v>
      </c>
      <c r="C35" s="21"/>
      <c r="D35" s="21"/>
      <c r="E35" s="21">
        <v>5163</v>
      </c>
      <c r="F35" s="21">
        <f>SUM(F36:F38)</f>
        <v>5455</v>
      </c>
      <c r="G35" s="21">
        <f>SUM(G36:G38)</f>
        <v>5614</v>
      </c>
      <c r="H35" s="21">
        <f>SUM(H36:H38)</f>
        <v>5773</v>
      </c>
    </row>
    <row r="36" spans="1:8" x14ac:dyDescent="0.25">
      <c r="A36" s="11"/>
      <c r="B36" s="12" t="s">
        <v>1291</v>
      </c>
      <c r="C36" s="21">
        <v>51</v>
      </c>
      <c r="D36" s="36">
        <v>44</v>
      </c>
      <c r="E36" s="21"/>
      <c r="F36" s="21">
        <v>4775</v>
      </c>
      <c r="G36" s="21">
        <f>ROUND(F36+16*8.8,0)</f>
        <v>4916</v>
      </c>
      <c r="H36" s="21">
        <f>ROUND(G36+16*8.8,0)</f>
        <v>5057</v>
      </c>
    </row>
    <row r="37" spans="1:8" x14ac:dyDescent="0.25">
      <c r="A37" s="11"/>
      <c r="B37" s="12" t="s">
        <v>1292</v>
      </c>
      <c r="C37" s="21"/>
      <c r="D37" s="36"/>
      <c r="E37" s="21"/>
      <c r="F37" s="21">
        <v>362</v>
      </c>
      <c r="G37" s="21">
        <f>F37</f>
        <v>362</v>
      </c>
      <c r="H37" s="21">
        <f>G37</f>
        <v>362</v>
      </c>
    </row>
    <row r="38" spans="1:8" ht="37.5" x14ac:dyDescent="0.25">
      <c r="A38" s="11"/>
      <c r="B38" s="12" t="s">
        <v>1091</v>
      </c>
      <c r="C38" s="21">
        <v>6</v>
      </c>
      <c r="D38" s="21">
        <v>5</v>
      </c>
      <c r="E38" s="21"/>
      <c r="F38" s="21">
        <v>318</v>
      </c>
      <c r="G38" s="21">
        <f>ROUND(F38+2*8.8,0)</f>
        <v>336</v>
      </c>
      <c r="H38" s="21">
        <f>ROUND(G38+2*8.8,0)</f>
        <v>354</v>
      </c>
    </row>
    <row r="39" spans="1:8" ht="37.5" x14ac:dyDescent="0.25">
      <c r="A39" s="11">
        <v>2</v>
      </c>
      <c r="B39" s="12" t="s">
        <v>816</v>
      </c>
      <c r="C39" s="21">
        <v>51</v>
      </c>
      <c r="D39" s="21"/>
      <c r="E39" s="36">
        <v>1060</v>
      </c>
      <c r="F39" s="36">
        <f>C39*20</f>
        <v>1020</v>
      </c>
      <c r="G39" s="36">
        <f>+E39</f>
        <v>1060</v>
      </c>
      <c r="H39" s="36">
        <f>+G39</f>
        <v>1060</v>
      </c>
    </row>
    <row r="40" spans="1:8" x14ac:dyDescent="0.25">
      <c r="A40" s="11">
        <v>3</v>
      </c>
      <c r="B40" s="12" t="s">
        <v>1092</v>
      </c>
      <c r="C40" s="21"/>
      <c r="D40" s="21"/>
      <c r="E40" s="36">
        <f t="shared" ref="E40:F40" si="2">SUM(E41:E42)</f>
        <v>176</v>
      </c>
      <c r="F40" s="36">
        <f t="shared" si="2"/>
        <v>172</v>
      </c>
      <c r="G40" s="36">
        <f>SUM(G41:G42)</f>
        <v>172</v>
      </c>
      <c r="H40" s="36">
        <f>SUM(H41:H42)</f>
        <v>172</v>
      </c>
    </row>
    <row r="41" spans="1:8" x14ac:dyDescent="0.25">
      <c r="A41" s="11"/>
      <c r="B41" s="12" t="s">
        <v>969</v>
      </c>
      <c r="C41" s="21"/>
      <c r="D41" s="21"/>
      <c r="E41" s="21">
        <v>106</v>
      </c>
      <c r="F41" s="21">
        <v>102</v>
      </c>
      <c r="G41" s="21">
        <f>F41</f>
        <v>102</v>
      </c>
      <c r="H41" s="21">
        <f>G41</f>
        <v>102</v>
      </c>
    </row>
    <row r="42" spans="1:8" x14ac:dyDescent="0.25">
      <c r="A42" s="11"/>
      <c r="B42" s="12" t="s">
        <v>968</v>
      </c>
      <c r="C42" s="21"/>
      <c r="D42" s="21"/>
      <c r="E42" s="21">
        <v>70</v>
      </c>
      <c r="F42" s="21">
        <v>70</v>
      </c>
      <c r="G42" s="21">
        <f>E42</f>
        <v>70</v>
      </c>
      <c r="H42" s="21">
        <f>G42</f>
        <v>70</v>
      </c>
    </row>
    <row r="43" spans="1:8" s="50" customFormat="1" x14ac:dyDescent="0.25">
      <c r="A43" s="62" t="s">
        <v>52</v>
      </c>
      <c r="B43" s="63" t="s">
        <v>11</v>
      </c>
      <c r="C43" s="64"/>
      <c r="D43" s="64"/>
      <c r="E43" s="64">
        <f>E44+E59+E62</f>
        <v>6798</v>
      </c>
      <c r="F43" s="64">
        <f>F44+F59+F62</f>
        <v>4572</v>
      </c>
      <c r="G43" s="64">
        <f>G44+G59+G62</f>
        <v>573</v>
      </c>
      <c r="H43" s="64">
        <f>H44+H59+H62</f>
        <v>573</v>
      </c>
    </row>
    <row r="44" spans="1:8" s="50" customFormat="1" x14ac:dyDescent="0.25">
      <c r="A44" s="62">
        <v>1</v>
      </c>
      <c r="B44" s="63" t="s">
        <v>81</v>
      </c>
      <c r="C44" s="64"/>
      <c r="D44" s="64"/>
      <c r="E44" s="64">
        <f>SUM(E45:E58)</f>
        <v>1998</v>
      </c>
      <c r="F44" s="64">
        <f>SUM(F45:F58)</f>
        <v>1892</v>
      </c>
      <c r="G44" s="64">
        <f>SUM(G45:G58)</f>
        <v>373</v>
      </c>
      <c r="H44" s="64">
        <f>SUM(H45:H58)</f>
        <v>373</v>
      </c>
    </row>
    <row r="45" spans="1:8" s="49" customFormat="1" x14ac:dyDescent="0.25">
      <c r="A45" s="58" t="s">
        <v>99</v>
      </c>
      <c r="B45" s="59" t="s">
        <v>482</v>
      </c>
      <c r="C45" s="60"/>
      <c r="D45" s="60"/>
      <c r="E45" s="60">
        <v>15</v>
      </c>
      <c r="F45" s="60">
        <f>E45</f>
        <v>15</v>
      </c>
      <c r="G45" s="60">
        <f>E45</f>
        <v>15</v>
      </c>
      <c r="H45" s="60">
        <f>G45</f>
        <v>15</v>
      </c>
    </row>
    <row r="46" spans="1:8" s="49" customFormat="1" x14ac:dyDescent="0.25">
      <c r="A46" s="58" t="s">
        <v>99</v>
      </c>
      <c r="B46" s="59" t="s">
        <v>1188</v>
      </c>
      <c r="C46" s="60"/>
      <c r="D46" s="60"/>
      <c r="E46" s="60">
        <v>35</v>
      </c>
      <c r="F46" s="60">
        <v>35</v>
      </c>
      <c r="G46" s="60">
        <f>E46</f>
        <v>35</v>
      </c>
      <c r="H46" s="60">
        <f t="shared" ref="H46:H48" si="3">G46</f>
        <v>35</v>
      </c>
    </row>
    <row r="47" spans="1:8" s="49" customFormat="1" x14ac:dyDescent="0.25">
      <c r="A47" s="58" t="s">
        <v>99</v>
      </c>
      <c r="B47" s="59" t="s">
        <v>183</v>
      </c>
      <c r="C47" s="60"/>
      <c r="D47" s="60"/>
      <c r="E47" s="60">
        <v>23</v>
      </c>
      <c r="F47" s="60">
        <v>15</v>
      </c>
      <c r="G47" s="60">
        <f>E47</f>
        <v>23</v>
      </c>
      <c r="H47" s="60">
        <f t="shared" si="3"/>
        <v>23</v>
      </c>
    </row>
    <row r="48" spans="1:8" s="49" customFormat="1" x14ac:dyDescent="0.25">
      <c r="A48" s="58" t="s">
        <v>99</v>
      </c>
      <c r="B48" s="59" t="s">
        <v>206</v>
      </c>
      <c r="C48" s="60"/>
      <c r="D48" s="60"/>
      <c r="E48" s="60">
        <v>200</v>
      </c>
      <c r="F48" s="60">
        <v>300</v>
      </c>
      <c r="G48" s="60">
        <f>F48</f>
        <v>300</v>
      </c>
      <c r="H48" s="60">
        <f t="shared" si="3"/>
        <v>300</v>
      </c>
    </row>
    <row r="49" spans="1:8" s="49" customFormat="1" x14ac:dyDescent="0.25">
      <c r="A49" s="58" t="s">
        <v>99</v>
      </c>
      <c r="B49" s="59" t="s">
        <v>207</v>
      </c>
      <c r="C49" s="60"/>
      <c r="D49" s="60"/>
      <c r="E49" s="60">
        <v>310</v>
      </c>
      <c r="F49" s="60">
        <f>E49</f>
        <v>310</v>
      </c>
      <c r="G49" s="60"/>
      <c r="H49" s="60"/>
    </row>
    <row r="50" spans="1:8" s="49" customFormat="1" x14ac:dyDescent="0.25">
      <c r="A50" s="58" t="s">
        <v>99</v>
      </c>
      <c r="B50" s="59" t="s">
        <v>209</v>
      </c>
      <c r="C50" s="60"/>
      <c r="D50" s="60"/>
      <c r="E50" s="60">
        <v>170</v>
      </c>
      <c r="F50" s="60">
        <v>308</v>
      </c>
      <c r="G50" s="60"/>
      <c r="H50" s="60"/>
    </row>
    <row r="51" spans="1:8" s="49" customFormat="1" ht="37.5" x14ac:dyDescent="0.25">
      <c r="A51" s="58" t="s">
        <v>99</v>
      </c>
      <c r="B51" s="59" t="s">
        <v>831</v>
      </c>
      <c r="C51" s="60"/>
      <c r="D51" s="60"/>
      <c r="E51" s="60">
        <v>90</v>
      </c>
      <c r="F51" s="60">
        <v>63</v>
      </c>
      <c r="G51" s="60"/>
      <c r="H51" s="60"/>
    </row>
    <row r="52" spans="1:8" s="49" customFormat="1" ht="37.5" x14ac:dyDescent="0.25">
      <c r="A52" s="58" t="s">
        <v>99</v>
      </c>
      <c r="B52" s="59" t="s">
        <v>210</v>
      </c>
      <c r="C52" s="60"/>
      <c r="D52" s="60"/>
      <c r="E52" s="60">
        <v>30</v>
      </c>
      <c r="F52" s="60">
        <f>E52</f>
        <v>30</v>
      </c>
      <c r="G52" s="60"/>
      <c r="H52" s="60"/>
    </row>
    <row r="53" spans="1:8" s="49" customFormat="1" ht="37.5" x14ac:dyDescent="0.25">
      <c r="A53" s="58" t="s">
        <v>99</v>
      </c>
      <c r="B53" s="59" t="s">
        <v>211</v>
      </c>
      <c r="C53" s="60"/>
      <c r="D53" s="60"/>
      <c r="E53" s="60">
        <v>500</v>
      </c>
      <c r="F53" s="60">
        <v>236</v>
      </c>
      <c r="G53" s="60"/>
      <c r="H53" s="60"/>
    </row>
    <row r="54" spans="1:8" s="49" customFormat="1" ht="37.5" x14ac:dyDescent="0.25">
      <c r="A54" s="58" t="s">
        <v>99</v>
      </c>
      <c r="B54" s="59" t="s">
        <v>1298</v>
      </c>
      <c r="C54" s="60"/>
      <c r="D54" s="60"/>
      <c r="E54" s="60">
        <v>460</v>
      </c>
      <c r="F54" s="60">
        <f>E54</f>
        <v>460</v>
      </c>
      <c r="G54" s="60"/>
      <c r="H54" s="60"/>
    </row>
    <row r="55" spans="1:8" s="49" customFormat="1" ht="56.25" x14ac:dyDescent="0.25">
      <c r="A55" s="58" t="s">
        <v>99</v>
      </c>
      <c r="B55" s="59" t="s">
        <v>829</v>
      </c>
      <c r="C55" s="60"/>
      <c r="D55" s="60"/>
      <c r="E55" s="60"/>
      <c r="F55" s="60"/>
      <c r="G55" s="60"/>
      <c r="H55" s="60"/>
    </row>
    <row r="56" spans="1:8" s="49" customFormat="1" ht="37.5" x14ac:dyDescent="0.25">
      <c r="A56" s="58" t="s">
        <v>99</v>
      </c>
      <c r="B56" s="59" t="s">
        <v>830</v>
      </c>
      <c r="C56" s="60"/>
      <c r="D56" s="60"/>
      <c r="E56" s="60">
        <f>15*5+20+10</f>
        <v>105</v>
      </c>
      <c r="F56" s="60"/>
      <c r="G56" s="60"/>
      <c r="H56" s="60"/>
    </row>
    <row r="57" spans="1:8" s="49" customFormat="1" x14ac:dyDescent="0.25">
      <c r="A57" s="58" t="s">
        <v>99</v>
      </c>
      <c r="B57" s="59" t="s">
        <v>1294</v>
      </c>
      <c r="C57" s="60"/>
      <c r="D57" s="60"/>
      <c r="E57" s="60"/>
      <c r="F57" s="60">
        <f>75+25</f>
        <v>100</v>
      </c>
      <c r="G57" s="60"/>
      <c r="H57" s="60"/>
    </row>
    <row r="58" spans="1:8" s="49" customFormat="1" x14ac:dyDescent="0.25">
      <c r="A58" s="58" t="s">
        <v>99</v>
      </c>
      <c r="B58" s="59" t="s">
        <v>184</v>
      </c>
      <c r="C58" s="60"/>
      <c r="D58" s="60"/>
      <c r="E58" s="60">
        <v>60</v>
      </c>
      <c r="F58" s="60">
        <v>20</v>
      </c>
      <c r="G58" s="60"/>
      <c r="H58" s="60"/>
    </row>
    <row r="59" spans="1:8" s="50" customFormat="1" x14ac:dyDescent="0.3">
      <c r="A59" s="62">
        <v>2</v>
      </c>
      <c r="B59" s="225" t="s">
        <v>82</v>
      </c>
      <c r="C59" s="64"/>
      <c r="D59" s="64"/>
      <c r="E59" s="64">
        <f>SUM(E60:E61)</f>
        <v>4000</v>
      </c>
      <c r="F59" s="64">
        <v>2000</v>
      </c>
      <c r="G59" s="64">
        <f t="shared" ref="G59:H59" si="4">SUM(G60:G61)</f>
        <v>0</v>
      </c>
      <c r="H59" s="64">
        <f t="shared" si="4"/>
        <v>0</v>
      </c>
    </row>
    <row r="60" spans="1:8" s="49" customFormat="1" ht="56.25" x14ac:dyDescent="0.3">
      <c r="A60" s="58" t="s">
        <v>99</v>
      </c>
      <c r="B60" s="226" t="s">
        <v>833</v>
      </c>
      <c r="C60" s="60"/>
      <c r="D60" s="60"/>
      <c r="E60" s="60">
        <v>2000</v>
      </c>
      <c r="F60" s="60"/>
      <c r="G60" s="60"/>
      <c r="H60" s="60"/>
    </row>
    <row r="61" spans="1:8" s="49" customFormat="1" ht="56.25" x14ac:dyDescent="0.3">
      <c r="A61" s="58" t="s">
        <v>99</v>
      </c>
      <c r="B61" s="226" t="s">
        <v>834</v>
      </c>
      <c r="C61" s="60"/>
      <c r="D61" s="60"/>
      <c r="E61" s="60">
        <v>2000</v>
      </c>
      <c r="F61" s="60"/>
      <c r="G61" s="60"/>
      <c r="H61" s="60"/>
    </row>
    <row r="62" spans="1:8" s="50" customFormat="1" x14ac:dyDescent="0.3">
      <c r="A62" s="62">
        <v>3</v>
      </c>
      <c r="B62" s="66" t="s">
        <v>83</v>
      </c>
      <c r="C62" s="64"/>
      <c r="D62" s="64"/>
      <c r="E62" s="64">
        <f>SUM(E63:E65)</f>
        <v>800</v>
      </c>
      <c r="F62" s="64">
        <f t="shared" ref="F62:H62" si="5">SUM(F63:F65)</f>
        <v>680</v>
      </c>
      <c r="G62" s="64">
        <f t="shared" si="5"/>
        <v>200</v>
      </c>
      <c r="H62" s="64">
        <f t="shared" si="5"/>
        <v>200</v>
      </c>
    </row>
    <row r="63" spans="1:8" s="49" customFormat="1" x14ac:dyDescent="0.25">
      <c r="A63" s="58" t="s">
        <v>99</v>
      </c>
      <c r="B63" s="59" t="s">
        <v>832</v>
      </c>
      <c r="C63" s="60"/>
      <c r="D63" s="60"/>
      <c r="E63" s="60">
        <v>100</v>
      </c>
      <c r="F63" s="60">
        <v>100</v>
      </c>
      <c r="G63" s="60">
        <f>E63</f>
        <v>100</v>
      </c>
      <c r="H63" s="60">
        <f>G63</f>
        <v>100</v>
      </c>
    </row>
    <row r="64" spans="1:8" s="49" customFormat="1" ht="37.5" x14ac:dyDescent="0.25">
      <c r="A64" s="58" t="s">
        <v>99</v>
      </c>
      <c r="B64" s="59" t="s">
        <v>1295</v>
      </c>
      <c r="C64" s="60"/>
      <c r="D64" s="60"/>
      <c r="E64" s="60">
        <v>100</v>
      </c>
      <c r="F64" s="60">
        <f>E64</f>
        <v>100</v>
      </c>
      <c r="G64" s="60">
        <f>E64</f>
        <v>100</v>
      </c>
      <c r="H64" s="60">
        <f>G64</f>
        <v>100</v>
      </c>
    </row>
    <row r="65" spans="1:8" s="49" customFormat="1" ht="37.5" x14ac:dyDescent="0.25">
      <c r="A65" s="58" t="s">
        <v>99</v>
      </c>
      <c r="B65" s="59" t="s">
        <v>216</v>
      </c>
      <c r="C65" s="60"/>
      <c r="D65" s="60"/>
      <c r="E65" s="60">
        <v>600</v>
      </c>
      <c r="F65" s="60">
        <v>480</v>
      </c>
      <c r="G65" s="60"/>
      <c r="H65" s="60"/>
    </row>
    <row r="66" spans="1:8" s="76" customFormat="1" x14ac:dyDescent="0.25">
      <c r="A66" s="73" t="s">
        <v>7</v>
      </c>
      <c r="B66" s="74" t="s">
        <v>180</v>
      </c>
      <c r="C66" s="75"/>
      <c r="D66" s="75"/>
      <c r="E66" s="75">
        <f>E70+E77</f>
        <v>7086</v>
      </c>
      <c r="F66" s="75">
        <f>F70+F77</f>
        <v>7173</v>
      </c>
      <c r="G66" s="75">
        <f>G70+G77</f>
        <v>1884</v>
      </c>
      <c r="H66" s="75">
        <f>H70+H77</f>
        <v>1942</v>
      </c>
    </row>
    <row r="67" spans="1:8" s="76" customFormat="1" x14ac:dyDescent="0.25">
      <c r="A67" s="73"/>
      <c r="B67" s="74" t="s">
        <v>797</v>
      </c>
      <c r="C67" s="75"/>
      <c r="D67" s="75"/>
      <c r="E67" s="75"/>
      <c r="F67" s="75"/>
      <c r="G67" s="75"/>
      <c r="H67" s="75"/>
    </row>
    <row r="68" spans="1:8" x14ac:dyDescent="0.25">
      <c r="A68" s="11"/>
      <c r="B68" s="12" t="s">
        <v>609</v>
      </c>
      <c r="C68" s="21"/>
      <c r="D68" s="21"/>
      <c r="E68" s="21">
        <v>850</v>
      </c>
      <c r="F68" s="21">
        <v>950</v>
      </c>
      <c r="G68" s="21">
        <f>E68</f>
        <v>850</v>
      </c>
      <c r="H68" s="21">
        <f>G68</f>
        <v>850</v>
      </c>
    </row>
    <row r="69" spans="1:8" x14ac:dyDescent="0.25">
      <c r="A69" s="11"/>
      <c r="B69" s="12" t="s">
        <v>611</v>
      </c>
      <c r="C69" s="21"/>
      <c r="D69" s="21"/>
      <c r="E69" s="21">
        <v>250</v>
      </c>
      <c r="F69" s="21">
        <f>F68-700</f>
        <v>250</v>
      </c>
      <c r="G69" s="21">
        <f>E69</f>
        <v>250</v>
      </c>
      <c r="H69" s="21">
        <f>G69</f>
        <v>250</v>
      </c>
    </row>
    <row r="70" spans="1:8" s="76" customFormat="1" ht="21" customHeight="1" x14ac:dyDescent="0.25">
      <c r="A70" s="73" t="s">
        <v>51</v>
      </c>
      <c r="B70" s="74" t="s">
        <v>1106</v>
      </c>
      <c r="C70" s="75"/>
      <c r="D70" s="75"/>
      <c r="E70" s="75">
        <f>E71+E72-E73-E74</f>
        <v>1826</v>
      </c>
      <c r="F70" s="75">
        <f t="shared" ref="F70:H70" si="6">F71+F72-F73-F74</f>
        <v>1913</v>
      </c>
      <c r="G70" s="75">
        <f t="shared" si="6"/>
        <v>1884</v>
      </c>
      <c r="H70" s="75">
        <f t="shared" si="6"/>
        <v>1942</v>
      </c>
    </row>
    <row r="71" spans="1:8" ht="37.5" x14ac:dyDescent="0.25">
      <c r="A71" s="11">
        <v>1</v>
      </c>
      <c r="B71" s="12" t="s">
        <v>1093</v>
      </c>
      <c r="C71" s="21">
        <v>25</v>
      </c>
      <c r="D71" s="21">
        <v>21</v>
      </c>
      <c r="E71" s="21">
        <v>1633</v>
      </c>
      <c r="F71" s="21">
        <v>1720</v>
      </c>
      <c r="G71" s="21">
        <f>ROUND(E71+8*7.3,0)</f>
        <v>1691</v>
      </c>
      <c r="H71" s="21">
        <f>ROUND(G71+8*7.3,0)</f>
        <v>1749</v>
      </c>
    </row>
    <row r="72" spans="1:8" ht="37.5" x14ac:dyDescent="0.25">
      <c r="A72" s="11">
        <v>2</v>
      </c>
      <c r="B72" s="12" t="s">
        <v>1094</v>
      </c>
      <c r="C72" s="21">
        <v>25</v>
      </c>
      <c r="D72" s="21"/>
      <c r="E72" s="21">
        <f>+C72*19</f>
        <v>475</v>
      </c>
      <c r="F72" s="21">
        <f>C72*19</f>
        <v>475</v>
      </c>
      <c r="G72" s="21">
        <f>+E72</f>
        <v>475</v>
      </c>
      <c r="H72" s="21">
        <f>+G72</f>
        <v>475</v>
      </c>
    </row>
    <row r="73" spans="1:8" ht="37.5" x14ac:dyDescent="0.25">
      <c r="A73" s="11">
        <v>3</v>
      </c>
      <c r="B73" s="12" t="s">
        <v>79</v>
      </c>
      <c r="C73" s="21"/>
      <c r="D73" s="21"/>
      <c r="E73" s="21">
        <v>150</v>
      </c>
      <c r="F73" s="21">
        <f>F69-F75</f>
        <v>150</v>
      </c>
      <c r="G73" s="21">
        <f t="shared" ref="G73:H73" si="7">G69-G75</f>
        <v>150</v>
      </c>
      <c r="H73" s="21">
        <f t="shared" si="7"/>
        <v>150</v>
      </c>
    </row>
    <row r="74" spans="1:8" x14ac:dyDescent="0.25">
      <c r="A74" s="11">
        <v>4</v>
      </c>
      <c r="B74" s="12" t="s">
        <v>1092</v>
      </c>
      <c r="C74" s="21"/>
      <c r="D74" s="21"/>
      <c r="E74" s="21">
        <f>SUM(E75:E76)</f>
        <v>132</v>
      </c>
      <c r="F74" s="21">
        <f t="shared" ref="F74:H74" si="8">SUM(F75:F76)</f>
        <v>132</v>
      </c>
      <c r="G74" s="21">
        <f t="shared" si="8"/>
        <v>132</v>
      </c>
      <c r="H74" s="21">
        <f t="shared" si="8"/>
        <v>132</v>
      </c>
    </row>
    <row r="75" spans="1:8" ht="37.5" x14ac:dyDescent="0.25">
      <c r="A75" s="11"/>
      <c r="B75" s="12" t="s">
        <v>1297</v>
      </c>
      <c r="C75" s="21"/>
      <c r="D75" s="21"/>
      <c r="E75" s="21">
        <v>100</v>
      </c>
      <c r="F75" s="21">
        <f>F69*0.4</f>
        <v>100</v>
      </c>
      <c r="G75" s="21">
        <f>F75</f>
        <v>100</v>
      </c>
      <c r="H75" s="21">
        <f>+G75</f>
        <v>100</v>
      </c>
    </row>
    <row r="76" spans="1:8" ht="37.5" x14ac:dyDescent="0.25">
      <c r="A76" s="11"/>
      <c r="B76" s="12" t="s">
        <v>1296</v>
      </c>
      <c r="C76" s="21"/>
      <c r="D76" s="21"/>
      <c r="E76" s="21">
        <v>32</v>
      </c>
      <c r="F76" s="21">
        <v>32</v>
      </c>
      <c r="G76" s="21">
        <f>F76</f>
        <v>32</v>
      </c>
      <c r="H76" s="21">
        <f>G76</f>
        <v>32</v>
      </c>
    </row>
    <row r="77" spans="1:8" s="50" customFormat="1" x14ac:dyDescent="0.25">
      <c r="A77" s="62" t="s">
        <v>52</v>
      </c>
      <c r="B77" s="63" t="s">
        <v>11</v>
      </c>
      <c r="C77" s="64"/>
      <c r="D77" s="64"/>
      <c r="E77" s="64">
        <f>SUM(E78:E83)</f>
        <v>5260</v>
      </c>
      <c r="F77" s="64">
        <f t="shared" ref="F77:H77" si="9">SUM(F78:F83)</f>
        <v>5260</v>
      </c>
      <c r="G77" s="64">
        <f t="shared" si="9"/>
        <v>0</v>
      </c>
      <c r="H77" s="64">
        <f t="shared" si="9"/>
        <v>0</v>
      </c>
    </row>
    <row r="78" spans="1:8" s="49" customFormat="1" ht="56.25" x14ac:dyDescent="0.25">
      <c r="A78" s="58" t="s">
        <v>99</v>
      </c>
      <c r="B78" s="59" t="s">
        <v>826</v>
      </c>
      <c r="C78" s="60"/>
      <c r="D78" s="60"/>
      <c r="E78" s="60">
        <v>180</v>
      </c>
      <c r="F78" s="60">
        <v>122</v>
      </c>
      <c r="G78" s="60"/>
      <c r="H78" s="60"/>
    </row>
    <row r="79" spans="1:8" s="49" customFormat="1" ht="56.25" x14ac:dyDescent="0.25">
      <c r="A79" s="58" t="s">
        <v>99</v>
      </c>
      <c r="B79" s="59" t="s">
        <v>204</v>
      </c>
      <c r="C79" s="60"/>
      <c r="D79" s="60"/>
      <c r="E79" s="60">
        <v>4100</v>
      </c>
      <c r="F79" s="60">
        <v>4590</v>
      </c>
      <c r="G79" s="60"/>
      <c r="H79" s="60"/>
    </row>
    <row r="80" spans="1:8" s="49" customFormat="1" ht="93.75" x14ac:dyDescent="0.25">
      <c r="A80" s="58" t="s">
        <v>99</v>
      </c>
      <c r="B80" s="59" t="s">
        <v>823</v>
      </c>
      <c r="C80" s="60"/>
      <c r="D80" s="60"/>
      <c r="E80" s="60">
        <v>500</v>
      </c>
      <c r="F80" s="60"/>
      <c r="G80" s="60"/>
      <c r="H80" s="60"/>
    </row>
    <row r="81" spans="1:8" s="49" customFormat="1" ht="37.5" x14ac:dyDescent="0.25">
      <c r="A81" s="58" t="s">
        <v>99</v>
      </c>
      <c r="B81" s="59" t="s">
        <v>205</v>
      </c>
      <c r="C81" s="60"/>
      <c r="D81" s="60"/>
      <c r="E81" s="60">
        <v>286</v>
      </c>
      <c r="F81" s="60">
        <v>354</v>
      </c>
      <c r="G81" s="60"/>
      <c r="H81" s="60"/>
    </row>
    <row r="82" spans="1:8" s="49" customFormat="1" ht="37.5" x14ac:dyDescent="0.25">
      <c r="A82" s="58" t="s">
        <v>99</v>
      </c>
      <c r="B82" s="59" t="s">
        <v>827</v>
      </c>
      <c r="C82" s="60"/>
      <c r="D82" s="60"/>
      <c r="E82" s="60">
        <v>194</v>
      </c>
      <c r="F82" s="60">
        <f>E82</f>
        <v>194</v>
      </c>
      <c r="G82" s="60"/>
      <c r="H82" s="60"/>
    </row>
    <row r="83" spans="1:8" s="49" customFormat="1" ht="37.5" x14ac:dyDescent="0.25">
      <c r="A83" s="58" t="s">
        <v>99</v>
      </c>
      <c r="B83" s="59" t="s">
        <v>825</v>
      </c>
      <c r="C83" s="60"/>
      <c r="D83" s="60"/>
      <c r="E83" s="60"/>
      <c r="F83" s="60"/>
      <c r="G83" s="60"/>
      <c r="H83" s="60"/>
    </row>
    <row r="84" spans="1:8" s="49" customFormat="1" x14ac:dyDescent="0.25">
      <c r="A84" s="67"/>
      <c r="B84" s="68"/>
      <c r="C84" s="69"/>
      <c r="D84" s="69"/>
      <c r="E84" s="69"/>
      <c r="F84" s="69"/>
      <c r="G84" s="69"/>
      <c r="H84" s="69"/>
    </row>
    <row r="85" spans="1:8" s="49" customFormat="1" ht="43.5" customHeight="1" x14ac:dyDescent="0.25">
      <c r="A85" s="70"/>
      <c r="B85" s="567" t="s">
        <v>1299</v>
      </c>
      <c r="C85" s="567"/>
      <c r="D85" s="567"/>
      <c r="E85" s="567"/>
      <c r="F85" s="567"/>
      <c r="G85" s="567"/>
      <c r="H85" s="567"/>
    </row>
    <row r="86" spans="1:8" x14ac:dyDescent="0.25">
      <c r="A86" s="2"/>
      <c r="B86" s="7" t="s">
        <v>682</v>
      </c>
    </row>
    <row r="87" spans="1:8" x14ac:dyDescent="0.25">
      <c r="A87" s="2"/>
    </row>
    <row r="88" spans="1:8" x14ac:dyDescent="0.25">
      <c r="A88" s="550" t="s">
        <v>36</v>
      </c>
      <c r="B88" s="550"/>
      <c r="D88" s="550" t="s">
        <v>37</v>
      </c>
      <c r="E88" s="550"/>
      <c r="F88" s="550"/>
      <c r="G88" s="550"/>
      <c r="H88" s="550"/>
    </row>
  </sheetData>
  <mergeCells count="19">
    <mergeCell ref="C22:H22"/>
    <mergeCell ref="A1:H1"/>
    <mergeCell ref="B3:H3"/>
    <mergeCell ref="C6:H6"/>
    <mergeCell ref="C7:H7"/>
    <mergeCell ref="C8:H8"/>
    <mergeCell ref="C9:H9"/>
    <mergeCell ref="C10:H10"/>
    <mergeCell ref="C15:H15"/>
    <mergeCell ref="C17:H17"/>
    <mergeCell ref="C20:H20"/>
    <mergeCell ref="C21:H21"/>
    <mergeCell ref="C19:H19"/>
    <mergeCell ref="B85:H85"/>
    <mergeCell ref="A88:B88"/>
    <mergeCell ref="D88:H88"/>
    <mergeCell ref="C23:H23"/>
    <mergeCell ref="C24:H24"/>
    <mergeCell ref="B25:H25"/>
  </mergeCells>
  <printOptions horizontalCentered="1"/>
  <pageMargins left="0.19685039370078741" right="0.19685039370078741" top="0.59055118110236227" bottom="0.59055118110236227" header="0.31496062992125984" footer="0.31496062992125984"/>
  <pageSetup paperSize="9" scale="89" orientation="portrait" r:id="rId1"/>
  <headerFooter>
    <oddFooter>&amp;C&amp;P/&amp;N</oddFooter>
  </headerFooter>
  <legacy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125"/>
  <sheetViews>
    <sheetView topLeftCell="A104" zoomScaleNormal="100" workbookViewId="0">
      <selection activeCell="F121" sqref="F121"/>
    </sheetView>
  </sheetViews>
  <sheetFormatPr defaultColWidth="9.140625" defaultRowHeight="18.75" x14ac:dyDescent="0.25"/>
  <cols>
    <col min="1" max="1" width="4.85546875" style="7" customWidth="1"/>
    <col min="2" max="2" width="43.28515625" style="7" customWidth="1"/>
    <col min="3" max="4" width="7.85546875" style="7" customWidth="1"/>
    <col min="5" max="8" width="11.7109375" style="7" customWidth="1"/>
    <col min="9" max="16384" width="9.140625" style="7"/>
  </cols>
  <sheetData>
    <row r="1" spans="1:8" ht="41.25" customHeight="1" x14ac:dyDescent="0.25">
      <c r="A1" s="549" t="s">
        <v>1074</v>
      </c>
      <c r="B1" s="555"/>
      <c r="C1" s="555"/>
      <c r="D1" s="555"/>
      <c r="E1" s="555"/>
      <c r="F1" s="555"/>
      <c r="G1" s="555"/>
      <c r="H1" s="555"/>
    </row>
    <row r="2" spans="1:8" x14ac:dyDescent="0.25">
      <c r="A2" s="80"/>
      <c r="B2" s="80"/>
      <c r="C2" s="80"/>
      <c r="D2" s="1"/>
      <c r="E2" s="1"/>
      <c r="F2" s="1"/>
      <c r="G2" s="1"/>
      <c r="H2" s="1"/>
    </row>
    <row r="3" spans="1:8" ht="40.5" customHeight="1" x14ac:dyDescent="0.25">
      <c r="B3" s="565" t="s">
        <v>1300</v>
      </c>
      <c r="C3" s="565"/>
      <c r="D3" s="565"/>
      <c r="E3" s="565"/>
      <c r="F3" s="565"/>
      <c r="G3" s="565"/>
      <c r="H3" s="565"/>
    </row>
    <row r="4" spans="1:8" x14ac:dyDescent="0.25">
      <c r="B4" s="7" t="s">
        <v>39</v>
      </c>
      <c r="D4" s="8"/>
      <c r="E4" s="8"/>
      <c r="F4" s="8"/>
      <c r="G4" s="8"/>
      <c r="H4" s="8"/>
    </row>
    <row r="5" spans="1:8" s="80" customFormat="1" x14ac:dyDescent="0.25">
      <c r="B5" s="3" t="s">
        <v>18</v>
      </c>
      <c r="F5" s="146"/>
    </row>
    <row r="6" spans="1:8" x14ac:dyDescent="0.25">
      <c r="B6" s="2" t="s">
        <v>23</v>
      </c>
      <c r="C6" s="558" t="s">
        <v>49</v>
      </c>
      <c r="D6" s="558"/>
      <c r="E6" s="558"/>
      <c r="F6" s="558"/>
      <c r="G6" s="558"/>
      <c r="H6" s="558"/>
    </row>
    <row r="7" spans="1:8" x14ac:dyDescent="0.25">
      <c r="A7" s="2"/>
      <c r="B7" s="2" t="s">
        <v>19</v>
      </c>
      <c r="C7" s="558" t="s">
        <v>50</v>
      </c>
      <c r="D7" s="558"/>
      <c r="E7" s="558"/>
      <c r="F7" s="558"/>
      <c r="G7" s="558"/>
      <c r="H7" s="558"/>
    </row>
    <row r="8" spans="1:8" hidden="1" x14ac:dyDescent="0.25">
      <c r="A8" s="2"/>
      <c r="B8" s="2" t="s">
        <v>90</v>
      </c>
      <c r="C8" s="558" t="s">
        <v>60</v>
      </c>
      <c r="D8" s="558"/>
      <c r="E8" s="558"/>
      <c r="F8" s="558"/>
      <c r="G8" s="558"/>
      <c r="H8" s="558"/>
    </row>
    <row r="9" spans="1:8" x14ac:dyDescent="0.25">
      <c r="A9" s="2"/>
      <c r="B9" s="2" t="s">
        <v>59</v>
      </c>
      <c r="C9" s="558" t="s">
        <v>60</v>
      </c>
      <c r="D9" s="558"/>
      <c r="E9" s="558"/>
      <c r="F9" s="558"/>
      <c r="G9" s="558"/>
      <c r="H9" s="558"/>
    </row>
    <row r="10" spans="1:8" hidden="1" x14ac:dyDescent="0.25">
      <c r="A10" s="2"/>
      <c r="B10" s="2" t="s">
        <v>20</v>
      </c>
      <c r="C10" s="558" t="s">
        <v>86</v>
      </c>
      <c r="D10" s="558"/>
      <c r="E10" s="558"/>
      <c r="F10" s="558"/>
      <c r="G10" s="558"/>
      <c r="H10" s="558"/>
    </row>
    <row r="11" spans="1:8" hidden="1" x14ac:dyDescent="0.25">
      <c r="A11" s="2"/>
      <c r="B11" s="2" t="s">
        <v>1205</v>
      </c>
      <c r="C11" s="81" t="s">
        <v>87</v>
      </c>
      <c r="D11" s="81"/>
      <c r="E11" s="81"/>
      <c r="F11" s="368"/>
      <c r="G11" s="81"/>
      <c r="H11" s="81"/>
    </row>
    <row r="12" spans="1:8" hidden="1" x14ac:dyDescent="0.25">
      <c r="A12" s="2"/>
      <c r="B12" s="2" t="s">
        <v>21</v>
      </c>
      <c r="C12" s="81" t="s">
        <v>88</v>
      </c>
      <c r="D12" s="81"/>
      <c r="E12" s="81"/>
      <c r="F12" s="368"/>
      <c r="G12" s="81"/>
      <c r="H12" s="81"/>
    </row>
    <row r="13" spans="1:8" hidden="1" x14ac:dyDescent="0.25">
      <c r="A13" s="2"/>
      <c r="B13" s="2" t="s">
        <v>94</v>
      </c>
      <c r="C13" s="81" t="s">
        <v>95</v>
      </c>
      <c r="D13" s="81"/>
      <c r="E13" s="81"/>
      <c r="F13" s="368"/>
      <c r="G13" s="81"/>
      <c r="H13" s="81"/>
    </row>
    <row r="14" spans="1:8" x14ac:dyDescent="0.25">
      <c r="A14" s="2"/>
      <c r="B14" s="2"/>
      <c r="C14" s="81"/>
      <c r="D14" s="81"/>
      <c r="E14" s="81"/>
      <c r="F14" s="368"/>
      <c r="G14" s="81"/>
      <c r="H14" s="81"/>
    </row>
    <row r="15" spans="1:8" hidden="1" x14ac:dyDescent="0.25">
      <c r="A15" s="2"/>
      <c r="B15" s="2" t="s">
        <v>21</v>
      </c>
      <c r="C15" s="558"/>
      <c r="D15" s="558"/>
      <c r="E15" s="558"/>
      <c r="F15" s="558"/>
      <c r="G15" s="558"/>
      <c r="H15" s="558"/>
    </row>
    <row r="16" spans="1:8" s="80" customFormat="1" x14ac:dyDescent="0.25">
      <c r="A16" s="3"/>
      <c r="B16" s="3" t="s">
        <v>230</v>
      </c>
      <c r="C16" s="3"/>
      <c r="D16" s="3"/>
      <c r="E16" s="3"/>
      <c r="F16" s="3"/>
      <c r="G16" s="3"/>
      <c r="H16" s="3"/>
    </row>
    <row r="17" spans="1:8" x14ac:dyDescent="0.25">
      <c r="A17" s="2"/>
      <c r="B17" s="83" t="s">
        <v>1301</v>
      </c>
      <c r="C17" s="558" t="s">
        <v>176</v>
      </c>
      <c r="D17" s="558"/>
      <c r="E17" s="558"/>
      <c r="F17" s="558"/>
      <c r="G17" s="558"/>
      <c r="H17" s="558"/>
    </row>
    <row r="18" spans="1:8" x14ac:dyDescent="0.25">
      <c r="A18" s="2"/>
      <c r="B18" s="83" t="s">
        <v>221</v>
      </c>
      <c r="C18" s="558" t="s">
        <v>222</v>
      </c>
      <c r="D18" s="558"/>
      <c r="E18" s="558"/>
      <c r="F18" s="558"/>
      <c r="G18" s="558"/>
      <c r="H18" s="558"/>
    </row>
    <row r="19" spans="1:8" s="49" customFormat="1" x14ac:dyDescent="0.25">
      <c r="B19" s="107" t="s">
        <v>612</v>
      </c>
      <c r="C19" s="566" t="s">
        <v>613</v>
      </c>
      <c r="D19" s="566"/>
      <c r="E19" s="566"/>
      <c r="F19" s="566"/>
      <c r="G19" s="566"/>
      <c r="H19" s="566"/>
    </row>
    <row r="20" spans="1:8" x14ac:dyDescent="0.25">
      <c r="A20" s="2"/>
      <c r="B20" s="2" t="s">
        <v>220</v>
      </c>
      <c r="C20" s="558" t="s">
        <v>108</v>
      </c>
      <c r="D20" s="558"/>
      <c r="E20" s="558"/>
      <c r="F20" s="558"/>
      <c r="G20" s="558"/>
      <c r="H20" s="558"/>
    </row>
    <row r="21" spans="1:8" x14ac:dyDescent="0.25">
      <c r="A21" s="2"/>
      <c r="B21" s="2" t="s">
        <v>223</v>
      </c>
      <c r="C21" s="558" t="s">
        <v>108</v>
      </c>
      <c r="D21" s="558"/>
      <c r="E21" s="558"/>
      <c r="F21" s="558"/>
      <c r="G21" s="558"/>
      <c r="H21" s="558"/>
    </row>
    <row r="22" spans="1:8" x14ac:dyDescent="0.25">
      <c r="A22" s="2"/>
      <c r="B22" s="2" t="s">
        <v>1302</v>
      </c>
      <c r="C22" s="558" t="s">
        <v>1303</v>
      </c>
      <c r="D22" s="558"/>
      <c r="E22" s="558"/>
      <c r="F22" s="558"/>
      <c r="G22" s="558"/>
      <c r="H22" s="558"/>
    </row>
    <row r="23" spans="1:8" hidden="1" x14ac:dyDescent="0.25">
      <c r="A23" s="2"/>
      <c r="B23" s="2" t="s">
        <v>21</v>
      </c>
      <c r="C23" s="558"/>
      <c r="D23" s="558"/>
      <c r="E23" s="558"/>
      <c r="F23" s="558"/>
      <c r="G23" s="558"/>
      <c r="H23" s="558"/>
    </row>
    <row r="24" spans="1:8" x14ac:dyDescent="0.25">
      <c r="A24" s="2"/>
      <c r="B24" s="556" t="s">
        <v>1073</v>
      </c>
      <c r="C24" s="556"/>
      <c r="D24" s="556"/>
      <c r="E24" s="556"/>
      <c r="F24" s="556"/>
      <c r="G24" s="556"/>
      <c r="H24" s="556"/>
    </row>
    <row r="25" spans="1:8" x14ac:dyDescent="0.25">
      <c r="A25" s="4"/>
      <c r="H25" s="4" t="s">
        <v>61</v>
      </c>
    </row>
    <row r="26" spans="1:8" s="366" customFormat="1" ht="75" x14ac:dyDescent="0.25">
      <c r="A26" s="367" t="s">
        <v>62</v>
      </c>
      <c r="B26" s="367" t="s">
        <v>2</v>
      </c>
      <c r="C26" s="367" t="s">
        <v>17</v>
      </c>
      <c r="D26" s="371" t="s">
        <v>464</v>
      </c>
      <c r="E26" s="367" t="s">
        <v>1099</v>
      </c>
      <c r="F26" s="367" t="s">
        <v>9</v>
      </c>
      <c r="G26" s="367" t="s">
        <v>461</v>
      </c>
      <c r="H26" s="371" t="s">
        <v>1046</v>
      </c>
    </row>
    <row r="27" spans="1:8" s="80" customFormat="1" x14ac:dyDescent="0.25">
      <c r="A27" s="367"/>
      <c r="B27" s="367" t="s">
        <v>97</v>
      </c>
      <c r="C27" s="32"/>
      <c r="D27" s="32"/>
      <c r="E27" s="32">
        <f>E28+E73</f>
        <v>9329</v>
      </c>
      <c r="F27" s="32">
        <f>F28+F73</f>
        <v>18406</v>
      </c>
      <c r="G27" s="32">
        <f>G28+G73</f>
        <v>10060</v>
      </c>
      <c r="H27" s="32">
        <f>H28+H73</f>
        <v>10208</v>
      </c>
    </row>
    <row r="28" spans="1:8" s="76" customFormat="1" x14ac:dyDescent="0.25">
      <c r="A28" s="374" t="s">
        <v>6</v>
      </c>
      <c r="B28" s="375" t="s">
        <v>179</v>
      </c>
      <c r="C28" s="376"/>
      <c r="D28" s="376"/>
      <c r="E28" s="376">
        <f>E32+E41</f>
        <v>6141</v>
      </c>
      <c r="F28" s="376">
        <f t="shared" ref="F28:H28" si="0">F32+F41</f>
        <v>13757</v>
      </c>
      <c r="G28" s="376">
        <f t="shared" si="0"/>
        <v>7174</v>
      </c>
      <c r="H28" s="376">
        <f t="shared" si="0"/>
        <v>7271</v>
      </c>
    </row>
    <row r="29" spans="1:8" x14ac:dyDescent="0.25">
      <c r="A29" s="11"/>
      <c r="B29" s="12" t="s">
        <v>626</v>
      </c>
      <c r="C29" s="21"/>
      <c r="D29" s="21"/>
      <c r="E29" s="21">
        <v>53</v>
      </c>
      <c r="F29" s="21">
        <v>63</v>
      </c>
      <c r="G29" s="21">
        <f>E29</f>
        <v>53</v>
      </c>
      <c r="H29" s="21">
        <f>G29</f>
        <v>53</v>
      </c>
    </row>
    <row r="30" spans="1:8" x14ac:dyDescent="0.25">
      <c r="A30" s="11"/>
      <c r="B30" s="12" t="s">
        <v>610</v>
      </c>
      <c r="C30" s="21"/>
      <c r="D30" s="21"/>
      <c r="E30" s="21">
        <v>5</v>
      </c>
      <c r="F30" s="21">
        <v>6</v>
      </c>
      <c r="G30" s="21">
        <f>E30</f>
        <v>5</v>
      </c>
      <c r="H30" s="21">
        <f>G30</f>
        <v>5</v>
      </c>
    </row>
    <row r="31" spans="1:8" x14ac:dyDescent="0.25">
      <c r="A31" s="11"/>
      <c r="B31" s="12" t="s">
        <v>611</v>
      </c>
      <c r="C31" s="21"/>
      <c r="D31" s="21"/>
      <c r="E31" s="21">
        <v>47</v>
      </c>
      <c r="F31" s="21">
        <v>56</v>
      </c>
      <c r="G31" s="21">
        <f>G29-G30</f>
        <v>48</v>
      </c>
      <c r="H31" s="21">
        <f>H29-H30</f>
        <v>48</v>
      </c>
    </row>
    <row r="32" spans="1:8" s="76" customFormat="1" ht="21" customHeight="1" x14ac:dyDescent="0.25">
      <c r="A32" s="73" t="s">
        <v>51</v>
      </c>
      <c r="B32" s="74" t="s">
        <v>10</v>
      </c>
      <c r="C32" s="75"/>
      <c r="D32" s="75"/>
      <c r="E32" s="75">
        <f>+E33+E37-E38</f>
        <v>3790</v>
      </c>
      <c r="F32" s="75">
        <f>+F33+F37-F38</f>
        <v>3799</v>
      </c>
      <c r="G32" s="75">
        <f>+G33+G37-G38</f>
        <v>3605</v>
      </c>
      <c r="H32" s="75">
        <f>+H33+H37-H38</f>
        <v>3702</v>
      </c>
    </row>
    <row r="33" spans="1:8" ht="37.5" x14ac:dyDescent="0.25">
      <c r="A33" s="11">
        <v>1</v>
      </c>
      <c r="B33" s="12" t="s">
        <v>1077</v>
      </c>
      <c r="C33" s="21"/>
      <c r="D33" s="21"/>
      <c r="E33" s="21">
        <f>2984+294</f>
        <v>3278</v>
      </c>
      <c r="F33" s="21">
        <f>SUM(F34:F36)</f>
        <v>3310</v>
      </c>
      <c r="G33" s="21">
        <f>SUM(G34:G36)</f>
        <v>3093</v>
      </c>
      <c r="H33" s="21">
        <f>SUM(H34:H36)</f>
        <v>3190</v>
      </c>
    </row>
    <row r="34" spans="1:8" x14ac:dyDescent="0.25">
      <c r="A34" s="11"/>
      <c r="B34" s="12" t="s">
        <v>1304</v>
      </c>
      <c r="C34" s="21">
        <v>27</v>
      </c>
      <c r="D34" s="36">
        <v>25</v>
      </c>
      <c r="E34" s="21"/>
      <c r="F34" s="21">
        <v>2893</v>
      </c>
      <c r="G34" s="21">
        <f>ROUND(F34+9*8.8,0)</f>
        <v>2972</v>
      </c>
      <c r="H34" s="21">
        <f>ROUND(G34+9*8.8,0)</f>
        <v>3051</v>
      </c>
    </row>
    <row r="35" spans="1:8" x14ac:dyDescent="0.25">
      <c r="A35" s="11"/>
      <c r="B35" s="12" t="s">
        <v>1115</v>
      </c>
      <c r="C35" s="21"/>
      <c r="D35" s="36"/>
      <c r="E35" s="21"/>
      <c r="F35" s="21">
        <v>103</v>
      </c>
      <c r="G35" s="21">
        <f>F35</f>
        <v>103</v>
      </c>
      <c r="H35" s="21">
        <f>G35</f>
        <v>103</v>
      </c>
    </row>
    <row r="36" spans="1:8" ht="37.5" x14ac:dyDescent="0.25">
      <c r="A36" s="11"/>
      <c r="B36" s="12" t="s">
        <v>1096</v>
      </c>
      <c r="C36" s="21">
        <v>6</v>
      </c>
      <c r="D36" s="21">
        <v>5</v>
      </c>
      <c r="E36" s="21"/>
      <c r="F36" s="21">
        <f>292+22</f>
        <v>314</v>
      </c>
      <c r="G36" s="21">
        <f>ROUND(E36+2*8.8,0)</f>
        <v>18</v>
      </c>
      <c r="H36" s="21">
        <f>ROUND(G36+2*8.8,0)</f>
        <v>36</v>
      </c>
    </row>
    <row r="37" spans="1:8" ht="37.5" x14ac:dyDescent="0.25">
      <c r="A37" s="11">
        <v>2</v>
      </c>
      <c r="B37" s="12" t="s">
        <v>1095</v>
      </c>
      <c r="C37" s="21">
        <v>27</v>
      </c>
      <c r="D37" s="21"/>
      <c r="E37" s="36">
        <v>588</v>
      </c>
      <c r="F37" s="36">
        <f>C37*21</f>
        <v>567</v>
      </c>
      <c r="G37" s="36">
        <f>E37</f>
        <v>588</v>
      </c>
      <c r="H37" s="36">
        <f>G37</f>
        <v>588</v>
      </c>
    </row>
    <row r="38" spans="1:8" x14ac:dyDescent="0.25">
      <c r="A38" s="11">
        <v>3</v>
      </c>
      <c r="B38" s="12" t="s">
        <v>1092</v>
      </c>
      <c r="C38" s="21"/>
      <c r="D38" s="21"/>
      <c r="E38" s="36">
        <f>SUM(E39:E40)</f>
        <v>76</v>
      </c>
      <c r="F38" s="36">
        <f>SUM(F39:F40)</f>
        <v>78</v>
      </c>
      <c r="G38" s="36">
        <f>SUM(G39:G40)</f>
        <v>76</v>
      </c>
      <c r="H38" s="36">
        <f>SUM(H39:H40)</f>
        <v>76</v>
      </c>
    </row>
    <row r="39" spans="1:8" x14ac:dyDescent="0.25">
      <c r="A39" s="11"/>
      <c r="B39" s="12" t="s">
        <v>969</v>
      </c>
      <c r="C39" s="21"/>
      <c r="D39" s="21"/>
      <c r="E39" s="21">
        <v>58</v>
      </c>
      <c r="F39" s="21">
        <v>56</v>
      </c>
      <c r="G39" s="21">
        <f>E39</f>
        <v>58</v>
      </c>
      <c r="H39" s="21">
        <f>G39</f>
        <v>58</v>
      </c>
    </row>
    <row r="40" spans="1:8" x14ac:dyDescent="0.25">
      <c r="A40" s="11"/>
      <c r="B40" s="12" t="s">
        <v>968</v>
      </c>
      <c r="C40" s="21"/>
      <c r="D40" s="21"/>
      <c r="E40" s="21">
        <v>18</v>
      </c>
      <c r="F40" s="21">
        <v>22</v>
      </c>
      <c r="G40" s="21">
        <f>+E40</f>
        <v>18</v>
      </c>
      <c r="H40" s="21">
        <f>+G40</f>
        <v>18</v>
      </c>
    </row>
    <row r="41" spans="1:8" s="50" customFormat="1" x14ac:dyDescent="0.25">
      <c r="A41" s="62" t="s">
        <v>52</v>
      </c>
      <c r="B41" s="63" t="s">
        <v>11</v>
      </c>
      <c r="C41" s="64"/>
      <c r="D41" s="64"/>
      <c r="E41" s="64">
        <f>E42+E61+E67</f>
        <v>2351</v>
      </c>
      <c r="F41" s="64">
        <f>F42+F61+F67</f>
        <v>9958</v>
      </c>
      <c r="G41" s="64">
        <f>G42+G61+G67</f>
        <v>3569</v>
      </c>
      <c r="H41" s="64">
        <f>H42+H61+H67</f>
        <v>3569</v>
      </c>
    </row>
    <row r="42" spans="1:8" s="50" customFormat="1" x14ac:dyDescent="0.25">
      <c r="A42" s="62">
        <v>1</v>
      </c>
      <c r="B42" s="63" t="s">
        <v>81</v>
      </c>
      <c r="C42" s="64"/>
      <c r="D42" s="64"/>
      <c r="E42" s="64">
        <f>SUM(E43:E60)</f>
        <v>1142</v>
      </c>
      <c r="F42" s="64">
        <f>SUM(F43:F60)</f>
        <v>1654</v>
      </c>
      <c r="G42" s="64">
        <f>SUM(G43:G60)</f>
        <v>1169</v>
      </c>
      <c r="H42" s="64">
        <f>SUM(H43:H60)</f>
        <v>1169</v>
      </c>
    </row>
    <row r="43" spans="1:8" s="49" customFormat="1" x14ac:dyDescent="0.25">
      <c r="A43" s="58"/>
      <c r="B43" s="59" t="s">
        <v>1316</v>
      </c>
      <c r="C43" s="60"/>
      <c r="D43" s="60"/>
      <c r="E43" s="60">
        <v>15</v>
      </c>
      <c r="F43" s="60">
        <v>21</v>
      </c>
      <c r="G43" s="60">
        <f>E43</f>
        <v>15</v>
      </c>
      <c r="H43" s="60">
        <f t="shared" ref="H43:H48" si="1">G43</f>
        <v>15</v>
      </c>
    </row>
    <row r="44" spans="1:8" s="49" customFormat="1" x14ac:dyDescent="0.25">
      <c r="A44" s="58"/>
      <c r="B44" s="59" t="s">
        <v>627</v>
      </c>
      <c r="C44" s="60"/>
      <c r="D44" s="60"/>
      <c r="E44" s="60">
        <v>15</v>
      </c>
      <c r="F44" s="60">
        <f>E44</f>
        <v>15</v>
      </c>
      <c r="G44" s="60">
        <f>E44</f>
        <v>15</v>
      </c>
      <c r="H44" s="60">
        <f t="shared" si="1"/>
        <v>15</v>
      </c>
    </row>
    <row r="45" spans="1:8" s="49" customFormat="1" x14ac:dyDescent="0.25">
      <c r="A45" s="58"/>
      <c r="B45" s="59" t="s">
        <v>233</v>
      </c>
      <c r="C45" s="60"/>
      <c r="D45" s="60"/>
      <c r="E45" s="60">
        <v>20</v>
      </c>
      <c r="F45" s="60">
        <f>E45</f>
        <v>20</v>
      </c>
      <c r="G45" s="60">
        <f>E45</f>
        <v>20</v>
      </c>
      <c r="H45" s="60">
        <f t="shared" si="1"/>
        <v>20</v>
      </c>
    </row>
    <row r="46" spans="1:8" s="49" customFormat="1" x14ac:dyDescent="0.25">
      <c r="A46" s="58"/>
      <c r="B46" s="59" t="s">
        <v>234</v>
      </c>
      <c r="C46" s="60"/>
      <c r="D46" s="60"/>
      <c r="E46" s="60">
        <v>20</v>
      </c>
      <c r="F46" s="60">
        <f>E46</f>
        <v>20</v>
      </c>
      <c r="G46" s="60">
        <f>E46</f>
        <v>20</v>
      </c>
      <c r="H46" s="60">
        <f t="shared" si="1"/>
        <v>20</v>
      </c>
    </row>
    <row r="47" spans="1:8" s="49" customFormat="1" x14ac:dyDescent="0.25">
      <c r="A47" s="58"/>
      <c r="B47" s="59" t="s">
        <v>628</v>
      </c>
      <c r="C47" s="60"/>
      <c r="D47" s="60"/>
      <c r="E47" s="60">
        <v>100</v>
      </c>
      <c r="F47" s="60">
        <v>150</v>
      </c>
      <c r="G47" s="60">
        <f>F47</f>
        <v>150</v>
      </c>
      <c r="H47" s="60">
        <f t="shared" si="1"/>
        <v>150</v>
      </c>
    </row>
    <row r="48" spans="1:8" s="49" customFormat="1" x14ac:dyDescent="0.25">
      <c r="A48" s="58"/>
      <c r="B48" s="59" t="s">
        <v>629</v>
      </c>
      <c r="C48" s="60"/>
      <c r="D48" s="60"/>
      <c r="E48" s="60">
        <v>250</v>
      </c>
      <c r="F48" s="60">
        <f>E48</f>
        <v>250</v>
      </c>
      <c r="G48" s="60">
        <f>E48</f>
        <v>250</v>
      </c>
      <c r="H48" s="60">
        <f t="shared" si="1"/>
        <v>250</v>
      </c>
    </row>
    <row r="49" spans="1:8" s="49" customFormat="1" x14ac:dyDescent="0.25">
      <c r="A49" s="58"/>
      <c r="B49" s="59" t="s">
        <v>1443</v>
      </c>
      <c r="C49" s="60"/>
      <c r="D49" s="60"/>
      <c r="E49" s="60">
        <v>150</v>
      </c>
      <c r="F49" s="60">
        <v>50</v>
      </c>
      <c r="G49" s="60"/>
      <c r="H49" s="60"/>
    </row>
    <row r="50" spans="1:8" s="49" customFormat="1" x14ac:dyDescent="0.25">
      <c r="A50" s="58"/>
      <c r="B50" s="59" t="s">
        <v>235</v>
      </c>
      <c r="C50" s="60"/>
      <c r="D50" s="60"/>
      <c r="E50" s="60">
        <v>300</v>
      </c>
      <c r="F50" s="60">
        <v>340</v>
      </c>
      <c r="G50" s="60">
        <f>E50</f>
        <v>300</v>
      </c>
      <c r="H50" s="60">
        <f t="shared" ref="H50:H53" si="2">G50</f>
        <v>300</v>
      </c>
    </row>
    <row r="51" spans="1:8" s="49" customFormat="1" ht="56.25" x14ac:dyDescent="0.25">
      <c r="A51" s="58"/>
      <c r="B51" s="59" t="s">
        <v>236</v>
      </c>
      <c r="C51" s="60"/>
      <c r="D51" s="60"/>
      <c r="E51" s="60">
        <v>20</v>
      </c>
      <c r="F51" s="60"/>
      <c r="G51" s="60"/>
      <c r="H51" s="60"/>
    </row>
    <row r="52" spans="1:8" s="49" customFormat="1" x14ac:dyDescent="0.25">
      <c r="A52" s="58"/>
      <c r="B52" s="59" t="s">
        <v>237</v>
      </c>
      <c r="C52" s="60"/>
      <c r="D52" s="60"/>
      <c r="E52" s="60">
        <v>19</v>
      </c>
      <c r="F52" s="60">
        <v>8</v>
      </c>
      <c r="G52" s="60">
        <f>E52</f>
        <v>19</v>
      </c>
      <c r="H52" s="60">
        <f t="shared" si="2"/>
        <v>19</v>
      </c>
    </row>
    <row r="53" spans="1:8" s="49" customFormat="1" hidden="1" x14ac:dyDescent="0.25">
      <c r="A53" s="58"/>
      <c r="B53" s="59" t="s">
        <v>238</v>
      </c>
      <c r="C53" s="60"/>
      <c r="D53" s="60"/>
      <c r="E53" s="60"/>
      <c r="F53" s="60"/>
      <c r="G53" s="60">
        <f>E53</f>
        <v>0</v>
      </c>
      <c r="H53" s="60">
        <f t="shared" si="2"/>
        <v>0</v>
      </c>
    </row>
    <row r="54" spans="1:8" s="49" customFormat="1" x14ac:dyDescent="0.25">
      <c r="A54" s="58"/>
      <c r="B54" s="59" t="s">
        <v>239</v>
      </c>
      <c r="C54" s="60"/>
      <c r="D54" s="60"/>
      <c r="E54" s="60">
        <v>13</v>
      </c>
      <c r="F54" s="60"/>
      <c r="G54" s="60"/>
      <c r="H54" s="60"/>
    </row>
    <row r="55" spans="1:8" s="49" customFormat="1" x14ac:dyDescent="0.25">
      <c r="A55" s="58"/>
      <c r="B55" s="59" t="s">
        <v>633</v>
      </c>
      <c r="C55" s="60"/>
      <c r="D55" s="60"/>
      <c r="E55" s="60">
        <v>20</v>
      </c>
      <c r="F55" s="60">
        <f>E55</f>
        <v>20</v>
      </c>
      <c r="G55" s="60"/>
      <c r="H55" s="60"/>
    </row>
    <row r="56" spans="1:8" s="49" customFormat="1" ht="56.25" x14ac:dyDescent="0.25">
      <c r="A56" s="58"/>
      <c r="B56" s="59" t="s">
        <v>1305</v>
      </c>
      <c r="C56" s="60"/>
      <c r="D56" s="60"/>
      <c r="E56" s="60"/>
      <c r="F56" s="60">
        <v>30</v>
      </c>
      <c r="G56" s="60"/>
      <c r="H56" s="60"/>
    </row>
    <row r="57" spans="1:8" s="49" customFormat="1" ht="37.5" x14ac:dyDescent="0.25">
      <c r="A57" s="58"/>
      <c r="B57" s="59" t="s">
        <v>634</v>
      </c>
      <c r="C57" s="60"/>
      <c r="D57" s="60"/>
      <c r="E57" s="60">
        <v>200</v>
      </c>
      <c r="F57" s="60">
        <f>E57</f>
        <v>200</v>
      </c>
      <c r="G57" s="60"/>
      <c r="H57" s="60"/>
    </row>
    <row r="58" spans="1:8" s="49" customFormat="1" hidden="1" x14ac:dyDescent="0.25">
      <c r="A58" s="58"/>
      <c r="B58" s="59" t="s">
        <v>630</v>
      </c>
      <c r="C58" s="60"/>
      <c r="D58" s="60"/>
      <c r="E58" s="60"/>
      <c r="F58" s="60"/>
      <c r="G58" s="60">
        <f>E58</f>
        <v>0</v>
      </c>
      <c r="H58" s="60">
        <f>G58</f>
        <v>0</v>
      </c>
    </row>
    <row r="59" spans="1:8" s="49" customFormat="1" ht="37.5" x14ac:dyDescent="0.25">
      <c r="A59" s="58"/>
      <c r="B59" s="59" t="s">
        <v>1306</v>
      </c>
      <c r="C59" s="60"/>
      <c r="D59" s="60"/>
      <c r="E59" s="60"/>
      <c r="F59" s="60">
        <v>150</v>
      </c>
      <c r="G59" s="60"/>
      <c r="H59" s="60"/>
    </row>
    <row r="60" spans="1:8" s="49" customFormat="1" ht="112.5" x14ac:dyDescent="0.25">
      <c r="A60" s="58"/>
      <c r="B60" s="59" t="s">
        <v>1307</v>
      </c>
      <c r="C60" s="60"/>
      <c r="D60" s="60"/>
      <c r="E60" s="60"/>
      <c r="F60" s="60">
        <v>380</v>
      </c>
      <c r="G60" s="60">
        <f>F60</f>
        <v>380</v>
      </c>
      <c r="H60" s="60">
        <f>G60</f>
        <v>380</v>
      </c>
    </row>
    <row r="61" spans="1:8" s="50" customFormat="1" x14ac:dyDescent="0.3">
      <c r="A61" s="62">
        <v>2</v>
      </c>
      <c r="B61" s="66" t="s">
        <v>83</v>
      </c>
      <c r="C61" s="64"/>
      <c r="D61" s="64"/>
      <c r="E61" s="64">
        <f>SUM(E62:E64)</f>
        <v>1209</v>
      </c>
      <c r="F61" s="64">
        <v>2400</v>
      </c>
      <c r="G61" s="64">
        <f>F61</f>
        <v>2400</v>
      </c>
      <c r="H61" s="64">
        <f>G61</f>
        <v>2400</v>
      </c>
    </row>
    <row r="62" spans="1:8" s="49" customFormat="1" ht="93.75" x14ac:dyDescent="0.25">
      <c r="A62" s="58"/>
      <c r="B62" s="59" t="s">
        <v>1308</v>
      </c>
      <c r="C62" s="60"/>
      <c r="D62" s="60"/>
      <c r="E62" s="60">
        <v>250</v>
      </c>
      <c r="F62" s="60"/>
      <c r="G62" s="60"/>
      <c r="H62" s="60"/>
    </row>
    <row r="63" spans="1:8" s="49" customFormat="1" ht="168.75" x14ac:dyDescent="0.25">
      <c r="A63" s="58"/>
      <c r="B63" s="59" t="s">
        <v>1309</v>
      </c>
      <c r="C63" s="60"/>
      <c r="D63" s="60"/>
      <c r="E63" s="60">
        <v>730</v>
      </c>
      <c r="F63" s="60"/>
      <c r="G63" s="60"/>
      <c r="H63" s="60"/>
    </row>
    <row r="64" spans="1:8" s="49" customFormat="1" ht="37.5" x14ac:dyDescent="0.25">
      <c r="A64" s="58"/>
      <c r="B64" s="59" t="s">
        <v>1310</v>
      </c>
      <c r="C64" s="60"/>
      <c r="D64" s="60"/>
      <c r="E64" s="60">
        <v>229</v>
      </c>
      <c r="F64" s="60"/>
      <c r="G64" s="60"/>
      <c r="H64" s="60"/>
    </row>
    <row r="65" spans="1:8" s="49" customFormat="1" ht="112.5" x14ac:dyDescent="0.25">
      <c r="A65" s="58"/>
      <c r="B65" s="59" t="s">
        <v>632</v>
      </c>
      <c r="C65" s="60"/>
      <c r="D65" s="60"/>
      <c r="E65" s="60">
        <v>600</v>
      </c>
      <c r="F65" s="60">
        <f>E65</f>
        <v>600</v>
      </c>
      <c r="G65" s="60"/>
      <c r="H65" s="60"/>
    </row>
    <row r="66" spans="1:8" s="49" customFormat="1" ht="37.5" x14ac:dyDescent="0.25">
      <c r="A66" s="58"/>
      <c r="B66" s="59" t="s">
        <v>631</v>
      </c>
      <c r="C66" s="60"/>
      <c r="D66" s="60"/>
      <c r="E66" s="60">
        <v>450</v>
      </c>
      <c r="F66" s="60">
        <v>500</v>
      </c>
      <c r="G66" s="60">
        <f>F66</f>
        <v>500</v>
      </c>
      <c r="H66" s="60">
        <f>G66</f>
        <v>500</v>
      </c>
    </row>
    <row r="67" spans="1:8" s="50" customFormat="1" x14ac:dyDescent="0.25">
      <c r="A67" s="62">
        <v>3</v>
      </c>
      <c r="B67" s="63" t="s">
        <v>82</v>
      </c>
      <c r="C67" s="64"/>
      <c r="D67" s="64"/>
      <c r="E67" s="64">
        <f>SUM(E68:E72)</f>
        <v>0</v>
      </c>
      <c r="F67" s="64">
        <f>SUM(F68:F72)</f>
        <v>5904</v>
      </c>
      <c r="G67" s="64">
        <f>SUM(G68:G72)</f>
        <v>0</v>
      </c>
      <c r="H67" s="64">
        <f>SUM(H68:H72)</f>
        <v>0</v>
      </c>
    </row>
    <row r="68" spans="1:8" s="49" customFormat="1" ht="56.25" x14ac:dyDescent="0.25">
      <c r="A68" s="58"/>
      <c r="B68" s="59" t="s">
        <v>1311</v>
      </c>
      <c r="C68" s="60"/>
      <c r="D68" s="60"/>
      <c r="E68" s="60"/>
      <c r="F68" s="60">
        <v>500</v>
      </c>
      <c r="G68" s="60"/>
      <c r="H68" s="60"/>
    </row>
    <row r="69" spans="1:8" s="49" customFormat="1" ht="37.5" x14ac:dyDescent="0.25">
      <c r="A69" s="58"/>
      <c r="B69" s="59" t="s">
        <v>1312</v>
      </c>
      <c r="C69" s="60"/>
      <c r="D69" s="60"/>
      <c r="E69" s="60"/>
      <c r="F69" s="60">
        <v>1200</v>
      </c>
      <c r="G69" s="60"/>
      <c r="H69" s="60"/>
    </row>
    <row r="70" spans="1:8" s="49" customFormat="1" ht="56.25" x14ac:dyDescent="0.25">
      <c r="A70" s="58"/>
      <c r="B70" s="59" t="s">
        <v>1313</v>
      </c>
      <c r="C70" s="60"/>
      <c r="D70" s="60"/>
      <c r="E70" s="60"/>
      <c r="F70" s="60">
        <v>2979</v>
      </c>
      <c r="G70" s="60"/>
      <c r="H70" s="60"/>
    </row>
    <row r="71" spans="1:8" s="49" customFormat="1" ht="37.5" x14ac:dyDescent="0.25">
      <c r="A71" s="58"/>
      <c r="B71" s="59" t="s">
        <v>1314</v>
      </c>
      <c r="C71" s="60"/>
      <c r="D71" s="60"/>
      <c r="E71" s="60"/>
      <c r="F71" s="60">
        <v>745</v>
      </c>
      <c r="G71" s="60"/>
      <c r="H71" s="60"/>
    </row>
    <row r="72" spans="1:8" s="49" customFormat="1" ht="37.5" x14ac:dyDescent="0.25">
      <c r="A72" s="58"/>
      <c r="B72" s="59" t="s">
        <v>1315</v>
      </c>
      <c r="C72" s="60"/>
      <c r="D72" s="60"/>
      <c r="E72" s="60"/>
      <c r="F72" s="60">
        <v>480</v>
      </c>
      <c r="G72" s="60"/>
      <c r="H72" s="60"/>
    </row>
    <row r="73" spans="1:8" s="80" customFormat="1" x14ac:dyDescent="0.25">
      <c r="A73" s="13" t="s">
        <v>7</v>
      </c>
      <c r="B73" s="14" t="s">
        <v>224</v>
      </c>
      <c r="C73" s="22"/>
      <c r="D73" s="22"/>
      <c r="E73" s="22">
        <f>E74+E85</f>
        <v>3188</v>
      </c>
      <c r="F73" s="22">
        <f t="shared" ref="F73:H73" si="3">F74+F85</f>
        <v>4649</v>
      </c>
      <c r="G73" s="22">
        <f t="shared" si="3"/>
        <v>2886</v>
      </c>
      <c r="H73" s="22">
        <f t="shared" si="3"/>
        <v>2937</v>
      </c>
    </row>
    <row r="74" spans="1:8" s="80" customFormat="1" ht="21" customHeight="1" x14ac:dyDescent="0.25">
      <c r="A74" s="13" t="s">
        <v>51</v>
      </c>
      <c r="B74" s="14" t="s">
        <v>1106</v>
      </c>
      <c r="C74" s="22"/>
      <c r="D74" s="22"/>
      <c r="E74" s="22">
        <f>E84</f>
        <v>1166</v>
      </c>
      <c r="F74" s="22">
        <f>F78+F79-F80-F83</f>
        <v>1575</v>
      </c>
      <c r="G74" s="22">
        <f t="shared" ref="G74:H74" si="4">G78+G79-G80-G83</f>
        <v>1626</v>
      </c>
      <c r="H74" s="22">
        <f t="shared" si="4"/>
        <v>1677</v>
      </c>
    </row>
    <row r="75" spans="1:8" x14ac:dyDescent="0.25">
      <c r="A75" s="11"/>
      <c r="B75" s="12" t="s">
        <v>609</v>
      </c>
      <c r="C75" s="21"/>
      <c r="D75" s="21"/>
      <c r="E75" s="21">
        <v>500</v>
      </c>
      <c r="F75" s="21">
        <v>2000</v>
      </c>
      <c r="G75" s="21">
        <f>F75</f>
        <v>2000</v>
      </c>
      <c r="H75" s="21">
        <f>G75</f>
        <v>2000</v>
      </c>
    </row>
    <row r="76" spans="1:8" x14ac:dyDescent="0.25">
      <c r="A76" s="11"/>
      <c r="B76" s="12" t="s">
        <v>610</v>
      </c>
      <c r="C76" s="21"/>
      <c r="D76" s="21"/>
      <c r="E76" s="21">
        <v>500</v>
      </c>
      <c r="F76" s="21">
        <f>F75*0.8</f>
        <v>1600</v>
      </c>
      <c r="G76" s="21">
        <f>F76</f>
        <v>1600</v>
      </c>
      <c r="H76" s="21">
        <f>G76</f>
        <v>1600</v>
      </c>
    </row>
    <row r="77" spans="1:8" ht="37.5" x14ac:dyDescent="0.25">
      <c r="A77" s="11"/>
      <c r="B77" s="12" t="s">
        <v>1320</v>
      </c>
      <c r="C77" s="21"/>
      <c r="D77" s="21"/>
      <c r="E77" s="21">
        <f>E75-E76</f>
        <v>0</v>
      </c>
      <c r="F77" s="21">
        <f>F75-F76</f>
        <v>400</v>
      </c>
      <c r="G77" s="21">
        <f>G75-G76</f>
        <v>400</v>
      </c>
      <c r="H77" s="21">
        <f>H75-H76</f>
        <v>400</v>
      </c>
    </row>
    <row r="78" spans="1:8" s="79" customFormat="1" ht="37.5" x14ac:dyDescent="0.25">
      <c r="A78" s="77">
        <v>1</v>
      </c>
      <c r="B78" s="12" t="s">
        <v>1317</v>
      </c>
      <c r="C78" s="36">
        <v>22</v>
      </c>
      <c r="D78" s="36">
        <v>19</v>
      </c>
      <c r="E78" s="36">
        <v>1418</v>
      </c>
      <c r="F78" s="36">
        <f>80+1494</f>
        <v>1574</v>
      </c>
      <c r="G78" s="36">
        <f>ROUND(F78+7*7.3,0)</f>
        <v>1625</v>
      </c>
      <c r="H78" s="36">
        <f>ROUND(G78+7*7.3,0)</f>
        <v>1676</v>
      </c>
    </row>
    <row r="79" spans="1:8" s="79" customFormat="1" ht="37.5" x14ac:dyDescent="0.25">
      <c r="A79" s="77">
        <v>2</v>
      </c>
      <c r="B79" s="12" t="s">
        <v>1319</v>
      </c>
      <c r="C79" s="36"/>
      <c r="D79" s="36"/>
      <c r="E79" s="36"/>
      <c r="F79" s="36">
        <f>C78*19</f>
        <v>418</v>
      </c>
      <c r="G79" s="36">
        <f>F79</f>
        <v>418</v>
      </c>
      <c r="H79" s="36">
        <f>G79</f>
        <v>418</v>
      </c>
    </row>
    <row r="80" spans="1:8" s="79" customFormat="1" x14ac:dyDescent="0.25">
      <c r="A80" s="77">
        <v>3</v>
      </c>
      <c r="B80" s="12" t="s">
        <v>1092</v>
      </c>
      <c r="C80" s="36"/>
      <c r="D80" s="36"/>
      <c r="E80" s="36">
        <f>SUM(E81:E81)</f>
        <v>252</v>
      </c>
      <c r="F80" s="36">
        <f>SUM(F81:F82)</f>
        <v>177</v>
      </c>
      <c r="G80" s="36">
        <f t="shared" ref="G80:H80" si="5">SUM(G81:G82)</f>
        <v>177</v>
      </c>
      <c r="H80" s="36">
        <f t="shared" si="5"/>
        <v>177</v>
      </c>
    </row>
    <row r="81" spans="1:8" s="79" customFormat="1" x14ac:dyDescent="0.25">
      <c r="A81" s="77"/>
      <c r="B81" s="12" t="s">
        <v>968</v>
      </c>
      <c r="C81" s="36"/>
      <c r="D81" s="36"/>
      <c r="E81" s="36">
        <f>630*0.4</f>
        <v>252</v>
      </c>
      <c r="F81" s="36">
        <f>F77*0.4</f>
        <v>160</v>
      </c>
      <c r="G81" s="36">
        <f t="shared" ref="G81:H81" si="6">F81</f>
        <v>160</v>
      </c>
      <c r="H81" s="36">
        <f t="shared" si="6"/>
        <v>160</v>
      </c>
    </row>
    <row r="82" spans="1:8" s="79" customFormat="1" ht="37.5" x14ac:dyDescent="0.25">
      <c r="A82" s="77"/>
      <c r="B82" s="12" t="s">
        <v>1444</v>
      </c>
      <c r="C82" s="36"/>
      <c r="D82" s="36"/>
      <c r="E82" s="36"/>
      <c r="F82" s="36">
        <v>17</v>
      </c>
      <c r="G82" s="36">
        <f>F82</f>
        <v>17</v>
      </c>
      <c r="H82" s="36">
        <f>G82</f>
        <v>17</v>
      </c>
    </row>
    <row r="83" spans="1:8" s="79" customFormat="1" ht="37.5" x14ac:dyDescent="0.25">
      <c r="A83" s="77">
        <v>4</v>
      </c>
      <c r="B83" s="12" t="s">
        <v>1318</v>
      </c>
      <c r="C83" s="36"/>
      <c r="D83" s="36"/>
      <c r="E83" s="36">
        <v>378</v>
      </c>
      <c r="F83" s="36">
        <f>F77-F81</f>
        <v>240</v>
      </c>
      <c r="G83" s="36">
        <f t="shared" ref="G83:H83" si="7">F83</f>
        <v>240</v>
      </c>
      <c r="H83" s="36">
        <f t="shared" si="7"/>
        <v>240</v>
      </c>
    </row>
    <row r="84" spans="1:8" s="76" customFormat="1" ht="37.5" hidden="1" x14ac:dyDescent="0.25">
      <c r="A84" s="77"/>
      <c r="B84" s="12" t="s">
        <v>614</v>
      </c>
      <c r="C84" s="75"/>
      <c r="D84" s="75"/>
      <c r="E84" s="36">
        <f>E78-E81</f>
        <v>1166</v>
      </c>
      <c r="F84" s="36"/>
      <c r="G84" s="36">
        <f>ROUND(E84+7*6.4,0)</f>
        <v>1211</v>
      </c>
      <c r="H84" s="36">
        <f>ROUND(G84+7*6.4,0)</f>
        <v>1256</v>
      </c>
    </row>
    <row r="85" spans="1:8" s="76" customFormat="1" x14ac:dyDescent="0.25">
      <c r="A85" s="73" t="s">
        <v>52</v>
      </c>
      <c r="B85" s="74" t="s">
        <v>11</v>
      </c>
      <c r="C85" s="75"/>
      <c r="D85" s="75"/>
      <c r="E85" s="75">
        <f>E86+E102+E109</f>
        <v>2022</v>
      </c>
      <c r="F85" s="75">
        <f>F86+F102+F109</f>
        <v>3074</v>
      </c>
      <c r="G85" s="75">
        <f>G86+G102+G109</f>
        <v>1260</v>
      </c>
      <c r="H85" s="75">
        <f>H86+H102+H109</f>
        <v>1260</v>
      </c>
    </row>
    <row r="86" spans="1:8" s="87" customFormat="1" ht="37.5" x14ac:dyDescent="0.25">
      <c r="A86" s="84" t="s">
        <v>53</v>
      </c>
      <c r="B86" s="85" t="s">
        <v>229</v>
      </c>
      <c r="C86" s="86"/>
      <c r="D86" s="86"/>
      <c r="E86" s="86">
        <f>SUM(E87:E101)</f>
        <v>1447</v>
      </c>
      <c r="F86" s="86">
        <f>SUM(F87:F101)</f>
        <v>2544</v>
      </c>
      <c r="G86" s="86">
        <f>SUM(G87:G101)</f>
        <v>785</v>
      </c>
      <c r="H86" s="86">
        <f>SUM(H87:H101)</f>
        <v>785</v>
      </c>
    </row>
    <row r="87" spans="1:8" s="49" customFormat="1" x14ac:dyDescent="0.25">
      <c r="A87" s="58"/>
      <c r="B87" s="59" t="s">
        <v>240</v>
      </c>
      <c r="C87" s="60"/>
      <c r="D87" s="60"/>
      <c r="E87" s="60">
        <v>20</v>
      </c>
      <c r="F87" s="60">
        <f>E87</f>
        <v>20</v>
      </c>
      <c r="G87" s="60">
        <f>E87</f>
        <v>20</v>
      </c>
      <c r="H87" s="60">
        <f t="shared" ref="H87:H91" si="8">G87</f>
        <v>20</v>
      </c>
    </row>
    <row r="88" spans="1:8" s="49" customFormat="1" x14ac:dyDescent="0.25">
      <c r="A88" s="58"/>
      <c r="B88" s="59" t="s">
        <v>241</v>
      </c>
      <c r="C88" s="60"/>
      <c r="D88" s="60"/>
      <c r="E88" s="60">
        <v>30</v>
      </c>
      <c r="F88" s="60">
        <f>E88</f>
        <v>30</v>
      </c>
      <c r="G88" s="60">
        <f>E88</f>
        <v>30</v>
      </c>
      <c r="H88" s="60">
        <f t="shared" si="8"/>
        <v>30</v>
      </c>
    </row>
    <row r="89" spans="1:8" s="49" customFormat="1" x14ac:dyDescent="0.25">
      <c r="A89" s="58"/>
      <c r="B89" s="59" t="s">
        <v>242</v>
      </c>
      <c r="C89" s="60"/>
      <c r="D89" s="60"/>
      <c r="E89" s="60">
        <v>300</v>
      </c>
      <c r="F89" s="60">
        <f>E89</f>
        <v>300</v>
      </c>
      <c r="G89" s="60">
        <f>E89</f>
        <v>300</v>
      </c>
      <c r="H89" s="60">
        <f t="shared" si="8"/>
        <v>300</v>
      </c>
    </row>
    <row r="90" spans="1:8" s="49" customFormat="1" ht="37.5" x14ac:dyDescent="0.25">
      <c r="A90" s="58"/>
      <c r="B90" s="59" t="s">
        <v>243</v>
      </c>
      <c r="C90" s="60"/>
      <c r="D90" s="60"/>
      <c r="E90" s="60">
        <v>135</v>
      </c>
      <c r="F90" s="60">
        <f>E90</f>
        <v>135</v>
      </c>
      <c r="G90" s="60">
        <f>E90</f>
        <v>135</v>
      </c>
      <c r="H90" s="60">
        <f t="shared" si="8"/>
        <v>135</v>
      </c>
    </row>
    <row r="91" spans="1:8" s="49" customFormat="1" ht="56.25" x14ac:dyDescent="0.25">
      <c r="A91" s="58"/>
      <c r="B91" s="59" t="s">
        <v>244</v>
      </c>
      <c r="C91" s="60"/>
      <c r="D91" s="60"/>
      <c r="E91" s="60">
        <v>300</v>
      </c>
      <c r="F91" s="60">
        <f>E91</f>
        <v>300</v>
      </c>
      <c r="G91" s="60">
        <f>E91</f>
        <v>300</v>
      </c>
      <c r="H91" s="60">
        <f t="shared" si="8"/>
        <v>300</v>
      </c>
    </row>
    <row r="92" spans="1:8" s="49" customFormat="1" ht="37.5" x14ac:dyDescent="0.25">
      <c r="A92" s="58"/>
      <c r="B92" s="59" t="s">
        <v>1330</v>
      </c>
      <c r="C92" s="60"/>
      <c r="D92" s="60"/>
      <c r="E92" s="60"/>
      <c r="F92" s="60">
        <v>240</v>
      </c>
      <c r="G92" s="60"/>
      <c r="H92" s="60"/>
    </row>
    <row r="93" spans="1:8" s="49" customFormat="1" ht="37.5" x14ac:dyDescent="0.25">
      <c r="A93" s="58"/>
      <c r="B93" s="59" t="s">
        <v>1327</v>
      </c>
      <c r="C93" s="60"/>
      <c r="D93" s="60"/>
      <c r="E93" s="60"/>
      <c r="F93" s="60">
        <v>322</v>
      </c>
      <c r="G93" s="60"/>
      <c r="H93" s="60"/>
    </row>
    <row r="94" spans="1:8" s="49" customFormat="1" ht="37.5" x14ac:dyDescent="0.25">
      <c r="A94" s="58"/>
      <c r="B94" s="59" t="s">
        <v>1328</v>
      </c>
      <c r="C94" s="60"/>
      <c r="D94" s="60"/>
      <c r="E94" s="60"/>
      <c r="F94" s="60">
        <v>351</v>
      </c>
      <c r="G94" s="60"/>
      <c r="H94" s="60"/>
    </row>
    <row r="95" spans="1:8" s="49" customFormat="1" ht="37.5" x14ac:dyDescent="0.25">
      <c r="A95" s="58"/>
      <c r="B95" s="59" t="s">
        <v>1331</v>
      </c>
      <c r="C95" s="60"/>
      <c r="D95" s="60"/>
      <c r="E95" s="60"/>
      <c r="F95" s="60">
        <v>96</v>
      </c>
      <c r="G95" s="60"/>
      <c r="H95" s="60"/>
    </row>
    <row r="96" spans="1:8" s="49" customFormat="1" x14ac:dyDescent="0.25">
      <c r="A96" s="58"/>
      <c r="B96" s="59" t="s">
        <v>1321</v>
      </c>
      <c r="C96" s="60"/>
      <c r="D96" s="60"/>
      <c r="E96" s="60"/>
      <c r="F96" s="60">
        <v>220</v>
      </c>
      <c r="G96" s="60"/>
      <c r="H96" s="60"/>
    </row>
    <row r="97" spans="1:8" s="49" customFormat="1" ht="37.5" x14ac:dyDescent="0.25">
      <c r="A97" s="58"/>
      <c r="B97" s="59" t="s">
        <v>1322</v>
      </c>
      <c r="C97" s="60"/>
      <c r="D97" s="60"/>
      <c r="E97" s="60"/>
      <c r="F97" s="60">
        <v>350</v>
      </c>
      <c r="G97" s="60"/>
      <c r="H97" s="60"/>
    </row>
    <row r="98" spans="1:8" s="49" customFormat="1" ht="37.5" x14ac:dyDescent="0.25">
      <c r="A98" s="58"/>
      <c r="B98" s="59" t="s">
        <v>1323</v>
      </c>
      <c r="C98" s="60"/>
      <c r="D98" s="60"/>
      <c r="E98" s="60"/>
      <c r="F98" s="60">
        <v>80</v>
      </c>
      <c r="G98" s="60"/>
      <c r="H98" s="60"/>
    </row>
    <row r="99" spans="1:8" s="49" customFormat="1" ht="37.5" x14ac:dyDescent="0.25">
      <c r="A99" s="58"/>
      <c r="B99" s="59" t="s">
        <v>1324</v>
      </c>
      <c r="C99" s="60"/>
      <c r="D99" s="60"/>
      <c r="E99" s="60"/>
      <c r="F99" s="60">
        <v>100</v>
      </c>
      <c r="G99" s="60"/>
      <c r="H99" s="60"/>
    </row>
    <row r="100" spans="1:8" s="49" customFormat="1" ht="37.5" x14ac:dyDescent="0.25">
      <c r="A100" s="58"/>
      <c r="B100" s="59" t="s">
        <v>619</v>
      </c>
      <c r="C100" s="60"/>
      <c r="D100" s="60"/>
      <c r="E100" s="60">
        <v>462</v>
      </c>
      <c r="F100" s="60"/>
      <c r="G100" s="60"/>
      <c r="H100" s="60"/>
    </row>
    <row r="101" spans="1:8" s="49" customFormat="1" x14ac:dyDescent="0.25">
      <c r="A101" s="58"/>
      <c r="B101" s="59" t="s">
        <v>625</v>
      </c>
      <c r="C101" s="60"/>
      <c r="D101" s="60"/>
      <c r="E101" s="60">
        <v>200</v>
      </c>
      <c r="F101" s="60"/>
      <c r="G101" s="60"/>
      <c r="H101" s="60"/>
    </row>
    <row r="102" spans="1:8" s="87" customFormat="1" ht="37.5" x14ac:dyDescent="0.25">
      <c r="A102" s="84" t="s">
        <v>54</v>
      </c>
      <c r="B102" s="85" t="s">
        <v>1325</v>
      </c>
      <c r="C102" s="86"/>
      <c r="D102" s="86"/>
      <c r="E102" s="86">
        <f>SUM(E103:E108)</f>
        <v>20</v>
      </c>
      <c r="F102" s="86">
        <f t="shared" ref="F102:H102" si="9">SUM(F103:F108)</f>
        <v>55</v>
      </c>
      <c r="G102" s="86">
        <f t="shared" si="9"/>
        <v>0</v>
      </c>
      <c r="H102" s="86">
        <f t="shared" si="9"/>
        <v>0</v>
      </c>
    </row>
    <row r="103" spans="1:8" s="49" customFormat="1" ht="56.25" x14ac:dyDescent="0.25">
      <c r="A103" s="58"/>
      <c r="B103" s="59" t="s">
        <v>1326</v>
      </c>
      <c r="C103" s="60"/>
      <c r="D103" s="60"/>
      <c r="E103" s="60"/>
      <c r="F103" s="60">
        <v>35</v>
      </c>
      <c r="G103" s="60"/>
      <c r="H103" s="60"/>
    </row>
    <row r="104" spans="1:8" s="49" customFormat="1" ht="56.25" x14ac:dyDescent="0.25">
      <c r="A104" s="58"/>
      <c r="B104" s="59" t="s">
        <v>1329</v>
      </c>
      <c r="C104" s="60"/>
      <c r="D104" s="60"/>
      <c r="E104" s="60"/>
      <c r="F104" s="60">
        <v>20</v>
      </c>
      <c r="G104" s="60"/>
      <c r="H104" s="60"/>
    </row>
    <row r="105" spans="1:8" s="49" customFormat="1" ht="37.5" x14ac:dyDescent="0.25">
      <c r="A105" s="58"/>
      <c r="B105" s="59" t="s">
        <v>615</v>
      </c>
      <c r="C105" s="60"/>
      <c r="D105" s="60"/>
      <c r="E105" s="60">
        <v>20</v>
      </c>
      <c r="F105" s="60"/>
      <c r="G105" s="60"/>
      <c r="H105" s="60"/>
    </row>
    <row r="106" spans="1:8" s="49" customFormat="1" ht="37.5" hidden="1" x14ac:dyDescent="0.25">
      <c r="A106" s="58"/>
      <c r="B106" s="59" t="s">
        <v>620</v>
      </c>
      <c r="C106" s="60"/>
      <c r="D106" s="60"/>
      <c r="E106" s="60"/>
      <c r="F106" s="60"/>
      <c r="G106" s="60"/>
      <c r="H106" s="60"/>
    </row>
    <row r="107" spans="1:8" s="49" customFormat="1" ht="37.5" hidden="1" x14ac:dyDescent="0.25">
      <c r="A107" s="58"/>
      <c r="B107" s="59" t="s">
        <v>621</v>
      </c>
      <c r="C107" s="60"/>
      <c r="D107" s="60"/>
      <c r="E107" s="60"/>
      <c r="F107" s="60"/>
      <c r="G107" s="60"/>
      <c r="H107" s="60"/>
    </row>
    <row r="108" spans="1:8" s="49" customFormat="1" ht="37.5" hidden="1" x14ac:dyDescent="0.25">
      <c r="A108" s="58"/>
      <c r="B108" s="59" t="s">
        <v>622</v>
      </c>
      <c r="C108" s="60"/>
      <c r="D108" s="60"/>
      <c r="E108" s="60"/>
      <c r="F108" s="60"/>
      <c r="G108" s="60"/>
      <c r="H108" s="60"/>
    </row>
    <row r="109" spans="1:8" s="87" customFormat="1" x14ac:dyDescent="0.25">
      <c r="A109" s="84" t="s">
        <v>55</v>
      </c>
      <c r="B109" s="85" t="s">
        <v>231</v>
      </c>
      <c r="C109" s="86"/>
      <c r="D109" s="86"/>
      <c r="E109" s="86">
        <f>SUM(E110:E116)</f>
        <v>555</v>
      </c>
      <c r="F109" s="86">
        <f>SUM(F110:F116)</f>
        <v>475</v>
      </c>
      <c r="G109" s="86">
        <f t="shared" ref="G109:H109" si="10">SUM(G110:G116)</f>
        <v>475</v>
      </c>
      <c r="H109" s="86">
        <f t="shared" si="10"/>
        <v>475</v>
      </c>
    </row>
    <row r="110" spans="1:8" s="49" customFormat="1" x14ac:dyDescent="0.25">
      <c r="A110" s="58"/>
      <c r="B110" s="59" t="s">
        <v>616</v>
      </c>
      <c r="C110" s="60"/>
      <c r="D110" s="60"/>
      <c r="E110" s="60">
        <v>35</v>
      </c>
      <c r="F110" s="60">
        <f>E110</f>
        <v>35</v>
      </c>
      <c r="G110" s="60">
        <f>E110</f>
        <v>35</v>
      </c>
      <c r="H110" s="60">
        <f>G110</f>
        <v>35</v>
      </c>
    </row>
    <row r="111" spans="1:8" s="49" customFormat="1" x14ac:dyDescent="0.25">
      <c r="A111" s="58"/>
      <c r="B111" s="59" t="s">
        <v>617</v>
      </c>
      <c r="C111" s="60"/>
      <c r="D111" s="60"/>
      <c r="E111" s="60">
        <v>65</v>
      </c>
      <c r="F111" s="60">
        <f>E111</f>
        <v>65</v>
      </c>
      <c r="G111" s="60">
        <f>E111</f>
        <v>65</v>
      </c>
      <c r="H111" s="60">
        <f>G111</f>
        <v>65</v>
      </c>
    </row>
    <row r="112" spans="1:8" s="49" customFormat="1" ht="37.5" hidden="1" x14ac:dyDescent="0.25">
      <c r="A112" s="58"/>
      <c r="B112" s="59" t="s">
        <v>623</v>
      </c>
      <c r="C112" s="60"/>
      <c r="D112" s="60"/>
      <c r="E112" s="60"/>
      <c r="F112" s="60"/>
      <c r="G112" s="60"/>
      <c r="H112" s="60"/>
    </row>
    <row r="113" spans="1:8" s="49" customFormat="1" ht="56.25" x14ac:dyDescent="0.25">
      <c r="A113" s="58"/>
      <c r="B113" s="59" t="s">
        <v>618</v>
      </c>
      <c r="C113" s="60"/>
      <c r="D113" s="60"/>
      <c r="E113" s="60">
        <v>360</v>
      </c>
      <c r="F113" s="60">
        <v>280</v>
      </c>
      <c r="G113" s="60">
        <f>F113</f>
        <v>280</v>
      </c>
      <c r="H113" s="60">
        <f>G113</f>
        <v>280</v>
      </c>
    </row>
    <row r="114" spans="1:8" s="49" customFormat="1" x14ac:dyDescent="0.25">
      <c r="A114" s="58"/>
      <c r="B114" s="59" t="s">
        <v>232</v>
      </c>
      <c r="C114" s="60"/>
      <c r="D114" s="60"/>
      <c r="E114" s="60">
        <v>45</v>
      </c>
      <c r="F114" s="60">
        <f>E114</f>
        <v>45</v>
      </c>
      <c r="G114" s="60">
        <f>E114</f>
        <v>45</v>
      </c>
      <c r="H114" s="60">
        <f>G114</f>
        <v>45</v>
      </c>
    </row>
    <row r="115" spans="1:8" s="49" customFormat="1" hidden="1" x14ac:dyDescent="0.25">
      <c r="A115" s="58"/>
      <c r="B115" s="59" t="s">
        <v>245</v>
      </c>
      <c r="C115" s="60"/>
      <c r="D115" s="60"/>
      <c r="E115" s="60"/>
      <c r="F115" s="60"/>
      <c r="G115" s="60">
        <f t="shared" ref="G115:G116" si="11">E115</f>
        <v>0</v>
      </c>
      <c r="H115" s="60">
        <f t="shared" ref="H115:H116" si="12">G115</f>
        <v>0</v>
      </c>
    </row>
    <row r="116" spans="1:8" s="49" customFormat="1" ht="56.25" x14ac:dyDescent="0.25">
      <c r="A116" s="58"/>
      <c r="B116" s="59" t="s">
        <v>624</v>
      </c>
      <c r="C116" s="60"/>
      <c r="D116" s="60"/>
      <c r="E116" s="60">
        <v>50</v>
      </c>
      <c r="F116" s="60">
        <f>E116</f>
        <v>50</v>
      </c>
      <c r="G116" s="60">
        <f t="shared" si="11"/>
        <v>50</v>
      </c>
      <c r="H116" s="60">
        <f t="shared" si="12"/>
        <v>50</v>
      </c>
    </row>
    <row r="117" spans="1:8" s="49" customFormat="1" hidden="1" x14ac:dyDescent="0.25">
      <c r="A117" s="58"/>
      <c r="B117" s="59"/>
      <c r="C117" s="60"/>
      <c r="D117" s="60"/>
      <c r="E117" s="60"/>
      <c r="F117" s="60"/>
      <c r="G117" s="60"/>
      <c r="H117" s="60"/>
    </row>
    <row r="118" spans="1:8" s="49" customFormat="1" hidden="1" x14ac:dyDescent="0.25">
      <c r="A118" s="58"/>
      <c r="B118" s="59"/>
      <c r="C118" s="60"/>
      <c r="D118" s="60"/>
      <c r="E118" s="60"/>
      <c r="F118" s="60"/>
      <c r="G118" s="60"/>
      <c r="H118" s="60"/>
    </row>
    <row r="119" spans="1:8" s="50" customFormat="1" hidden="1" x14ac:dyDescent="0.25">
      <c r="A119" s="62">
        <v>4</v>
      </c>
      <c r="B119" s="63" t="s">
        <v>208</v>
      </c>
      <c r="C119" s="64"/>
      <c r="D119" s="64"/>
      <c r="E119" s="64">
        <f>E120</f>
        <v>0</v>
      </c>
      <c r="F119" s="64"/>
      <c r="G119" s="64">
        <f>G120</f>
        <v>0</v>
      </c>
      <c r="H119" s="64">
        <f>H120</f>
        <v>0</v>
      </c>
    </row>
    <row r="120" spans="1:8" s="49" customFormat="1" hidden="1" x14ac:dyDescent="0.25">
      <c r="A120" s="58" t="s">
        <v>99</v>
      </c>
      <c r="B120" s="59"/>
      <c r="C120" s="60"/>
      <c r="D120" s="60"/>
      <c r="E120" s="60"/>
      <c r="F120" s="60"/>
      <c r="G120" s="60">
        <f>E120</f>
        <v>0</v>
      </c>
      <c r="H120" s="60">
        <f>G120</f>
        <v>0</v>
      </c>
    </row>
    <row r="121" spans="1:8" s="49" customFormat="1" x14ac:dyDescent="0.25">
      <c r="A121" s="67"/>
      <c r="B121" s="68"/>
      <c r="C121" s="69"/>
      <c r="D121" s="69"/>
      <c r="E121" s="69"/>
      <c r="F121" s="69"/>
      <c r="G121" s="69"/>
      <c r="H121" s="69"/>
    </row>
    <row r="122" spans="1:8" s="49" customFormat="1" ht="43.5" customHeight="1" x14ac:dyDescent="0.25">
      <c r="A122" s="70"/>
      <c r="B122" s="567" t="s">
        <v>1445</v>
      </c>
      <c r="C122" s="567"/>
      <c r="D122" s="567"/>
      <c r="E122" s="567"/>
      <c r="F122" s="567"/>
      <c r="G122" s="567"/>
      <c r="H122" s="567"/>
    </row>
    <row r="123" spans="1:8" x14ac:dyDescent="0.25">
      <c r="A123" s="2"/>
      <c r="B123" s="7" t="s">
        <v>1332</v>
      </c>
    </row>
    <row r="124" spans="1:8" x14ac:dyDescent="0.25">
      <c r="A124" s="2"/>
    </row>
    <row r="125" spans="1:8" x14ac:dyDescent="0.25">
      <c r="A125" s="550" t="s">
        <v>36</v>
      </c>
      <c r="B125" s="550"/>
      <c r="D125" s="550" t="s">
        <v>37</v>
      </c>
      <c r="E125" s="550"/>
      <c r="F125" s="550"/>
      <c r="G125" s="550"/>
      <c r="H125" s="550"/>
    </row>
  </sheetData>
  <mergeCells count="19">
    <mergeCell ref="B122:H122"/>
    <mergeCell ref="A125:B125"/>
    <mergeCell ref="D125:H125"/>
    <mergeCell ref="C21:H21"/>
    <mergeCell ref="C22:H22"/>
    <mergeCell ref="C23:H23"/>
    <mergeCell ref="B24:H24"/>
    <mergeCell ref="C10:H10"/>
    <mergeCell ref="C15:H15"/>
    <mergeCell ref="C17:H17"/>
    <mergeCell ref="C20:H20"/>
    <mergeCell ref="C19:H19"/>
    <mergeCell ref="C18:H18"/>
    <mergeCell ref="C9:H9"/>
    <mergeCell ref="A1:H1"/>
    <mergeCell ref="B3:H3"/>
    <mergeCell ref="C6:H6"/>
    <mergeCell ref="C7:H7"/>
    <mergeCell ref="C8:H8"/>
  </mergeCells>
  <printOptions horizontalCentered="1"/>
  <pageMargins left="0" right="0" top="0.75" bottom="0.5" header="0" footer="0"/>
  <pageSetup paperSize="9" scale="89" orientation="portrait" r:id="rId1"/>
  <headerFooter>
    <oddFooter>&amp;C&amp;P/&amp;N</oddFooter>
  </headerFooter>
  <legacy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4"/>
  <sheetViews>
    <sheetView topLeftCell="A40" zoomScaleNormal="100" workbookViewId="0">
      <selection activeCell="F44" sqref="F44"/>
    </sheetView>
  </sheetViews>
  <sheetFormatPr defaultColWidth="9.140625" defaultRowHeight="18.75" x14ac:dyDescent="0.25"/>
  <cols>
    <col min="1" max="1" width="4.85546875" style="7" customWidth="1"/>
    <col min="2" max="2" width="43.28515625" style="7" customWidth="1"/>
    <col min="3" max="4" width="7.85546875" style="7" customWidth="1"/>
    <col min="5" max="8" width="11.7109375" style="7" customWidth="1"/>
    <col min="9" max="16384" width="9.140625" style="7"/>
  </cols>
  <sheetData>
    <row r="1" spans="1:8" ht="41.25" customHeight="1" x14ac:dyDescent="0.25">
      <c r="A1" s="549" t="s">
        <v>1074</v>
      </c>
      <c r="B1" s="555"/>
      <c r="C1" s="555"/>
      <c r="D1" s="555"/>
      <c r="E1" s="555"/>
      <c r="F1" s="555"/>
      <c r="G1" s="555"/>
      <c r="H1" s="555"/>
    </row>
    <row r="2" spans="1:8" x14ac:dyDescent="0.25">
      <c r="A2" s="6"/>
      <c r="B2" s="6"/>
      <c r="C2" s="6"/>
      <c r="D2" s="1"/>
      <c r="E2" s="1"/>
      <c r="F2" s="1"/>
      <c r="G2" s="1"/>
      <c r="H2" s="1"/>
    </row>
    <row r="3" spans="1:8" ht="40.5" customHeight="1" x14ac:dyDescent="0.25">
      <c r="B3" s="565" t="s">
        <v>1335</v>
      </c>
      <c r="C3" s="565"/>
      <c r="D3" s="565"/>
      <c r="E3" s="565"/>
      <c r="F3" s="565"/>
      <c r="G3" s="565"/>
      <c r="H3" s="565"/>
    </row>
    <row r="4" spans="1:8" x14ac:dyDescent="0.25">
      <c r="B4" s="7" t="s">
        <v>39</v>
      </c>
      <c r="D4" s="8"/>
      <c r="E4" s="8"/>
      <c r="F4" s="8"/>
      <c r="G4" s="8"/>
      <c r="H4" s="8"/>
    </row>
    <row r="5" spans="1:8" s="6" customFormat="1" x14ac:dyDescent="0.25">
      <c r="B5" s="3" t="s">
        <v>18</v>
      </c>
      <c r="F5" s="146"/>
    </row>
    <row r="6" spans="1:8" x14ac:dyDescent="0.25">
      <c r="B6" s="2" t="s">
        <v>23</v>
      </c>
      <c r="C6" s="558" t="s">
        <v>176</v>
      </c>
      <c r="D6" s="558"/>
      <c r="E6" s="558"/>
      <c r="F6" s="558"/>
      <c r="G6" s="558"/>
      <c r="H6" s="558"/>
    </row>
    <row r="7" spans="1:8" x14ac:dyDescent="0.25">
      <c r="A7" s="2"/>
      <c r="B7" s="2" t="s">
        <v>19</v>
      </c>
      <c r="C7" s="558" t="s">
        <v>50</v>
      </c>
      <c r="D7" s="558"/>
      <c r="E7" s="558"/>
      <c r="F7" s="558"/>
      <c r="G7" s="558"/>
      <c r="H7" s="558"/>
    </row>
    <row r="8" spans="1:8" hidden="1" x14ac:dyDescent="0.25">
      <c r="A8" s="2"/>
      <c r="B8" s="2" t="s">
        <v>90</v>
      </c>
      <c r="C8" s="558" t="s">
        <v>60</v>
      </c>
      <c r="D8" s="558"/>
      <c r="E8" s="558"/>
      <c r="F8" s="558"/>
      <c r="G8" s="558"/>
      <c r="H8" s="558"/>
    </row>
    <row r="9" spans="1:8" x14ac:dyDescent="0.25">
      <c r="A9" s="2"/>
      <c r="B9" s="2" t="s">
        <v>59</v>
      </c>
      <c r="C9" s="558" t="s">
        <v>60</v>
      </c>
      <c r="D9" s="558"/>
      <c r="E9" s="558"/>
      <c r="F9" s="558"/>
      <c r="G9" s="558"/>
      <c r="H9" s="558"/>
    </row>
    <row r="10" spans="1:8" hidden="1" x14ac:dyDescent="0.25">
      <c r="A10" s="2"/>
      <c r="B10" s="2" t="s">
        <v>20</v>
      </c>
      <c r="C10" s="558" t="s">
        <v>86</v>
      </c>
      <c r="D10" s="558"/>
      <c r="E10" s="558"/>
      <c r="F10" s="558"/>
      <c r="G10" s="558"/>
      <c r="H10" s="558"/>
    </row>
    <row r="11" spans="1:8" hidden="1" x14ac:dyDescent="0.25">
      <c r="A11" s="2"/>
      <c r="B11" s="2" t="s">
        <v>21</v>
      </c>
      <c r="C11" s="29" t="s">
        <v>87</v>
      </c>
      <c r="D11" s="29"/>
      <c r="E11" s="29"/>
      <c r="F11" s="368"/>
      <c r="G11" s="29"/>
      <c r="H11" s="29"/>
    </row>
    <row r="12" spans="1:8" x14ac:dyDescent="0.25">
      <c r="A12" s="2"/>
      <c r="B12" s="2" t="s">
        <v>316</v>
      </c>
      <c r="C12" s="29" t="s">
        <v>88</v>
      </c>
      <c r="D12" s="29"/>
      <c r="E12" s="29"/>
      <c r="F12" s="368"/>
      <c r="G12" s="29"/>
      <c r="H12" s="29"/>
    </row>
    <row r="13" spans="1:8" hidden="1" x14ac:dyDescent="0.25">
      <c r="A13" s="2"/>
      <c r="B13" s="2" t="s">
        <v>94</v>
      </c>
      <c r="C13" s="29" t="s">
        <v>95</v>
      </c>
      <c r="D13" s="29"/>
      <c r="E13" s="29"/>
      <c r="F13" s="368"/>
      <c r="G13" s="29"/>
      <c r="H13" s="29"/>
    </row>
    <row r="14" spans="1:8" x14ac:dyDescent="0.25">
      <c r="A14" s="2"/>
      <c r="B14" s="2"/>
      <c r="C14" s="29"/>
      <c r="D14" s="29"/>
      <c r="E14" s="29"/>
      <c r="F14" s="368"/>
      <c r="G14" s="29"/>
      <c r="H14" s="29"/>
    </row>
    <row r="15" spans="1:8" hidden="1" x14ac:dyDescent="0.25">
      <c r="A15" s="2"/>
      <c r="B15" s="2" t="s">
        <v>21</v>
      </c>
      <c r="C15" s="558"/>
      <c r="D15" s="558"/>
      <c r="E15" s="558"/>
      <c r="F15" s="558"/>
      <c r="G15" s="558"/>
      <c r="H15" s="558"/>
    </row>
    <row r="16" spans="1:8" s="6" customFormat="1" x14ac:dyDescent="0.25">
      <c r="A16" s="3"/>
      <c r="B16" s="3" t="s">
        <v>119</v>
      </c>
      <c r="C16" s="3"/>
      <c r="D16" s="3"/>
      <c r="E16" s="3"/>
      <c r="F16" s="3"/>
      <c r="G16" s="3"/>
      <c r="H16" s="3"/>
    </row>
    <row r="17" spans="1:8" x14ac:dyDescent="0.25">
      <c r="A17" s="2"/>
      <c r="B17" s="2" t="s">
        <v>120</v>
      </c>
      <c r="C17" s="558" t="s">
        <v>106</v>
      </c>
      <c r="D17" s="558"/>
      <c r="E17" s="558"/>
      <c r="F17" s="558"/>
      <c r="G17" s="558"/>
      <c r="H17" s="558"/>
    </row>
    <row r="18" spans="1:8" x14ac:dyDescent="0.25">
      <c r="A18" s="2"/>
      <c r="B18" s="2" t="s">
        <v>121</v>
      </c>
      <c r="C18" s="558" t="s">
        <v>108</v>
      </c>
      <c r="D18" s="558"/>
      <c r="E18" s="558"/>
      <c r="F18" s="558"/>
      <c r="G18" s="558"/>
      <c r="H18" s="558"/>
    </row>
    <row r="19" spans="1:8" hidden="1" x14ac:dyDescent="0.25">
      <c r="A19" s="2"/>
      <c r="B19" s="2" t="s">
        <v>91</v>
      </c>
      <c r="C19" s="558"/>
      <c r="D19" s="558"/>
      <c r="E19" s="558"/>
      <c r="F19" s="558"/>
      <c r="G19" s="558"/>
      <c r="H19" s="558"/>
    </row>
    <row r="20" spans="1:8" hidden="1" x14ac:dyDescent="0.25">
      <c r="A20" s="2"/>
      <c r="B20" s="2" t="s">
        <v>21</v>
      </c>
      <c r="C20" s="558"/>
      <c r="D20" s="558"/>
      <c r="E20" s="558"/>
      <c r="F20" s="558"/>
      <c r="G20" s="558"/>
      <c r="H20" s="558"/>
    </row>
    <row r="21" spans="1:8" hidden="1" x14ac:dyDescent="0.25">
      <c r="A21" s="2"/>
      <c r="B21" s="2" t="s">
        <v>21</v>
      </c>
      <c r="C21" s="558"/>
      <c r="D21" s="558"/>
      <c r="E21" s="558"/>
      <c r="F21" s="558"/>
      <c r="G21" s="558"/>
      <c r="H21" s="558"/>
    </row>
    <row r="22" spans="1:8" hidden="1" x14ac:dyDescent="0.25">
      <c r="A22" s="2"/>
      <c r="B22" s="2" t="s">
        <v>21</v>
      </c>
      <c r="C22" s="558"/>
      <c r="D22" s="558"/>
      <c r="E22" s="558"/>
      <c r="F22" s="558"/>
      <c r="G22" s="558"/>
      <c r="H22" s="558"/>
    </row>
    <row r="23" spans="1:8" ht="39.75" customHeight="1" x14ac:dyDescent="0.25">
      <c r="A23" s="2"/>
      <c r="B23" s="556" t="s">
        <v>1073</v>
      </c>
      <c r="C23" s="556"/>
      <c r="D23" s="556"/>
      <c r="E23" s="556"/>
      <c r="F23" s="556"/>
      <c r="G23" s="556"/>
      <c r="H23" s="556"/>
    </row>
    <row r="24" spans="1:8" x14ac:dyDescent="0.25">
      <c r="A24" s="4"/>
      <c r="H24" s="4" t="s">
        <v>61</v>
      </c>
    </row>
    <row r="25" spans="1:8" s="366" customFormat="1" ht="75" x14ac:dyDescent="0.25">
      <c r="A25" s="372" t="s">
        <v>62</v>
      </c>
      <c r="B25" s="372" t="s">
        <v>2</v>
      </c>
      <c r="C25" s="372" t="s">
        <v>17</v>
      </c>
      <c r="D25" s="373" t="s">
        <v>464</v>
      </c>
      <c r="E25" s="372" t="s">
        <v>1099</v>
      </c>
      <c r="F25" s="372" t="s">
        <v>9</v>
      </c>
      <c r="G25" s="372" t="s">
        <v>461</v>
      </c>
      <c r="H25" s="373" t="s">
        <v>1046</v>
      </c>
    </row>
    <row r="26" spans="1:8" s="6" customFormat="1" x14ac:dyDescent="0.25">
      <c r="A26" s="372"/>
      <c r="B26" s="372" t="s">
        <v>97</v>
      </c>
      <c r="C26" s="32"/>
      <c r="D26" s="32"/>
      <c r="E26" s="32">
        <f>E27+E34</f>
        <v>2380</v>
      </c>
      <c r="F26" s="32">
        <f>F27+F34</f>
        <v>2450</v>
      </c>
      <c r="G26" s="32">
        <f>G27+G34</f>
        <v>1020</v>
      </c>
      <c r="H26" s="32">
        <f>H27+H34</f>
        <v>1055</v>
      </c>
    </row>
    <row r="27" spans="1:8" s="6" customFormat="1" ht="21" customHeight="1" x14ac:dyDescent="0.25">
      <c r="A27" s="9" t="s">
        <v>51</v>
      </c>
      <c r="B27" s="10" t="s">
        <v>1081</v>
      </c>
      <c r="C27" s="20"/>
      <c r="D27" s="20"/>
      <c r="E27" s="20">
        <f>+E28+E32-E33</f>
        <v>1497</v>
      </c>
      <c r="F27" s="20">
        <f>+F28+F32-F33</f>
        <v>1536</v>
      </c>
      <c r="G27" s="20">
        <f>+G28+G32-G33</f>
        <v>332</v>
      </c>
      <c r="H27" s="20">
        <f>+H28+H32-H33</f>
        <v>367</v>
      </c>
    </row>
    <row r="28" spans="1:8" ht="56.25" x14ac:dyDescent="0.25">
      <c r="A28" s="11">
        <v>1</v>
      </c>
      <c r="B28" s="12" t="s">
        <v>1341</v>
      </c>
      <c r="C28" s="21"/>
      <c r="D28" s="21"/>
      <c r="E28" s="21">
        <v>1222</v>
      </c>
      <c r="F28" s="21">
        <f>SUM(F29:F31)</f>
        <v>1239</v>
      </c>
      <c r="G28" s="21">
        <f>SUM(G29:G31)</f>
        <v>35</v>
      </c>
      <c r="H28" s="21">
        <f>SUM(H29:H31)</f>
        <v>70</v>
      </c>
    </row>
    <row r="29" spans="1:8" x14ac:dyDescent="0.25">
      <c r="A29" s="11"/>
      <c r="B29" s="12" t="s">
        <v>1336</v>
      </c>
      <c r="C29" s="21">
        <v>15</v>
      </c>
      <c r="D29" s="36">
        <v>10</v>
      </c>
      <c r="E29" s="21"/>
      <c r="F29" s="21">
        <v>902</v>
      </c>
      <c r="G29" s="21">
        <f>ROUND(E29+4*8.8,0)</f>
        <v>35</v>
      </c>
      <c r="H29" s="21">
        <f>ROUND(G29+4*8.8,0)</f>
        <v>70</v>
      </c>
    </row>
    <row r="30" spans="1:8" x14ac:dyDescent="0.25">
      <c r="A30" s="11"/>
      <c r="B30" s="12" t="s">
        <v>1119</v>
      </c>
      <c r="C30" s="21"/>
      <c r="D30" s="36"/>
      <c r="E30" s="21"/>
      <c r="F30" s="21">
        <v>258</v>
      </c>
      <c r="G30" s="21"/>
      <c r="H30" s="21"/>
    </row>
    <row r="31" spans="1:8" ht="37.5" x14ac:dyDescent="0.25">
      <c r="A31" s="11"/>
      <c r="B31" s="12" t="s">
        <v>1105</v>
      </c>
      <c r="C31" s="21">
        <v>2</v>
      </c>
      <c r="D31" s="21">
        <v>1</v>
      </c>
      <c r="E31" s="21"/>
      <c r="F31" s="21">
        <v>79</v>
      </c>
      <c r="G31" s="21">
        <f>E31</f>
        <v>0</v>
      </c>
      <c r="H31" s="21">
        <f t="shared" ref="H31:H33" si="0">G31</f>
        <v>0</v>
      </c>
    </row>
    <row r="32" spans="1:8" ht="37.5" x14ac:dyDescent="0.25">
      <c r="A32" s="11">
        <v>2</v>
      </c>
      <c r="B32" s="12" t="s">
        <v>1338</v>
      </c>
      <c r="C32" s="21">
        <v>15</v>
      </c>
      <c r="D32" s="21"/>
      <c r="E32" s="21">
        <v>297</v>
      </c>
      <c r="F32" s="21">
        <f>C32*22</f>
        <v>330</v>
      </c>
      <c r="G32" s="21">
        <f>F32</f>
        <v>330</v>
      </c>
      <c r="H32" s="21">
        <f t="shared" si="0"/>
        <v>330</v>
      </c>
    </row>
    <row r="33" spans="1:8" ht="37.5" x14ac:dyDescent="0.25">
      <c r="A33" s="11">
        <v>3</v>
      </c>
      <c r="B33" s="12" t="s">
        <v>103</v>
      </c>
      <c r="C33" s="21"/>
      <c r="D33" s="21"/>
      <c r="E33" s="21">
        <v>22</v>
      </c>
      <c r="F33" s="21">
        <v>33</v>
      </c>
      <c r="G33" s="21">
        <f>F33</f>
        <v>33</v>
      </c>
      <c r="H33" s="21">
        <f t="shared" si="0"/>
        <v>33</v>
      </c>
    </row>
    <row r="34" spans="1:8" s="6" customFormat="1" x14ac:dyDescent="0.25">
      <c r="A34" s="13" t="s">
        <v>52</v>
      </c>
      <c r="B34" s="14" t="s">
        <v>98</v>
      </c>
      <c r="C34" s="22"/>
      <c r="D34" s="22"/>
      <c r="E34" s="22">
        <f>SUM(E35:E49)</f>
        <v>883</v>
      </c>
      <c r="F34" s="22">
        <f>SUM(F35:F49)</f>
        <v>914</v>
      </c>
      <c r="G34" s="22">
        <f>SUM(G35:G49)</f>
        <v>688</v>
      </c>
      <c r="H34" s="22">
        <f>SUM(H35:H49)</f>
        <v>688</v>
      </c>
    </row>
    <row r="35" spans="1:8" x14ac:dyDescent="0.25">
      <c r="A35" s="11">
        <v>1</v>
      </c>
      <c r="B35" s="12" t="s">
        <v>1188</v>
      </c>
      <c r="C35" s="21"/>
      <c r="D35" s="21"/>
      <c r="E35" s="21">
        <v>13</v>
      </c>
      <c r="F35" s="21">
        <v>19</v>
      </c>
      <c r="G35" s="21">
        <f t="shared" ref="G35:G40" si="1">E35</f>
        <v>13</v>
      </c>
      <c r="H35" s="21">
        <f t="shared" ref="H35:H40" si="2">G35</f>
        <v>13</v>
      </c>
    </row>
    <row r="36" spans="1:8" x14ac:dyDescent="0.3">
      <c r="A36" s="11">
        <v>2</v>
      </c>
      <c r="B36" s="33" t="s">
        <v>122</v>
      </c>
      <c r="C36" s="21"/>
      <c r="D36" s="21"/>
      <c r="E36" s="21">
        <v>180</v>
      </c>
      <c r="F36" s="21">
        <f>E36</f>
        <v>180</v>
      </c>
      <c r="G36" s="21">
        <f t="shared" si="1"/>
        <v>180</v>
      </c>
      <c r="H36" s="21">
        <f t="shared" si="2"/>
        <v>180</v>
      </c>
    </row>
    <row r="37" spans="1:8" x14ac:dyDescent="0.3">
      <c r="A37" s="11">
        <v>3</v>
      </c>
      <c r="B37" s="33" t="s">
        <v>123</v>
      </c>
      <c r="C37" s="21"/>
      <c r="D37" s="21"/>
      <c r="E37" s="21">
        <v>100</v>
      </c>
      <c r="F37" s="21">
        <f>E37</f>
        <v>100</v>
      </c>
      <c r="G37" s="21">
        <f t="shared" si="1"/>
        <v>100</v>
      </c>
      <c r="H37" s="21">
        <f t="shared" si="2"/>
        <v>100</v>
      </c>
    </row>
    <row r="38" spans="1:8" x14ac:dyDescent="0.3">
      <c r="A38" s="11">
        <v>4</v>
      </c>
      <c r="B38" s="33" t="s">
        <v>125</v>
      </c>
      <c r="C38" s="21"/>
      <c r="D38" s="21"/>
      <c r="E38" s="21">
        <v>100</v>
      </c>
      <c r="F38" s="21">
        <f>E38</f>
        <v>100</v>
      </c>
      <c r="G38" s="21">
        <f t="shared" si="1"/>
        <v>100</v>
      </c>
      <c r="H38" s="21">
        <f t="shared" si="2"/>
        <v>100</v>
      </c>
    </row>
    <row r="39" spans="1:8" ht="37.5" x14ac:dyDescent="0.3">
      <c r="A39" s="11">
        <v>5</v>
      </c>
      <c r="B39" s="37" t="s">
        <v>124</v>
      </c>
      <c r="C39" s="21"/>
      <c r="D39" s="21"/>
      <c r="E39" s="21">
        <v>70</v>
      </c>
      <c r="F39" s="21">
        <f>E39</f>
        <v>70</v>
      </c>
      <c r="G39" s="21">
        <f t="shared" si="1"/>
        <v>70</v>
      </c>
      <c r="H39" s="21">
        <f t="shared" si="2"/>
        <v>70</v>
      </c>
    </row>
    <row r="40" spans="1:8" ht="93.75" x14ac:dyDescent="0.25">
      <c r="A40" s="11">
        <v>6</v>
      </c>
      <c r="B40" s="12" t="s">
        <v>488</v>
      </c>
      <c r="C40" s="21"/>
      <c r="D40" s="21"/>
      <c r="E40" s="21">
        <f>25+64+42+59+35</f>
        <v>225</v>
      </c>
      <c r="F40" s="21"/>
      <c r="G40" s="21">
        <f t="shared" si="1"/>
        <v>225</v>
      </c>
      <c r="H40" s="21">
        <f t="shared" si="2"/>
        <v>225</v>
      </c>
    </row>
    <row r="41" spans="1:8" ht="150" x14ac:dyDescent="0.25">
      <c r="A41" s="11">
        <v>7</v>
      </c>
      <c r="B41" s="12" t="s">
        <v>1339</v>
      </c>
      <c r="C41" s="21"/>
      <c r="D41" s="21"/>
      <c r="E41" s="21"/>
      <c r="F41" s="21">
        <v>380</v>
      </c>
      <c r="G41" s="21"/>
      <c r="H41" s="21"/>
    </row>
    <row r="42" spans="1:8" ht="37.5" x14ac:dyDescent="0.25">
      <c r="A42" s="11">
        <v>8</v>
      </c>
      <c r="B42" s="12" t="s">
        <v>487</v>
      </c>
      <c r="C42" s="21"/>
      <c r="D42" s="21"/>
      <c r="E42" s="21">
        <v>110</v>
      </c>
      <c r="F42" s="21"/>
      <c r="G42" s="21"/>
      <c r="H42" s="21"/>
    </row>
    <row r="43" spans="1:8" x14ac:dyDescent="0.25">
      <c r="A43" s="11">
        <v>9</v>
      </c>
      <c r="B43" s="12" t="s">
        <v>491</v>
      </c>
      <c r="C43" s="21"/>
      <c r="D43" s="21"/>
      <c r="E43" s="21">
        <f>20+15</f>
        <v>35</v>
      </c>
      <c r="F43" s="21"/>
      <c r="G43" s="21"/>
      <c r="H43" s="21"/>
    </row>
    <row r="44" spans="1:8" x14ac:dyDescent="0.25">
      <c r="A44" s="11">
        <v>10</v>
      </c>
      <c r="B44" s="12" t="s">
        <v>1337</v>
      </c>
      <c r="C44" s="21"/>
      <c r="D44" s="21"/>
      <c r="E44" s="21"/>
      <c r="F44" s="21">
        <v>15</v>
      </c>
      <c r="G44" s="21"/>
      <c r="H44" s="21"/>
    </row>
    <row r="45" spans="1:8" x14ac:dyDescent="0.25">
      <c r="A45" s="11">
        <v>11</v>
      </c>
      <c r="B45" s="12" t="s">
        <v>114</v>
      </c>
      <c r="C45" s="21"/>
      <c r="D45" s="21"/>
      <c r="E45" s="21">
        <v>50</v>
      </c>
      <c r="F45" s="21">
        <v>50</v>
      </c>
      <c r="G45" s="21"/>
      <c r="H45" s="21"/>
    </row>
    <row r="46" spans="1:8" hidden="1" x14ac:dyDescent="0.25">
      <c r="A46" s="11">
        <v>12</v>
      </c>
      <c r="B46" s="12"/>
      <c r="C46" s="21"/>
      <c r="D46" s="21"/>
      <c r="E46" s="21"/>
      <c r="F46" s="21"/>
      <c r="G46" s="21"/>
      <c r="H46" s="21"/>
    </row>
    <row r="47" spans="1:8" hidden="1" x14ac:dyDescent="0.25">
      <c r="A47" s="11">
        <v>13</v>
      </c>
      <c r="B47" s="12"/>
      <c r="C47" s="21"/>
      <c r="D47" s="21"/>
      <c r="E47" s="21"/>
      <c r="F47" s="21"/>
      <c r="G47" s="21"/>
      <c r="H47" s="21"/>
    </row>
    <row r="48" spans="1:8" hidden="1" x14ac:dyDescent="0.25">
      <c r="A48" s="11">
        <v>14</v>
      </c>
      <c r="B48" s="12"/>
      <c r="C48" s="21"/>
      <c r="D48" s="21"/>
      <c r="E48" s="21"/>
      <c r="F48" s="21"/>
      <c r="G48" s="21"/>
      <c r="H48" s="21"/>
    </row>
    <row r="49" spans="1:8" hidden="1" x14ac:dyDescent="0.25">
      <c r="A49" s="11">
        <v>15</v>
      </c>
      <c r="B49" s="12"/>
      <c r="C49" s="21"/>
      <c r="D49" s="21"/>
      <c r="E49" s="21"/>
      <c r="F49" s="21"/>
      <c r="G49" s="21"/>
      <c r="H49" s="21"/>
    </row>
    <row r="50" spans="1:8" x14ac:dyDescent="0.25">
      <c r="A50" s="15"/>
      <c r="B50" s="16"/>
      <c r="C50" s="23"/>
      <c r="D50" s="23"/>
      <c r="E50" s="23"/>
      <c r="F50" s="23"/>
      <c r="G50" s="23"/>
      <c r="H50" s="23"/>
    </row>
    <row r="51" spans="1:8" ht="40.5" customHeight="1" x14ac:dyDescent="0.25">
      <c r="A51" s="30"/>
      <c r="B51" s="567" t="s">
        <v>1340</v>
      </c>
      <c r="C51" s="567"/>
      <c r="D51" s="567"/>
      <c r="E51" s="567"/>
      <c r="F51" s="567"/>
      <c r="G51" s="567"/>
      <c r="H51" s="567"/>
    </row>
    <row r="52" spans="1:8" x14ac:dyDescent="0.25">
      <c r="A52" s="2"/>
      <c r="B52" s="7" t="s">
        <v>492</v>
      </c>
    </row>
    <row r="53" spans="1:8" x14ac:dyDescent="0.25">
      <c r="A53" s="2"/>
    </row>
    <row r="54" spans="1:8" x14ac:dyDescent="0.25">
      <c r="A54" s="550" t="s">
        <v>36</v>
      </c>
      <c r="B54" s="550"/>
      <c r="D54" s="550" t="s">
        <v>37</v>
      </c>
      <c r="E54" s="550"/>
      <c r="F54" s="550"/>
      <c r="G54" s="550"/>
      <c r="H54" s="550"/>
    </row>
  </sheetData>
  <mergeCells count="18">
    <mergeCell ref="C20:H20"/>
    <mergeCell ref="A1:H1"/>
    <mergeCell ref="B3:H3"/>
    <mergeCell ref="C6:H6"/>
    <mergeCell ref="C7:H7"/>
    <mergeCell ref="C8:H8"/>
    <mergeCell ref="C9:H9"/>
    <mergeCell ref="C10:H10"/>
    <mergeCell ref="C15:H15"/>
    <mergeCell ref="C17:H17"/>
    <mergeCell ref="C18:H18"/>
    <mergeCell ref="C19:H19"/>
    <mergeCell ref="B51:H51"/>
    <mergeCell ref="A54:B54"/>
    <mergeCell ref="D54:H54"/>
    <mergeCell ref="C21:H21"/>
    <mergeCell ref="C22:H22"/>
    <mergeCell ref="B23:H23"/>
  </mergeCells>
  <printOptions horizontalCentered="1"/>
  <pageMargins left="0.19685039370078741" right="0.19685039370078741" top="0.59055118110236227" bottom="0.59055118110236227" header="0.31496062992125984" footer="0.31496062992125984"/>
  <pageSetup paperSize="9" scale="89" orientation="portrait" r:id="rId1"/>
  <headerFooter>
    <oddFooter>&amp;C&amp;P/&amp;N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5"/>
  <sheetViews>
    <sheetView zoomScaleNormal="100" workbookViewId="0">
      <selection activeCell="H27" sqref="H27:N34"/>
    </sheetView>
  </sheetViews>
  <sheetFormatPr defaultRowHeight="21.75" customHeight="1" x14ac:dyDescent="0.3"/>
  <cols>
    <col min="1" max="1" width="4.42578125" style="271" customWidth="1"/>
    <col min="2" max="2" width="59.140625" style="271" customWidth="1"/>
    <col min="3" max="3" width="35.85546875" style="271" hidden="1" customWidth="1"/>
    <col min="4" max="4" width="18.7109375" style="271" customWidth="1"/>
    <col min="5" max="6" width="9.140625" style="271" customWidth="1"/>
    <col min="7" max="254" width="9.140625" style="272"/>
    <col min="255" max="255" width="4.42578125" style="272" customWidth="1"/>
    <col min="256" max="256" width="54.85546875" style="272" customWidth="1"/>
    <col min="257" max="258" width="19.42578125" style="272" customWidth="1"/>
    <col min="259" max="259" width="35.85546875" style="272" bestFit="1" customWidth="1"/>
    <col min="260" max="260" width="35.85546875" style="272" customWidth="1"/>
    <col min="261" max="262" width="9.140625" style="272" customWidth="1"/>
    <col min="263" max="510" width="9.140625" style="272"/>
    <col min="511" max="511" width="4.42578125" style="272" customWidth="1"/>
    <col min="512" max="512" width="54.85546875" style="272" customWidth="1"/>
    <col min="513" max="514" width="19.42578125" style="272" customWidth="1"/>
    <col min="515" max="515" width="35.85546875" style="272" bestFit="1" customWidth="1"/>
    <col min="516" max="516" width="35.85546875" style="272" customWidth="1"/>
    <col min="517" max="518" width="9.140625" style="272" customWidth="1"/>
    <col min="519" max="766" width="9.140625" style="272"/>
    <col min="767" max="767" width="4.42578125" style="272" customWidth="1"/>
    <col min="768" max="768" width="54.85546875" style="272" customWidth="1"/>
    <col min="769" max="770" width="19.42578125" style="272" customWidth="1"/>
    <col min="771" max="771" width="35.85546875" style="272" bestFit="1" customWidth="1"/>
    <col min="772" max="772" width="35.85546875" style="272" customWidth="1"/>
    <col min="773" max="774" width="9.140625" style="272" customWidth="1"/>
    <col min="775" max="1022" width="9.140625" style="272"/>
    <col min="1023" max="1023" width="4.42578125" style="272" customWidth="1"/>
    <col min="1024" max="1024" width="54.85546875" style="272" customWidth="1"/>
    <col min="1025" max="1026" width="19.42578125" style="272" customWidth="1"/>
    <col min="1027" max="1027" width="35.85546875" style="272" bestFit="1" customWidth="1"/>
    <col min="1028" max="1028" width="35.85546875" style="272" customWidth="1"/>
    <col min="1029" max="1030" width="9.140625" style="272" customWidth="1"/>
    <col min="1031" max="1278" width="9.140625" style="272"/>
    <col min="1279" max="1279" width="4.42578125" style="272" customWidth="1"/>
    <col min="1280" max="1280" width="54.85546875" style="272" customWidth="1"/>
    <col min="1281" max="1282" width="19.42578125" style="272" customWidth="1"/>
    <col min="1283" max="1283" width="35.85546875" style="272" bestFit="1" customWidth="1"/>
    <col min="1284" max="1284" width="35.85546875" style="272" customWidth="1"/>
    <col min="1285" max="1286" width="9.140625" style="272" customWidth="1"/>
    <col min="1287" max="1534" width="9.140625" style="272"/>
    <col min="1535" max="1535" width="4.42578125" style="272" customWidth="1"/>
    <col min="1536" max="1536" width="54.85546875" style="272" customWidth="1"/>
    <col min="1537" max="1538" width="19.42578125" style="272" customWidth="1"/>
    <col min="1539" max="1539" width="35.85546875" style="272" bestFit="1" customWidth="1"/>
    <col min="1540" max="1540" width="35.85546875" style="272" customWidth="1"/>
    <col min="1541" max="1542" width="9.140625" style="272" customWidth="1"/>
    <col min="1543" max="1790" width="9.140625" style="272"/>
    <col min="1791" max="1791" width="4.42578125" style="272" customWidth="1"/>
    <col min="1792" max="1792" width="54.85546875" style="272" customWidth="1"/>
    <col min="1793" max="1794" width="19.42578125" style="272" customWidth="1"/>
    <col min="1795" max="1795" width="35.85546875" style="272" bestFit="1" customWidth="1"/>
    <col min="1796" max="1796" width="35.85546875" style="272" customWidth="1"/>
    <col min="1797" max="1798" width="9.140625" style="272" customWidth="1"/>
    <col min="1799" max="2046" width="9.140625" style="272"/>
    <col min="2047" max="2047" width="4.42578125" style="272" customWidth="1"/>
    <col min="2048" max="2048" width="54.85546875" style="272" customWidth="1"/>
    <col min="2049" max="2050" width="19.42578125" style="272" customWidth="1"/>
    <col min="2051" max="2051" width="35.85546875" style="272" bestFit="1" customWidth="1"/>
    <col min="2052" max="2052" width="35.85546875" style="272" customWidth="1"/>
    <col min="2053" max="2054" width="9.140625" style="272" customWidth="1"/>
    <col min="2055" max="2302" width="9.140625" style="272"/>
    <col min="2303" max="2303" width="4.42578125" style="272" customWidth="1"/>
    <col min="2304" max="2304" width="54.85546875" style="272" customWidth="1"/>
    <col min="2305" max="2306" width="19.42578125" style="272" customWidth="1"/>
    <col min="2307" max="2307" width="35.85546875" style="272" bestFit="1" customWidth="1"/>
    <col min="2308" max="2308" width="35.85546875" style="272" customWidth="1"/>
    <col min="2309" max="2310" width="9.140625" style="272" customWidth="1"/>
    <col min="2311" max="2558" width="9.140625" style="272"/>
    <col min="2559" max="2559" width="4.42578125" style="272" customWidth="1"/>
    <col min="2560" max="2560" width="54.85546875" style="272" customWidth="1"/>
    <col min="2561" max="2562" width="19.42578125" style="272" customWidth="1"/>
    <col min="2563" max="2563" width="35.85546875" style="272" bestFit="1" customWidth="1"/>
    <col min="2564" max="2564" width="35.85546875" style="272" customWidth="1"/>
    <col min="2565" max="2566" width="9.140625" style="272" customWidth="1"/>
    <col min="2567" max="2814" width="9.140625" style="272"/>
    <col min="2815" max="2815" width="4.42578125" style="272" customWidth="1"/>
    <col min="2816" max="2816" width="54.85546875" style="272" customWidth="1"/>
    <col min="2817" max="2818" width="19.42578125" style="272" customWidth="1"/>
    <col min="2819" max="2819" width="35.85546875" style="272" bestFit="1" customWidth="1"/>
    <col min="2820" max="2820" width="35.85546875" style="272" customWidth="1"/>
    <col min="2821" max="2822" width="9.140625" style="272" customWidth="1"/>
    <col min="2823" max="3070" width="9.140625" style="272"/>
    <col min="3071" max="3071" width="4.42578125" style="272" customWidth="1"/>
    <col min="3072" max="3072" width="54.85546875" style="272" customWidth="1"/>
    <col min="3073" max="3074" width="19.42578125" style="272" customWidth="1"/>
    <col min="3075" max="3075" width="35.85546875" style="272" bestFit="1" customWidth="1"/>
    <col min="3076" max="3076" width="35.85546875" style="272" customWidth="1"/>
    <col min="3077" max="3078" width="9.140625" style="272" customWidth="1"/>
    <col min="3079" max="3326" width="9.140625" style="272"/>
    <col min="3327" max="3327" width="4.42578125" style="272" customWidth="1"/>
    <col min="3328" max="3328" width="54.85546875" style="272" customWidth="1"/>
    <col min="3329" max="3330" width="19.42578125" style="272" customWidth="1"/>
    <col min="3331" max="3331" width="35.85546875" style="272" bestFit="1" customWidth="1"/>
    <col min="3332" max="3332" width="35.85546875" style="272" customWidth="1"/>
    <col min="3333" max="3334" width="9.140625" style="272" customWidth="1"/>
    <col min="3335" max="3582" width="9.140625" style="272"/>
    <col min="3583" max="3583" width="4.42578125" style="272" customWidth="1"/>
    <col min="3584" max="3584" width="54.85546875" style="272" customWidth="1"/>
    <col min="3585" max="3586" width="19.42578125" style="272" customWidth="1"/>
    <col min="3587" max="3587" width="35.85546875" style="272" bestFit="1" customWidth="1"/>
    <col min="3588" max="3588" width="35.85546875" style="272" customWidth="1"/>
    <col min="3589" max="3590" width="9.140625" style="272" customWidth="1"/>
    <col min="3591" max="3838" width="9.140625" style="272"/>
    <col min="3839" max="3839" width="4.42578125" style="272" customWidth="1"/>
    <col min="3840" max="3840" width="54.85546875" style="272" customWidth="1"/>
    <col min="3841" max="3842" width="19.42578125" style="272" customWidth="1"/>
    <col min="3843" max="3843" width="35.85546875" style="272" bestFit="1" customWidth="1"/>
    <col min="3844" max="3844" width="35.85546875" style="272" customWidth="1"/>
    <col min="3845" max="3846" width="9.140625" style="272" customWidth="1"/>
    <col min="3847" max="4094" width="9.140625" style="272"/>
    <col min="4095" max="4095" width="4.42578125" style="272" customWidth="1"/>
    <col min="4096" max="4096" width="54.85546875" style="272" customWidth="1"/>
    <col min="4097" max="4098" width="19.42578125" style="272" customWidth="1"/>
    <col min="4099" max="4099" width="35.85546875" style="272" bestFit="1" customWidth="1"/>
    <col min="4100" max="4100" width="35.85546875" style="272" customWidth="1"/>
    <col min="4101" max="4102" width="9.140625" style="272" customWidth="1"/>
    <col min="4103" max="4350" width="9.140625" style="272"/>
    <col min="4351" max="4351" width="4.42578125" style="272" customWidth="1"/>
    <col min="4352" max="4352" width="54.85546875" style="272" customWidth="1"/>
    <col min="4353" max="4354" width="19.42578125" style="272" customWidth="1"/>
    <col min="4355" max="4355" width="35.85546875" style="272" bestFit="1" customWidth="1"/>
    <col min="4356" max="4356" width="35.85546875" style="272" customWidth="1"/>
    <col min="4357" max="4358" width="9.140625" style="272" customWidth="1"/>
    <col min="4359" max="4606" width="9.140625" style="272"/>
    <col min="4607" max="4607" width="4.42578125" style="272" customWidth="1"/>
    <col min="4608" max="4608" width="54.85546875" style="272" customWidth="1"/>
    <col min="4609" max="4610" width="19.42578125" style="272" customWidth="1"/>
    <col min="4611" max="4611" width="35.85546875" style="272" bestFit="1" customWidth="1"/>
    <col min="4612" max="4612" width="35.85546875" style="272" customWidth="1"/>
    <col min="4613" max="4614" width="9.140625" style="272" customWidth="1"/>
    <col min="4615" max="4862" width="9.140625" style="272"/>
    <col min="4863" max="4863" width="4.42578125" style="272" customWidth="1"/>
    <col min="4864" max="4864" width="54.85546875" style="272" customWidth="1"/>
    <col min="4865" max="4866" width="19.42578125" style="272" customWidth="1"/>
    <col min="4867" max="4867" width="35.85546875" style="272" bestFit="1" customWidth="1"/>
    <col min="4868" max="4868" width="35.85546875" style="272" customWidth="1"/>
    <col min="4869" max="4870" width="9.140625" style="272" customWidth="1"/>
    <col min="4871" max="5118" width="9.140625" style="272"/>
    <col min="5119" max="5119" width="4.42578125" style="272" customWidth="1"/>
    <col min="5120" max="5120" width="54.85546875" style="272" customWidth="1"/>
    <col min="5121" max="5122" width="19.42578125" style="272" customWidth="1"/>
    <col min="5123" max="5123" width="35.85546875" style="272" bestFit="1" customWidth="1"/>
    <col min="5124" max="5124" width="35.85546875" style="272" customWidth="1"/>
    <col min="5125" max="5126" width="9.140625" style="272" customWidth="1"/>
    <col min="5127" max="5374" width="9.140625" style="272"/>
    <col min="5375" max="5375" width="4.42578125" style="272" customWidth="1"/>
    <col min="5376" max="5376" width="54.85546875" style="272" customWidth="1"/>
    <col min="5377" max="5378" width="19.42578125" style="272" customWidth="1"/>
    <col min="5379" max="5379" width="35.85546875" style="272" bestFit="1" customWidth="1"/>
    <col min="5380" max="5380" width="35.85546875" style="272" customWidth="1"/>
    <col min="5381" max="5382" width="9.140625" style="272" customWidth="1"/>
    <col min="5383" max="5630" width="9.140625" style="272"/>
    <col min="5631" max="5631" width="4.42578125" style="272" customWidth="1"/>
    <col min="5632" max="5632" width="54.85546875" style="272" customWidth="1"/>
    <col min="5633" max="5634" width="19.42578125" style="272" customWidth="1"/>
    <col min="5635" max="5635" width="35.85546875" style="272" bestFit="1" customWidth="1"/>
    <col min="5636" max="5636" width="35.85546875" style="272" customWidth="1"/>
    <col min="5637" max="5638" width="9.140625" style="272" customWidth="1"/>
    <col min="5639" max="5886" width="9.140625" style="272"/>
    <col min="5887" max="5887" width="4.42578125" style="272" customWidth="1"/>
    <col min="5888" max="5888" width="54.85546875" style="272" customWidth="1"/>
    <col min="5889" max="5890" width="19.42578125" style="272" customWidth="1"/>
    <col min="5891" max="5891" width="35.85546875" style="272" bestFit="1" customWidth="1"/>
    <col min="5892" max="5892" width="35.85546875" style="272" customWidth="1"/>
    <col min="5893" max="5894" width="9.140625" style="272" customWidth="1"/>
    <col min="5895" max="6142" width="9.140625" style="272"/>
    <col min="6143" max="6143" width="4.42578125" style="272" customWidth="1"/>
    <col min="6144" max="6144" width="54.85546875" style="272" customWidth="1"/>
    <col min="6145" max="6146" width="19.42578125" style="272" customWidth="1"/>
    <col min="6147" max="6147" width="35.85546875" style="272" bestFit="1" customWidth="1"/>
    <col min="6148" max="6148" width="35.85546875" style="272" customWidth="1"/>
    <col min="6149" max="6150" width="9.140625" style="272" customWidth="1"/>
    <col min="6151" max="6398" width="9.140625" style="272"/>
    <col min="6399" max="6399" width="4.42578125" style="272" customWidth="1"/>
    <col min="6400" max="6400" width="54.85546875" style="272" customWidth="1"/>
    <col min="6401" max="6402" width="19.42578125" style="272" customWidth="1"/>
    <col min="6403" max="6403" width="35.85546875" style="272" bestFit="1" customWidth="1"/>
    <col min="6404" max="6404" width="35.85546875" style="272" customWidth="1"/>
    <col min="6405" max="6406" width="9.140625" style="272" customWidth="1"/>
    <col min="6407" max="6654" width="9.140625" style="272"/>
    <col min="6655" max="6655" width="4.42578125" style="272" customWidth="1"/>
    <col min="6656" max="6656" width="54.85546875" style="272" customWidth="1"/>
    <col min="6657" max="6658" width="19.42578125" style="272" customWidth="1"/>
    <col min="6659" max="6659" width="35.85546875" style="272" bestFit="1" customWidth="1"/>
    <col min="6660" max="6660" width="35.85546875" style="272" customWidth="1"/>
    <col min="6661" max="6662" width="9.140625" style="272" customWidth="1"/>
    <col min="6663" max="6910" width="9.140625" style="272"/>
    <col min="6911" max="6911" width="4.42578125" style="272" customWidth="1"/>
    <col min="6912" max="6912" width="54.85546875" style="272" customWidth="1"/>
    <col min="6913" max="6914" width="19.42578125" style="272" customWidth="1"/>
    <col min="6915" max="6915" width="35.85546875" style="272" bestFit="1" customWidth="1"/>
    <col min="6916" max="6916" width="35.85546875" style="272" customWidth="1"/>
    <col min="6917" max="6918" width="9.140625" style="272" customWidth="1"/>
    <col min="6919" max="7166" width="9.140625" style="272"/>
    <col min="7167" max="7167" width="4.42578125" style="272" customWidth="1"/>
    <col min="7168" max="7168" width="54.85546875" style="272" customWidth="1"/>
    <col min="7169" max="7170" width="19.42578125" style="272" customWidth="1"/>
    <col min="7171" max="7171" width="35.85546875" style="272" bestFit="1" customWidth="1"/>
    <col min="7172" max="7172" width="35.85546875" style="272" customWidth="1"/>
    <col min="7173" max="7174" width="9.140625" style="272" customWidth="1"/>
    <col min="7175" max="7422" width="9.140625" style="272"/>
    <col min="7423" max="7423" width="4.42578125" style="272" customWidth="1"/>
    <col min="7424" max="7424" width="54.85546875" style="272" customWidth="1"/>
    <col min="7425" max="7426" width="19.42578125" style="272" customWidth="1"/>
    <col min="7427" max="7427" width="35.85546875" style="272" bestFit="1" customWidth="1"/>
    <col min="7428" max="7428" width="35.85546875" style="272" customWidth="1"/>
    <col min="7429" max="7430" width="9.140625" style="272" customWidth="1"/>
    <col min="7431" max="7678" width="9.140625" style="272"/>
    <col min="7679" max="7679" width="4.42578125" style="272" customWidth="1"/>
    <col min="7680" max="7680" width="54.85546875" style="272" customWidth="1"/>
    <col min="7681" max="7682" width="19.42578125" style="272" customWidth="1"/>
    <col min="7683" max="7683" width="35.85546875" style="272" bestFit="1" customWidth="1"/>
    <col min="7684" max="7684" width="35.85546875" style="272" customWidth="1"/>
    <col min="7685" max="7686" width="9.140625" style="272" customWidth="1"/>
    <col min="7687" max="7934" width="9.140625" style="272"/>
    <col min="7935" max="7935" width="4.42578125" style="272" customWidth="1"/>
    <col min="7936" max="7936" width="54.85546875" style="272" customWidth="1"/>
    <col min="7937" max="7938" width="19.42578125" style="272" customWidth="1"/>
    <col min="7939" max="7939" width="35.85546875" style="272" bestFit="1" customWidth="1"/>
    <col min="7940" max="7940" width="35.85546875" style="272" customWidth="1"/>
    <col min="7941" max="7942" width="9.140625" style="272" customWidth="1"/>
    <col min="7943" max="8190" width="9.140625" style="272"/>
    <col min="8191" max="8191" width="4.42578125" style="272" customWidth="1"/>
    <col min="8192" max="8192" width="54.85546875" style="272" customWidth="1"/>
    <col min="8193" max="8194" width="19.42578125" style="272" customWidth="1"/>
    <col min="8195" max="8195" width="35.85546875" style="272" bestFit="1" customWidth="1"/>
    <col min="8196" max="8196" width="35.85546875" style="272" customWidth="1"/>
    <col min="8197" max="8198" width="9.140625" style="272" customWidth="1"/>
    <col min="8199" max="8446" width="9.140625" style="272"/>
    <col min="8447" max="8447" width="4.42578125" style="272" customWidth="1"/>
    <col min="8448" max="8448" width="54.85546875" style="272" customWidth="1"/>
    <col min="8449" max="8450" width="19.42578125" style="272" customWidth="1"/>
    <col min="8451" max="8451" width="35.85546875" style="272" bestFit="1" customWidth="1"/>
    <col min="8452" max="8452" width="35.85546875" style="272" customWidth="1"/>
    <col min="8453" max="8454" width="9.140625" style="272" customWidth="1"/>
    <col min="8455" max="8702" width="9.140625" style="272"/>
    <col min="8703" max="8703" width="4.42578125" style="272" customWidth="1"/>
    <col min="8704" max="8704" width="54.85546875" style="272" customWidth="1"/>
    <col min="8705" max="8706" width="19.42578125" style="272" customWidth="1"/>
    <col min="8707" max="8707" width="35.85546875" style="272" bestFit="1" customWidth="1"/>
    <col min="8708" max="8708" width="35.85546875" style="272" customWidth="1"/>
    <col min="8709" max="8710" width="9.140625" style="272" customWidth="1"/>
    <col min="8711" max="8958" width="9.140625" style="272"/>
    <col min="8959" max="8959" width="4.42578125" style="272" customWidth="1"/>
    <col min="8960" max="8960" width="54.85546875" style="272" customWidth="1"/>
    <col min="8961" max="8962" width="19.42578125" style="272" customWidth="1"/>
    <col min="8963" max="8963" width="35.85546875" style="272" bestFit="1" customWidth="1"/>
    <col min="8964" max="8964" width="35.85546875" style="272" customWidth="1"/>
    <col min="8965" max="8966" width="9.140625" style="272" customWidth="1"/>
    <col min="8967" max="9214" width="9.140625" style="272"/>
    <col min="9215" max="9215" width="4.42578125" style="272" customWidth="1"/>
    <col min="9216" max="9216" width="54.85546875" style="272" customWidth="1"/>
    <col min="9217" max="9218" width="19.42578125" style="272" customWidth="1"/>
    <col min="9219" max="9219" width="35.85546875" style="272" bestFit="1" customWidth="1"/>
    <col min="9220" max="9220" width="35.85546875" style="272" customWidth="1"/>
    <col min="9221" max="9222" width="9.140625" style="272" customWidth="1"/>
    <col min="9223" max="9470" width="9.140625" style="272"/>
    <col min="9471" max="9471" width="4.42578125" style="272" customWidth="1"/>
    <col min="9472" max="9472" width="54.85546875" style="272" customWidth="1"/>
    <col min="9473" max="9474" width="19.42578125" style="272" customWidth="1"/>
    <col min="9475" max="9475" width="35.85546875" style="272" bestFit="1" customWidth="1"/>
    <col min="9476" max="9476" width="35.85546875" style="272" customWidth="1"/>
    <col min="9477" max="9478" width="9.140625" style="272" customWidth="1"/>
    <col min="9479" max="9726" width="9.140625" style="272"/>
    <col min="9727" max="9727" width="4.42578125" style="272" customWidth="1"/>
    <col min="9728" max="9728" width="54.85546875" style="272" customWidth="1"/>
    <col min="9729" max="9730" width="19.42578125" style="272" customWidth="1"/>
    <col min="9731" max="9731" width="35.85546875" style="272" bestFit="1" customWidth="1"/>
    <col min="9732" max="9732" width="35.85546875" style="272" customWidth="1"/>
    <col min="9733" max="9734" width="9.140625" style="272" customWidth="1"/>
    <col min="9735" max="9982" width="9.140625" style="272"/>
    <col min="9983" max="9983" width="4.42578125" style="272" customWidth="1"/>
    <col min="9984" max="9984" width="54.85546875" style="272" customWidth="1"/>
    <col min="9985" max="9986" width="19.42578125" style="272" customWidth="1"/>
    <col min="9987" max="9987" width="35.85546875" style="272" bestFit="1" customWidth="1"/>
    <col min="9988" max="9988" width="35.85546875" style="272" customWidth="1"/>
    <col min="9989" max="9990" width="9.140625" style="272" customWidth="1"/>
    <col min="9991" max="10238" width="9.140625" style="272"/>
    <col min="10239" max="10239" width="4.42578125" style="272" customWidth="1"/>
    <col min="10240" max="10240" width="54.85546875" style="272" customWidth="1"/>
    <col min="10241" max="10242" width="19.42578125" style="272" customWidth="1"/>
    <col min="10243" max="10243" width="35.85546875" style="272" bestFit="1" customWidth="1"/>
    <col min="10244" max="10244" width="35.85546875" style="272" customWidth="1"/>
    <col min="10245" max="10246" width="9.140625" style="272" customWidth="1"/>
    <col min="10247" max="10494" width="9.140625" style="272"/>
    <col min="10495" max="10495" width="4.42578125" style="272" customWidth="1"/>
    <col min="10496" max="10496" width="54.85546875" style="272" customWidth="1"/>
    <col min="10497" max="10498" width="19.42578125" style="272" customWidth="1"/>
    <col min="10499" max="10499" width="35.85546875" style="272" bestFit="1" customWidth="1"/>
    <col min="10500" max="10500" width="35.85546875" style="272" customWidth="1"/>
    <col min="10501" max="10502" width="9.140625" style="272" customWidth="1"/>
    <col min="10503" max="10750" width="9.140625" style="272"/>
    <col min="10751" max="10751" width="4.42578125" style="272" customWidth="1"/>
    <col min="10752" max="10752" width="54.85546875" style="272" customWidth="1"/>
    <col min="10753" max="10754" width="19.42578125" style="272" customWidth="1"/>
    <col min="10755" max="10755" width="35.85546875" style="272" bestFit="1" customWidth="1"/>
    <col min="10756" max="10756" width="35.85546875" style="272" customWidth="1"/>
    <col min="10757" max="10758" width="9.140625" style="272" customWidth="1"/>
    <col min="10759" max="11006" width="9.140625" style="272"/>
    <col min="11007" max="11007" width="4.42578125" style="272" customWidth="1"/>
    <col min="11008" max="11008" width="54.85546875" style="272" customWidth="1"/>
    <col min="11009" max="11010" width="19.42578125" style="272" customWidth="1"/>
    <col min="11011" max="11011" width="35.85546875" style="272" bestFit="1" customWidth="1"/>
    <col min="11012" max="11012" width="35.85546875" style="272" customWidth="1"/>
    <col min="11013" max="11014" width="9.140625" style="272" customWidth="1"/>
    <col min="11015" max="11262" width="9.140625" style="272"/>
    <col min="11263" max="11263" width="4.42578125" style="272" customWidth="1"/>
    <col min="11264" max="11264" width="54.85546875" style="272" customWidth="1"/>
    <col min="11265" max="11266" width="19.42578125" style="272" customWidth="1"/>
    <col min="11267" max="11267" width="35.85546875" style="272" bestFit="1" customWidth="1"/>
    <col min="11268" max="11268" width="35.85546875" style="272" customWidth="1"/>
    <col min="11269" max="11270" width="9.140625" style="272" customWidth="1"/>
    <col min="11271" max="11518" width="9.140625" style="272"/>
    <col min="11519" max="11519" width="4.42578125" style="272" customWidth="1"/>
    <col min="11520" max="11520" width="54.85546875" style="272" customWidth="1"/>
    <col min="11521" max="11522" width="19.42578125" style="272" customWidth="1"/>
    <col min="11523" max="11523" width="35.85546875" style="272" bestFit="1" customWidth="1"/>
    <col min="11524" max="11524" width="35.85546875" style="272" customWidth="1"/>
    <col min="11525" max="11526" width="9.140625" style="272" customWidth="1"/>
    <col min="11527" max="11774" width="9.140625" style="272"/>
    <col min="11775" max="11775" width="4.42578125" style="272" customWidth="1"/>
    <col min="11776" max="11776" width="54.85546875" style="272" customWidth="1"/>
    <col min="11777" max="11778" width="19.42578125" style="272" customWidth="1"/>
    <col min="11779" max="11779" width="35.85546875" style="272" bestFit="1" customWidth="1"/>
    <col min="11780" max="11780" width="35.85546875" style="272" customWidth="1"/>
    <col min="11781" max="11782" width="9.140625" style="272" customWidth="1"/>
    <col min="11783" max="12030" width="9.140625" style="272"/>
    <col min="12031" max="12031" width="4.42578125" style="272" customWidth="1"/>
    <col min="12032" max="12032" width="54.85546875" style="272" customWidth="1"/>
    <col min="12033" max="12034" width="19.42578125" style="272" customWidth="1"/>
    <col min="12035" max="12035" width="35.85546875" style="272" bestFit="1" customWidth="1"/>
    <col min="12036" max="12036" width="35.85546875" style="272" customWidth="1"/>
    <col min="12037" max="12038" width="9.140625" style="272" customWidth="1"/>
    <col min="12039" max="12286" width="9.140625" style="272"/>
    <col min="12287" max="12287" width="4.42578125" style="272" customWidth="1"/>
    <col min="12288" max="12288" width="54.85546875" style="272" customWidth="1"/>
    <col min="12289" max="12290" width="19.42578125" style="272" customWidth="1"/>
    <col min="12291" max="12291" width="35.85546875" style="272" bestFit="1" customWidth="1"/>
    <col min="12292" max="12292" width="35.85546875" style="272" customWidth="1"/>
    <col min="12293" max="12294" width="9.140625" style="272" customWidth="1"/>
    <col min="12295" max="12542" width="9.140625" style="272"/>
    <col min="12543" max="12543" width="4.42578125" style="272" customWidth="1"/>
    <col min="12544" max="12544" width="54.85546875" style="272" customWidth="1"/>
    <col min="12545" max="12546" width="19.42578125" style="272" customWidth="1"/>
    <col min="12547" max="12547" width="35.85546875" style="272" bestFit="1" customWidth="1"/>
    <col min="12548" max="12548" width="35.85546875" style="272" customWidth="1"/>
    <col min="12549" max="12550" width="9.140625" style="272" customWidth="1"/>
    <col min="12551" max="12798" width="9.140625" style="272"/>
    <col min="12799" max="12799" width="4.42578125" style="272" customWidth="1"/>
    <col min="12800" max="12800" width="54.85546875" style="272" customWidth="1"/>
    <col min="12801" max="12802" width="19.42578125" style="272" customWidth="1"/>
    <col min="12803" max="12803" width="35.85546875" style="272" bestFit="1" customWidth="1"/>
    <col min="12804" max="12804" width="35.85546875" style="272" customWidth="1"/>
    <col min="12805" max="12806" width="9.140625" style="272" customWidth="1"/>
    <col min="12807" max="13054" width="9.140625" style="272"/>
    <col min="13055" max="13055" width="4.42578125" style="272" customWidth="1"/>
    <col min="13056" max="13056" width="54.85546875" style="272" customWidth="1"/>
    <col min="13057" max="13058" width="19.42578125" style="272" customWidth="1"/>
    <col min="13059" max="13059" width="35.85546875" style="272" bestFit="1" customWidth="1"/>
    <col min="13060" max="13060" width="35.85546875" style="272" customWidth="1"/>
    <col min="13061" max="13062" width="9.140625" style="272" customWidth="1"/>
    <col min="13063" max="13310" width="9.140625" style="272"/>
    <col min="13311" max="13311" width="4.42578125" style="272" customWidth="1"/>
    <col min="13312" max="13312" width="54.85546875" style="272" customWidth="1"/>
    <col min="13313" max="13314" width="19.42578125" style="272" customWidth="1"/>
    <col min="13315" max="13315" width="35.85546875" style="272" bestFit="1" customWidth="1"/>
    <col min="13316" max="13316" width="35.85546875" style="272" customWidth="1"/>
    <col min="13317" max="13318" width="9.140625" style="272" customWidth="1"/>
    <col min="13319" max="13566" width="9.140625" style="272"/>
    <col min="13567" max="13567" width="4.42578125" style="272" customWidth="1"/>
    <col min="13568" max="13568" width="54.85546875" style="272" customWidth="1"/>
    <col min="13569" max="13570" width="19.42578125" style="272" customWidth="1"/>
    <col min="13571" max="13571" width="35.85546875" style="272" bestFit="1" customWidth="1"/>
    <col min="13572" max="13572" width="35.85546875" style="272" customWidth="1"/>
    <col min="13573" max="13574" width="9.140625" style="272" customWidth="1"/>
    <col min="13575" max="13822" width="9.140625" style="272"/>
    <col min="13823" max="13823" width="4.42578125" style="272" customWidth="1"/>
    <col min="13824" max="13824" width="54.85546875" style="272" customWidth="1"/>
    <col min="13825" max="13826" width="19.42578125" style="272" customWidth="1"/>
    <col min="13827" max="13827" width="35.85546875" style="272" bestFit="1" customWidth="1"/>
    <col min="13828" max="13828" width="35.85546875" style="272" customWidth="1"/>
    <col min="13829" max="13830" width="9.140625" style="272" customWidth="1"/>
    <col min="13831" max="14078" width="9.140625" style="272"/>
    <col min="14079" max="14079" width="4.42578125" style="272" customWidth="1"/>
    <col min="14080" max="14080" width="54.85546875" style="272" customWidth="1"/>
    <col min="14081" max="14082" width="19.42578125" style="272" customWidth="1"/>
    <col min="14083" max="14083" width="35.85546875" style="272" bestFit="1" customWidth="1"/>
    <col min="14084" max="14084" width="35.85546875" style="272" customWidth="1"/>
    <col min="14085" max="14086" width="9.140625" style="272" customWidth="1"/>
    <col min="14087" max="14334" width="9.140625" style="272"/>
    <col min="14335" max="14335" width="4.42578125" style="272" customWidth="1"/>
    <col min="14336" max="14336" width="54.85546875" style="272" customWidth="1"/>
    <col min="14337" max="14338" width="19.42578125" style="272" customWidth="1"/>
    <col min="14339" max="14339" width="35.85546875" style="272" bestFit="1" customWidth="1"/>
    <col min="14340" max="14340" width="35.85546875" style="272" customWidth="1"/>
    <col min="14341" max="14342" width="9.140625" style="272" customWidth="1"/>
    <col min="14343" max="14590" width="9.140625" style="272"/>
    <col min="14591" max="14591" width="4.42578125" style="272" customWidth="1"/>
    <col min="14592" max="14592" width="54.85546875" style="272" customWidth="1"/>
    <col min="14593" max="14594" width="19.42578125" style="272" customWidth="1"/>
    <col min="14595" max="14595" width="35.85546875" style="272" bestFit="1" customWidth="1"/>
    <col min="14596" max="14596" width="35.85546875" style="272" customWidth="1"/>
    <col min="14597" max="14598" width="9.140625" style="272" customWidth="1"/>
    <col min="14599" max="14846" width="9.140625" style="272"/>
    <col min="14847" max="14847" width="4.42578125" style="272" customWidth="1"/>
    <col min="14848" max="14848" width="54.85546875" style="272" customWidth="1"/>
    <col min="14849" max="14850" width="19.42578125" style="272" customWidth="1"/>
    <col min="14851" max="14851" width="35.85546875" style="272" bestFit="1" customWidth="1"/>
    <col min="14852" max="14852" width="35.85546875" style="272" customWidth="1"/>
    <col min="14853" max="14854" width="9.140625" style="272" customWidth="1"/>
    <col min="14855" max="15102" width="9.140625" style="272"/>
    <col min="15103" max="15103" width="4.42578125" style="272" customWidth="1"/>
    <col min="15104" max="15104" width="54.85546875" style="272" customWidth="1"/>
    <col min="15105" max="15106" width="19.42578125" style="272" customWidth="1"/>
    <col min="15107" max="15107" width="35.85546875" style="272" bestFit="1" customWidth="1"/>
    <col min="15108" max="15108" width="35.85546875" style="272" customWidth="1"/>
    <col min="15109" max="15110" width="9.140625" style="272" customWidth="1"/>
    <col min="15111" max="15358" width="9.140625" style="272"/>
    <col min="15359" max="15359" width="4.42578125" style="272" customWidth="1"/>
    <col min="15360" max="15360" width="54.85546875" style="272" customWidth="1"/>
    <col min="15361" max="15362" width="19.42578125" style="272" customWidth="1"/>
    <col min="15363" max="15363" width="35.85546875" style="272" bestFit="1" customWidth="1"/>
    <col min="15364" max="15364" width="35.85546875" style="272" customWidth="1"/>
    <col min="15365" max="15366" width="9.140625" style="272" customWidth="1"/>
    <col min="15367" max="15614" width="9.140625" style="272"/>
    <col min="15615" max="15615" width="4.42578125" style="272" customWidth="1"/>
    <col min="15616" max="15616" width="54.85546875" style="272" customWidth="1"/>
    <col min="15617" max="15618" width="19.42578125" style="272" customWidth="1"/>
    <col min="15619" max="15619" width="35.85546875" style="272" bestFit="1" customWidth="1"/>
    <col min="15620" max="15620" width="35.85546875" style="272" customWidth="1"/>
    <col min="15621" max="15622" width="9.140625" style="272" customWidth="1"/>
    <col min="15623" max="15870" width="9.140625" style="272"/>
    <col min="15871" max="15871" width="4.42578125" style="272" customWidth="1"/>
    <col min="15872" max="15872" width="54.85546875" style="272" customWidth="1"/>
    <col min="15873" max="15874" width="19.42578125" style="272" customWidth="1"/>
    <col min="15875" max="15875" width="35.85546875" style="272" bestFit="1" customWidth="1"/>
    <col min="15876" max="15876" width="35.85546875" style="272" customWidth="1"/>
    <col min="15877" max="15878" width="9.140625" style="272" customWidth="1"/>
    <col min="15879" max="16126" width="9.140625" style="272"/>
    <col min="16127" max="16127" width="4.42578125" style="272" customWidth="1"/>
    <col min="16128" max="16128" width="54.85546875" style="272" customWidth="1"/>
    <col min="16129" max="16130" width="19.42578125" style="272" customWidth="1"/>
    <col min="16131" max="16131" width="35.85546875" style="272" bestFit="1" customWidth="1"/>
    <col min="16132" max="16132" width="35.85546875" style="272" customWidth="1"/>
    <col min="16133" max="16134" width="9.140625" style="272" customWidth="1"/>
    <col min="16135" max="16384" width="9.140625" style="272"/>
  </cols>
  <sheetData>
    <row r="1" spans="1:6" ht="21.75" customHeight="1" x14ac:dyDescent="0.3">
      <c r="A1" s="554" t="s">
        <v>1072</v>
      </c>
      <c r="B1" s="554"/>
      <c r="C1" s="554"/>
      <c r="D1" s="554"/>
    </row>
    <row r="3" spans="1:6" s="275" customFormat="1" ht="21.75" customHeight="1" x14ac:dyDescent="0.25">
      <c r="A3" s="273" t="s">
        <v>62</v>
      </c>
      <c r="B3" s="273" t="s">
        <v>134</v>
      </c>
      <c r="C3" s="273" t="s">
        <v>1036</v>
      </c>
      <c r="D3" s="273" t="s">
        <v>1040</v>
      </c>
      <c r="E3" s="274"/>
      <c r="F3" s="274"/>
    </row>
    <row r="4" spans="1:6" s="281" customFormat="1" ht="21.75" customHeight="1" x14ac:dyDescent="0.25">
      <c r="A4" s="283">
        <v>1</v>
      </c>
      <c r="B4" s="283" t="s">
        <v>1024</v>
      </c>
      <c r="C4" s="284">
        <v>43347</v>
      </c>
      <c r="D4" s="283">
        <v>1</v>
      </c>
      <c r="E4" s="280"/>
      <c r="F4" s="280"/>
    </row>
    <row r="5" spans="1:6" s="281" customFormat="1" ht="21.75" customHeight="1" x14ac:dyDescent="0.25">
      <c r="A5" s="285">
        <v>2</v>
      </c>
      <c r="B5" s="285" t="s">
        <v>1025</v>
      </c>
      <c r="C5" s="286">
        <v>43347</v>
      </c>
      <c r="D5" s="285">
        <v>2</v>
      </c>
      <c r="E5" s="280"/>
      <c r="F5" s="280"/>
    </row>
    <row r="6" spans="1:6" s="281" customFormat="1" ht="21.75" customHeight="1" x14ac:dyDescent="0.25">
      <c r="A6" s="285">
        <v>3</v>
      </c>
      <c r="B6" s="285" t="s">
        <v>1026</v>
      </c>
      <c r="C6" s="286">
        <v>43347</v>
      </c>
      <c r="D6" s="285">
        <v>3</v>
      </c>
      <c r="E6" s="280"/>
      <c r="F6" s="280"/>
    </row>
    <row r="7" spans="1:6" ht="21.75" customHeight="1" x14ac:dyDescent="0.3">
      <c r="A7" s="285">
        <v>4</v>
      </c>
      <c r="B7" s="287" t="s">
        <v>467</v>
      </c>
      <c r="C7" s="282">
        <v>43348</v>
      </c>
      <c r="D7" s="285">
        <v>4</v>
      </c>
    </row>
    <row r="8" spans="1:6" s="281" customFormat="1" ht="21.75" customHeight="1" x14ac:dyDescent="0.3">
      <c r="A8" s="285">
        <v>5</v>
      </c>
      <c r="B8" s="285" t="s">
        <v>476</v>
      </c>
      <c r="C8" s="282">
        <v>43348</v>
      </c>
      <c r="D8" s="285">
        <v>5</v>
      </c>
      <c r="E8" s="280"/>
      <c r="F8" s="280"/>
    </row>
    <row r="9" spans="1:6" ht="21.75" customHeight="1" x14ac:dyDescent="0.3">
      <c r="A9" s="285">
        <v>6</v>
      </c>
      <c r="B9" s="287" t="s">
        <v>1001</v>
      </c>
      <c r="C9" s="282">
        <v>43355</v>
      </c>
      <c r="D9" s="285">
        <v>6</v>
      </c>
    </row>
    <row r="10" spans="1:6" ht="21.75" customHeight="1" x14ac:dyDescent="0.3">
      <c r="A10" s="285">
        <v>7</v>
      </c>
      <c r="B10" s="287" t="s">
        <v>1009</v>
      </c>
      <c r="C10" s="282">
        <v>43353</v>
      </c>
      <c r="D10" s="285">
        <v>7</v>
      </c>
    </row>
    <row r="11" spans="1:6" s="281" customFormat="1" ht="21.75" customHeight="1" x14ac:dyDescent="0.25">
      <c r="A11" s="285">
        <v>8</v>
      </c>
      <c r="B11" s="285" t="s">
        <v>1030</v>
      </c>
      <c r="C11" s="286">
        <v>43350</v>
      </c>
      <c r="D11" s="285">
        <v>8</v>
      </c>
      <c r="E11" s="280"/>
      <c r="F11" s="280"/>
    </row>
    <row r="12" spans="1:6" s="281" customFormat="1" ht="21.75" customHeight="1" x14ac:dyDescent="0.25">
      <c r="A12" s="285">
        <v>9</v>
      </c>
      <c r="B12" s="285" t="s">
        <v>1028</v>
      </c>
      <c r="C12" s="286">
        <v>43349</v>
      </c>
      <c r="D12" s="285">
        <v>9</v>
      </c>
      <c r="E12" s="280"/>
      <c r="F12" s="280"/>
    </row>
    <row r="13" spans="1:6" ht="21.75" customHeight="1" x14ac:dyDescent="0.3">
      <c r="A13" s="285">
        <v>10</v>
      </c>
      <c r="B13" s="287" t="s">
        <v>1031</v>
      </c>
      <c r="C13" s="286">
        <v>43350</v>
      </c>
      <c r="D13" s="285">
        <v>10</v>
      </c>
    </row>
    <row r="14" spans="1:6" s="281" customFormat="1" ht="21.75" customHeight="1" x14ac:dyDescent="0.25">
      <c r="A14" s="285">
        <v>11</v>
      </c>
      <c r="B14" s="285" t="s">
        <v>145</v>
      </c>
      <c r="C14" s="286">
        <v>43350</v>
      </c>
      <c r="D14" s="285">
        <v>11</v>
      </c>
      <c r="E14" s="280"/>
      <c r="F14" s="280"/>
    </row>
    <row r="15" spans="1:6" s="281" customFormat="1" ht="21.75" customHeight="1" x14ac:dyDescent="0.25">
      <c r="A15" s="285">
        <v>12</v>
      </c>
      <c r="B15" s="285" t="s">
        <v>1008</v>
      </c>
      <c r="C15" s="286">
        <v>43350</v>
      </c>
      <c r="D15" s="285">
        <v>12</v>
      </c>
      <c r="E15" s="280"/>
      <c r="F15" s="280"/>
    </row>
    <row r="16" spans="1:6" ht="21.75" customHeight="1" x14ac:dyDescent="0.3">
      <c r="A16" s="285">
        <v>13</v>
      </c>
      <c r="B16" s="287" t="s">
        <v>985</v>
      </c>
      <c r="C16" s="282">
        <v>43355</v>
      </c>
      <c r="D16" s="285">
        <v>13</v>
      </c>
    </row>
    <row r="17" spans="1:6" ht="21.75" customHeight="1" x14ac:dyDescent="0.3">
      <c r="A17" s="285">
        <v>14</v>
      </c>
      <c r="B17" s="287" t="s">
        <v>1006</v>
      </c>
      <c r="C17" s="282">
        <v>43357</v>
      </c>
      <c r="D17" s="285">
        <v>14</v>
      </c>
    </row>
    <row r="18" spans="1:6" ht="21.75" customHeight="1" x14ac:dyDescent="0.3">
      <c r="A18" s="285">
        <v>15</v>
      </c>
      <c r="B18" s="287" t="s">
        <v>982</v>
      </c>
      <c r="C18" s="282">
        <v>43357</v>
      </c>
      <c r="D18" s="285">
        <v>15</v>
      </c>
    </row>
    <row r="19" spans="1:6" ht="21.75" customHeight="1" x14ac:dyDescent="0.3">
      <c r="A19" s="285">
        <v>16</v>
      </c>
      <c r="B19" s="287" t="s">
        <v>1033</v>
      </c>
      <c r="C19" s="282">
        <v>43353</v>
      </c>
      <c r="D19" s="285">
        <v>16</v>
      </c>
    </row>
    <row r="20" spans="1:6" s="281" customFormat="1" ht="21.75" customHeight="1" x14ac:dyDescent="0.3">
      <c r="A20" s="285">
        <v>17</v>
      </c>
      <c r="B20" s="285" t="s">
        <v>1027</v>
      </c>
      <c r="C20" s="282">
        <v>43348</v>
      </c>
      <c r="D20" s="285">
        <v>17</v>
      </c>
      <c r="E20" s="280"/>
      <c r="F20" s="280"/>
    </row>
    <row r="21" spans="1:6" ht="21.75" customHeight="1" x14ac:dyDescent="0.3">
      <c r="A21" s="285">
        <v>18</v>
      </c>
      <c r="B21" s="287" t="s">
        <v>1034</v>
      </c>
      <c r="C21" s="282">
        <v>43353</v>
      </c>
      <c r="D21" s="285">
        <v>18</v>
      </c>
    </row>
    <row r="22" spans="1:6" s="281" customFormat="1" ht="21.75" customHeight="1" x14ac:dyDescent="0.3">
      <c r="A22" s="285">
        <v>19</v>
      </c>
      <c r="B22" s="285" t="s">
        <v>496</v>
      </c>
      <c r="C22" s="282">
        <v>43348</v>
      </c>
      <c r="D22" s="285">
        <v>19</v>
      </c>
      <c r="E22" s="280"/>
      <c r="F22" s="280"/>
    </row>
    <row r="23" spans="1:6" s="277" customFormat="1" ht="21.75" customHeight="1" x14ac:dyDescent="0.3">
      <c r="A23" s="285">
        <v>20</v>
      </c>
      <c r="B23" s="287" t="s">
        <v>998</v>
      </c>
      <c r="C23" s="282">
        <v>43360</v>
      </c>
      <c r="D23" s="285">
        <v>20</v>
      </c>
      <c r="E23" s="276"/>
      <c r="F23" s="276"/>
    </row>
    <row r="24" spans="1:6" ht="21.75" customHeight="1" x14ac:dyDescent="0.3">
      <c r="A24" s="285">
        <v>21</v>
      </c>
      <c r="B24" s="287" t="s">
        <v>994</v>
      </c>
      <c r="C24" s="282">
        <v>43354</v>
      </c>
      <c r="D24" s="285">
        <v>21</v>
      </c>
    </row>
    <row r="25" spans="1:6" ht="21.75" customHeight="1" x14ac:dyDescent="0.3">
      <c r="A25" s="285">
        <v>22</v>
      </c>
      <c r="B25" s="287" t="s">
        <v>983</v>
      </c>
      <c r="C25" s="282">
        <v>43355</v>
      </c>
      <c r="D25" s="285">
        <v>22</v>
      </c>
    </row>
    <row r="26" spans="1:6" ht="21.75" customHeight="1" x14ac:dyDescent="0.3">
      <c r="A26" s="285">
        <v>23</v>
      </c>
      <c r="B26" s="287" t="s">
        <v>990</v>
      </c>
      <c r="C26" s="282">
        <v>43356</v>
      </c>
      <c r="D26" s="285">
        <v>23</v>
      </c>
    </row>
    <row r="27" spans="1:6" ht="21.75" customHeight="1" x14ac:dyDescent="0.3">
      <c r="A27" s="285">
        <v>24</v>
      </c>
      <c r="B27" s="287" t="s">
        <v>1032</v>
      </c>
      <c r="C27" s="282">
        <v>43353</v>
      </c>
      <c r="D27" s="285">
        <v>24</v>
      </c>
    </row>
    <row r="28" spans="1:6" ht="21.75" customHeight="1" x14ac:dyDescent="0.3">
      <c r="A28" s="285">
        <v>25</v>
      </c>
      <c r="B28" s="287" t="s">
        <v>989</v>
      </c>
      <c r="C28" s="282">
        <v>43356</v>
      </c>
      <c r="D28" s="285">
        <v>25</v>
      </c>
    </row>
    <row r="29" spans="1:6" ht="21.75" customHeight="1" x14ac:dyDescent="0.3">
      <c r="A29" s="285">
        <v>26</v>
      </c>
      <c r="B29" s="287" t="s">
        <v>992</v>
      </c>
      <c r="C29" s="282">
        <v>43356</v>
      </c>
      <c r="D29" s="285">
        <v>26</v>
      </c>
    </row>
    <row r="30" spans="1:6" s="281" customFormat="1" ht="21.75" customHeight="1" x14ac:dyDescent="0.25">
      <c r="A30" s="285">
        <v>27</v>
      </c>
      <c r="B30" s="285" t="s">
        <v>996</v>
      </c>
      <c r="C30" s="286">
        <v>43349</v>
      </c>
      <c r="D30" s="285">
        <v>27</v>
      </c>
      <c r="E30" s="280"/>
      <c r="F30" s="280"/>
    </row>
    <row r="31" spans="1:6" ht="21.75" customHeight="1" x14ac:dyDescent="0.3">
      <c r="A31" s="285">
        <v>28</v>
      </c>
      <c r="B31" s="287" t="s">
        <v>991</v>
      </c>
      <c r="C31" s="282">
        <v>43356</v>
      </c>
      <c r="D31" s="285">
        <v>28</v>
      </c>
    </row>
    <row r="32" spans="1:6" ht="21.75" customHeight="1" x14ac:dyDescent="0.3">
      <c r="A32" s="285">
        <v>29</v>
      </c>
      <c r="B32" s="287" t="s">
        <v>988</v>
      </c>
      <c r="C32" s="282">
        <v>43357</v>
      </c>
      <c r="D32" s="285">
        <v>29</v>
      </c>
    </row>
    <row r="33" spans="1:12" ht="21.75" customHeight="1" x14ac:dyDescent="0.3">
      <c r="A33" s="285">
        <v>30</v>
      </c>
      <c r="B33" s="287" t="s">
        <v>995</v>
      </c>
      <c r="C33" s="282">
        <v>43357</v>
      </c>
      <c r="D33" s="285">
        <v>30</v>
      </c>
    </row>
    <row r="34" spans="1:12" s="277" customFormat="1" ht="21.75" customHeight="1" x14ac:dyDescent="0.3">
      <c r="A34" s="285">
        <v>31</v>
      </c>
      <c r="B34" s="287" t="s">
        <v>987</v>
      </c>
      <c r="C34" s="282">
        <v>43362</v>
      </c>
      <c r="D34" s="285">
        <v>31</v>
      </c>
      <c r="E34" s="276"/>
      <c r="F34" s="276"/>
    </row>
    <row r="35" spans="1:12" s="277" customFormat="1" ht="21.75" customHeight="1" x14ac:dyDescent="0.3">
      <c r="A35" s="285">
        <v>32</v>
      </c>
      <c r="B35" s="287" t="s">
        <v>984</v>
      </c>
      <c r="C35" s="282">
        <v>43360</v>
      </c>
      <c r="D35" s="285">
        <v>32</v>
      </c>
      <c r="E35" s="276"/>
      <c r="F35" s="276"/>
    </row>
    <row r="36" spans="1:12" ht="21.75" customHeight="1" x14ac:dyDescent="0.3">
      <c r="A36" s="285">
        <v>33</v>
      </c>
      <c r="B36" s="287" t="s">
        <v>993</v>
      </c>
      <c r="C36" s="282">
        <v>43360</v>
      </c>
      <c r="D36" s="285">
        <v>33</v>
      </c>
    </row>
    <row r="37" spans="1:12" ht="21.75" customHeight="1" x14ac:dyDescent="0.3">
      <c r="A37" s="285">
        <v>34</v>
      </c>
      <c r="B37" s="287" t="s">
        <v>1035</v>
      </c>
      <c r="C37" s="282">
        <v>43354</v>
      </c>
      <c r="D37" s="285">
        <v>34</v>
      </c>
    </row>
    <row r="38" spans="1:12" ht="21.75" customHeight="1" x14ac:dyDescent="0.3">
      <c r="A38" s="285">
        <v>35</v>
      </c>
      <c r="B38" s="287" t="s">
        <v>997</v>
      </c>
      <c r="C38" s="282">
        <v>43364</v>
      </c>
      <c r="D38" s="285">
        <v>35</v>
      </c>
    </row>
    <row r="39" spans="1:12" ht="21.75" customHeight="1" x14ac:dyDescent="0.3">
      <c r="A39" s="285">
        <v>36</v>
      </c>
      <c r="B39" s="287" t="s">
        <v>999</v>
      </c>
      <c r="C39" s="282">
        <v>43361</v>
      </c>
      <c r="D39" s="285">
        <v>36</v>
      </c>
    </row>
    <row r="40" spans="1:12" ht="21.75" customHeight="1" x14ac:dyDescent="0.3">
      <c r="A40" s="285">
        <v>37</v>
      </c>
      <c r="B40" s="287" t="s">
        <v>1000</v>
      </c>
      <c r="C40" s="282">
        <v>43362</v>
      </c>
      <c r="D40" s="285">
        <v>37</v>
      </c>
      <c r="L40" s="272" t="s">
        <v>1041</v>
      </c>
    </row>
    <row r="41" spans="1:12" s="281" customFormat="1" ht="21.75" customHeight="1" x14ac:dyDescent="0.25">
      <c r="A41" s="285">
        <v>38</v>
      </c>
      <c r="B41" s="285" t="s">
        <v>1029</v>
      </c>
      <c r="C41" s="286">
        <v>43349</v>
      </c>
      <c r="D41" s="285">
        <v>38</v>
      </c>
      <c r="E41" s="280"/>
      <c r="F41" s="280"/>
    </row>
    <row r="42" spans="1:12" ht="21.75" customHeight="1" x14ac:dyDescent="0.3">
      <c r="A42" s="288"/>
      <c r="B42" s="289"/>
      <c r="C42" s="288"/>
      <c r="D42" s="288"/>
    </row>
    <row r="43" spans="1:12" ht="21.75" customHeight="1" x14ac:dyDescent="0.3">
      <c r="B43" s="278"/>
    </row>
    <row r="44" spans="1:12" ht="21.75" customHeight="1" x14ac:dyDescent="0.3">
      <c r="B44" s="278"/>
    </row>
    <row r="45" spans="1:12" ht="21.75" customHeight="1" x14ac:dyDescent="0.3">
      <c r="B45" s="278"/>
    </row>
    <row r="46" spans="1:12" ht="21.75" customHeight="1" x14ac:dyDescent="0.3">
      <c r="B46" s="278"/>
    </row>
    <row r="47" spans="1:12" ht="21.75" customHeight="1" x14ac:dyDescent="0.3">
      <c r="B47" s="278"/>
    </row>
    <row r="48" spans="1:12" ht="21.75" customHeight="1" x14ac:dyDescent="0.3">
      <c r="B48" s="278"/>
    </row>
    <row r="49" spans="1:6" ht="21.75" customHeight="1" x14ac:dyDescent="0.3">
      <c r="A49" s="272"/>
      <c r="B49" s="278"/>
      <c r="C49" s="272"/>
      <c r="D49" s="272"/>
      <c r="E49" s="272"/>
      <c r="F49" s="272"/>
    </row>
    <row r="50" spans="1:6" ht="21.75" customHeight="1" x14ac:dyDescent="0.3">
      <c r="A50" s="272"/>
      <c r="B50" s="278"/>
      <c r="C50" s="272"/>
      <c r="D50" s="272"/>
      <c r="E50" s="272"/>
      <c r="F50" s="272"/>
    </row>
    <row r="51" spans="1:6" ht="21.75" customHeight="1" x14ac:dyDescent="0.3">
      <c r="A51" s="272"/>
      <c r="B51" s="278"/>
      <c r="C51" s="272"/>
      <c r="D51" s="272"/>
      <c r="E51" s="272"/>
      <c r="F51" s="272"/>
    </row>
    <row r="52" spans="1:6" ht="21.75" customHeight="1" x14ac:dyDescent="0.3">
      <c r="A52" s="272"/>
      <c r="B52" s="278"/>
      <c r="C52" s="272"/>
      <c r="D52" s="272"/>
      <c r="E52" s="272"/>
      <c r="F52" s="272"/>
    </row>
    <row r="53" spans="1:6" ht="21.75" customHeight="1" x14ac:dyDescent="0.3">
      <c r="A53" s="272"/>
      <c r="B53" s="278"/>
      <c r="C53" s="272"/>
      <c r="D53" s="272"/>
      <c r="E53" s="272"/>
      <c r="F53" s="272"/>
    </row>
    <row r="54" spans="1:6" ht="21.75" customHeight="1" x14ac:dyDescent="0.3">
      <c r="A54" s="272"/>
      <c r="B54" s="278"/>
      <c r="C54" s="272"/>
      <c r="D54" s="272"/>
      <c r="E54" s="272"/>
      <c r="F54" s="272"/>
    </row>
    <row r="55" spans="1:6" ht="21.75" customHeight="1" x14ac:dyDescent="0.3">
      <c r="A55" s="272"/>
      <c r="B55" s="278"/>
      <c r="C55" s="272"/>
      <c r="D55" s="272"/>
      <c r="E55" s="272"/>
      <c r="F55" s="272"/>
    </row>
    <row r="56" spans="1:6" ht="21.75" customHeight="1" x14ac:dyDescent="0.3">
      <c r="A56" s="272"/>
      <c r="B56" s="278"/>
      <c r="C56" s="272"/>
      <c r="D56" s="272"/>
      <c r="E56" s="272"/>
      <c r="F56" s="272"/>
    </row>
    <row r="57" spans="1:6" ht="21.75" customHeight="1" x14ac:dyDescent="0.3">
      <c r="A57" s="272"/>
      <c r="B57" s="278"/>
      <c r="C57" s="272"/>
      <c r="D57" s="272"/>
      <c r="E57" s="272"/>
      <c r="F57" s="272"/>
    </row>
    <row r="58" spans="1:6" ht="21.75" customHeight="1" x14ac:dyDescent="0.3">
      <c r="A58" s="272"/>
      <c r="B58" s="278"/>
      <c r="C58" s="272"/>
      <c r="D58" s="272"/>
      <c r="E58" s="272"/>
      <c r="F58" s="272"/>
    </row>
    <row r="59" spans="1:6" ht="21.75" customHeight="1" x14ac:dyDescent="0.3">
      <c r="A59" s="272"/>
      <c r="B59" s="278"/>
      <c r="C59" s="272"/>
      <c r="D59" s="272"/>
      <c r="E59" s="272"/>
      <c r="F59" s="272"/>
    </row>
    <row r="60" spans="1:6" ht="21.75" customHeight="1" x14ac:dyDescent="0.3">
      <c r="A60" s="272"/>
      <c r="B60" s="278"/>
      <c r="C60" s="272"/>
      <c r="D60" s="272"/>
      <c r="E60" s="272"/>
      <c r="F60" s="272"/>
    </row>
    <row r="61" spans="1:6" ht="21.75" customHeight="1" x14ac:dyDescent="0.3">
      <c r="A61" s="272"/>
      <c r="B61" s="278"/>
      <c r="C61" s="272"/>
      <c r="D61" s="272"/>
      <c r="E61" s="272"/>
      <c r="F61" s="272"/>
    </row>
    <row r="62" spans="1:6" ht="21.75" customHeight="1" x14ac:dyDescent="0.3">
      <c r="A62" s="272"/>
      <c r="B62" s="278"/>
      <c r="C62" s="272"/>
      <c r="D62" s="272"/>
      <c r="E62" s="272"/>
      <c r="F62" s="272"/>
    </row>
    <row r="63" spans="1:6" ht="21.75" customHeight="1" x14ac:dyDescent="0.3">
      <c r="A63" s="272"/>
      <c r="B63" s="278"/>
      <c r="C63" s="272"/>
      <c r="D63" s="272"/>
      <c r="E63" s="272"/>
      <c r="F63" s="272"/>
    </row>
    <row r="64" spans="1:6" ht="21.75" customHeight="1" x14ac:dyDescent="0.3">
      <c r="A64" s="272"/>
      <c r="B64" s="278"/>
      <c r="C64" s="272"/>
      <c r="D64" s="272"/>
      <c r="E64" s="272"/>
      <c r="F64" s="272"/>
    </row>
    <row r="65" spans="1:6" ht="21.75" customHeight="1" x14ac:dyDescent="0.3">
      <c r="A65" s="272"/>
      <c r="B65" s="278"/>
      <c r="C65" s="272"/>
      <c r="D65" s="272"/>
      <c r="E65" s="272"/>
      <c r="F65" s="272"/>
    </row>
    <row r="66" spans="1:6" ht="21.75" customHeight="1" x14ac:dyDescent="0.3">
      <c r="A66" s="272"/>
      <c r="B66" s="278"/>
      <c r="C66" s="272"/>
      <c r="D66" s="272"/>
      <c r="E66" s="272"/>
      <c r="F66" s="272"/>
    </row>
    <row r="67" spans="1:6" ht="21.75" customHeight="1" x14ac:dyDescent="0.3">
      <c r="A67" s="272"/>
      <c r="B67" s="278"/>
      <c r="C67" s="272"/>
      <c r="D67" s="272"/>
      <c r="E67" s="272"/>
      <c r="F67" s="272"/>
    </row>
    <row r="68" spans="1:6" ht="21.75" customHeight="1" x14ac:dyDescent="0.3">
      <c r="A68" s="272"/>
      <c r="B68" s="278"/>
      <c r="C68" s="272"/>
      <c r="D68" s="272"/>
      <c r="E68" s="272"/>
      <c r="F68" s="272"/>
    </row>
    <row r="69" spans="1:6" ht="21.75" customHeight="1" x14ac:dyDescent="0.3">
      <c r="A69" s="272"/>
      <c r="B69" s="278"/>
      <c r="C69" s="272"/>
      <c r="D69" s="272"/>
      <c r="E69" s="272"/>
      <c r="F69" s="272"/>
    </row>
    <row r="70" spans="1:6" ht="21.75" customHeight="1" x14ac:dyDescent="0.3">
      <c r="A70" s="272"/>
      <c r="B70" s="278"/>
      <c r="C70" s="272"/>
      <c r="D70" s="272"/>
      <c r="E70" s="272"/>
      <c r="F70" s="272"/>
    </row>
    <row r="71" spans="1:6" ht="21.75" customHeight="1" x14ac:dyDescent="0.3">
      <c r="A71" s="272"/>
      <c r="B71" s="278"/>
      <c r="C71" s="272"/>
      <c r="D71" s="272"/>
      <c r="E71" s="272"/>
      <c r="F71" s="272"/>
    </row>
    <row r="72" spans="1:6" ht="21.75" customHeight="1" x14ac:dyDescent="0.3">
      <c r="A72" s="272"/>
      <c r="B72" s="278"/>
      <c r="C72" s="272"/>
      <c r="D72" s="272"/>
      <c r="E72" s="272"/>
      <c r="F72" s="272"/>
    </row>
    <row r="73" spans="1:6" ht="21.75" customHeight="1" x14ac:dyDescent="0.3">
      <c r="A73" s="272"/>
      <c r="B73" s="278"/>
      <c r="C73" s="272"/>
      <c r="D73" s="272"/>
      <c r="E73" s="272"/>
      <c r="F73" s="272"/>
    </row>
    <row r="74" spans="1:6" ht="21.75" customHeight="1" x14ac:dyDescent="0.3">
      <c r="A74" s="272"/>
      <c r="B74" s="278"/>
      <c r="C74" s="272"/>
      <c r="D74" s="272"/>
      <c r="E74" s="272"/>
      <c r="F74" s="272"/>
    </row>
    <row r="75" spans="1:6" ht="21.75" customHeight="1" x14ac:dyDescent="0.3">
      <c r="A75" s="272"/>
      <c r="B75" s="278"/>
      <c r="C75" s="272"/>
      <c r="D75" s="272"/>
      <c r="E75" s="272"/>
      <c r="F75" s="272"/>
    </row>
    <row r="76" spans="1:6" ht="21.75" customHeight="1" x14ac:dyDescent="0.3">
      <c r="A76" s="272"/>
      <c r="B76" s="278"/>
      <c r="C76" s="272"/>
      <c r="D76" s="272"/>
      <c r="E76" s="272"/>
      <c r="F76" s="272"/>
    </row>
    <row r="77" spans="1:6" ht="21.75" customHeight="1" x14ac:dyDescent="0.3">
      <c r="A77" s="272"/>
      <c r="B77" s="278"/>
      <c r="C77" s="272"/>
      <c r="D77" s="272"/>
      <c r="E77" s="272"/>
      <c r="F77" s="272"/>
    </row>
    <row r="78" spans="1:6" ht="21.75" customHeight="1" x14ac:dyDescent="0.3">
      <c r="A78" s="272"/>
      <c r="B78" s="278"/>
      <c r="C78" s="272"/>
      <c r="D78" s="272"/>
      <c r="E78" s="272"/>
      <c r="F78" s="272"/>
    </row>
    <row r="79" spans="1:6" ht="21.75" customHeight="1" x14ac:dyDescent="0.3">
      <c r="A79" s="272"/>
      <c r="B79" s="278"/>
      <c r="C79" s="272"/>
      <c r="D79" s="272"/>
      <c r="E79" s="272"/>
      <c r="F79" s="272"/>
    </row>
    <row r="80" spans="1:6" ht="21.75" customHeight="1" x14ac:dyDescent="0.3">
      <c r="A80" s="272"/>
      <c r="B80" s="278"/>
      <c r="C80" s="272"/>
      <c r="D80" s="272"/>
      <c r="E80" s="272"/>
      <c r="F80" s="272"/>
    </row>
    <row r="81" spans="1:6" ht="21.75" customHeight="1" x14ac:dyDescent="0.3">
      <c r="B81" s="278"/>
      <c r="E81" s="272"/>
      <c r="F81" s="272"/>
    </row>
    <row r="82" spans="1:6" ht="21.75" customHeight="1" x14ac:dyDescent="0.3">
      <c r="B82" s="278"/>
      <c r="E82" s="272"/>
      <c r="F82" s="272"/>
    </row>
    <row r="83" spans="1:6" ht="21.75" customHeight="1" x14ac:dyDescent="0.3">
      <c r="B83" s="278"/>
      <c r="E83" s="272"/>
      <c r="F83" s="272"/>
    </row>
    <row r="84" spans="1:6" ht="21.75" hidden="1" customHeight="1" x14ac:dyDescent="0.3">
      <c r="B84" s="278"/>
      <c r="C84" s="279"/>
      <c r="D84" s="279"/>
      <c r="E84" s="272"/>
      <c r="F84" s="272"/>
    </row>
    <row r="85" spans="1:6" ht="21.75" hidden="1" customHeight="1" x14ac:dyDescent="0.3">
      <c r="B85" s="278"/>
      <c r="C85" s="279"/>
      <c r="D85" s="279"/>
      <c r="E85" s="272"/>
      <c r="F85" s="272"/>
    </row>
    <row r="86" spans="1:6" ht="21.75" hidden="1" customHeight="1" x14ac:dyDescent="0.3">
      <c r="B86" s="278"/>
      <c r="C86" s="279"/>
      <c r="D86" s="279"/>
      <c r="E86" s="272"/>
      <c r="F86" s="272"/>
    </row>
    <row r="87" spans="1:6" ht="21.75" hidden="1" customHeight="1" x14ac:dyDescent="0.3">
      <c r="B87" s="278"/>
      <c r="C87" s="279"/>
      <c r="D87" s="279"/>
      <c r="E87" s="272"/>
      <c r="F87" s="272"/>
    </row>
    <row r="88" spans="1:6" ht="21.75" hidden="1" customHeight="1" x14ac:dyDescent="0.3">
      <c r="B88" s="278"/>
      <c r="C88" s="279"/>
      <c r="D88" s="279"/>
      <c r="E88" s="272"/>
      <c r="F88" s="272"/>
    </row>
    <row r="89" spans="1:6" ht="21.75" hidden="1" customHeight="1" x14ac:dyDescent="0.3">
      <c r="B89" s="278"/>
      <c r="C89" s="279"/>
      <c r="D89" s="279"/>
      <c r="E89" s="272"/>
      <c r="F89" s="272"/>
    </row>
    <row r="90" spans="1:6" ht="21.75" hidden="1" customHeight="1" x14ac:dyDescent="0.3">
      <c r="B90" s="278"/>
      <c r="C90" s="279"/>
      <c r="D90" s="279"/>
      <c r="E90" s="272"/>
      <c r="F90" s="272"/>
    </row>
    <row r="91" spans="1:6" ht="21.75" hidden="1" customHeight="1" x14ac:dyDescent="0.3">
      <c r="E91" s="272"/>
      <c r="F91" s="272"/>
    </row>
    <row r="92" spans="1:6" ht="21.75" hidden="1" customHeight="1" x14ac:dyDescent="0.3">
      <c r="B92" s="278"/>
      <c r="C92" s="279"/>
      <c r="D92" s="279"/>
      <c r="E92" s="272"/>
      <c r="F92" s="272"/>
    </row>
    <row r="93" spans="1:6" ht="21.75" hidden="1" customHeight="1" x14ac:dyDescent="0.3">
      <c r="B93" s="278"/>
      <c r="C93" s="279"/>
      <c r="D93" s="279"/>
      <c r="E93" s="272"/>
      <c r="F93" s="272"/>
    </row>
    <row r="94" spans="1:6" ht="21.75" hidden="1" customHeight="1" x14ac:dyDescent="0.3">
      <c r="B94" s="278"/>
      <c r="C94" s="279"/>
      <c r="D94" s="279"/>
      <c r="E94" s="272"/>
      <c r="F94" s="272"/>
    </row>
    <row r="95" spans="1:6" ht="21.75" hidden="1" customHeight="1" x14ac:dyDescent="0.3">
      <c r="B95" s="278"/>
      <c r="E95" s="272"/>
      <c r="F95" s="272"/>
    </row>
    <row r="96" spans="1:6" ht="21.75" hidden="1" customHeight="1" x14ac:dyDescent="0.3">
      <c r="A96" s="271">
        <v>19</v>
      </c>
      <c r="B96" s="278" t="s">
        <v>1002</v>
      </c>
      <c r="E96" s="272"/>
      <c r="F96" s="272"/>
    </row>
    <row r="97" spans="1:6" ht="21.75" hidden="1" customHeight="1" x14ac:dyDescent="0.3">
      <c r="A97" s="271">
        <v>20</v>
      </c>
      <c r="B97" s="278" t="s">
        <v>1003</v>
      </c>
      <c r="C97" s="272"/>
      <c r="D97" s="272"/>
      <c r="E97" s="272"/>
      <c r="F97" s="272"/>
    </row>
    <row r="98" spans="1:6" ht="21.75" hidden="1" customHeight="1" x14ac:dyDescent="0.3">
      <c r="A98" s="271">
        <v>21</v>
      </c>
      <c r="B98" s="278" t="s">
        <v>1004</v>
      </c>
      <c r="C98" s="272"/>
      <c r="D98" s="272"/>
      <c r="E98" s="272"/>
      <c r="F98" s="272"/>
    </row>
    <row r="99" spans="1:6" ht="21.75" hidden="1" customHeight="1" x14ac:dyDescent="0.3">
      <c r="A99" s="271">
        <v>22</v>
      </c>
      <c r="B99" s="278" t="s">
        <v>1005</v>
      </c>
      <c r="C99" s="272"/>
      <c r="D99" s="272"/>
      <c r="E99" s="272"/>
      <c r="F99" s="272"/>
    </row>
    <row r="100" spans="1:6" ht="21.75" hidden="1" customHeight="1" x14ac:dyDescent="0.3">
      <c r="A100" s="271">
        <v>23</v>
      </c>
      <c r="B100" s="278" t="s">
        <v>1006</v>
      </c>
      <c r="C100" s="272"/>
      <c r="D100" s="272"/>
      <c r="E100" s="272"/>
      <c r="F100" s="272"/>
    </row>
    <row r="101" spans="1:6" ht="21.75" hidden="1" customHeight="1" x14ac:dyDescent="0.3">
      <c r="A101" s="271">
        <v>24</v>
      </c>
      <c r="B101" s="278" t="s">
        <v>1006</v>
      </c>
      <c r="C101" s="272"/>
      <c r="D101" s="272"/>
      <c r="E101" s="272"/>
      <c r="F101" s="272"/>
    </row>
    <row r="102" spans="1:6" ht="21.75" hidden="1" customHeight="1" x14ac:dyDescent="0.3">
      <c r="A102" s="271">
        <v>25</v>
      </c>
      <c r="B102" s="278" t="s">
        <v>1007</v>
      </c>
      <c r="C102" s="272"/>
      <c r="D102" s="272"/>
      <c r="E102" s="272"/>
      <c r="F102" s="272"/>
    </row>
    <row r="103" spans="1:6" ht="21.75" hidden="1" customHeight="1" x14ac:dyDescent="0.3">
      <c r="A103" s="271">
        <v>26</v>
      </c>
      <c r="B103" s="278" t="s">
        <v>1008</v>
      </c>
      <c r="C103" s="272"/>
      <c r="D103" s="272"/>
      <c r="E103" s="272"/>
      <c r="F103" s="272"/>
    </row>
    <row r="104" spans="1:6" ht="21.75" hidden="1" customHeight="1" x14ac:dyDescent="0.3">
      <c r="A104" s="271">
        <v>27</v>
      </c>
      <c r="B104" s="278" t="s">
        <v>1009</v>
      </c>
      <c r="C104" s="272"/>
      <c r="D104" s="272"/>
      <c r="E104" s="272"/>
      <c r="F104" s="272"/>
    </row>
    <row r="105" spans="1:6" ht="21.75" hidden="1" customHeight="1" x14ac:dyDescent="0.3">
      <c r="A105" s="271">
        <v>28</v>
      </c>
      <c r="B105" s="278" t="s">
        <v>986</v>
      </c>
      <c r="C105" s="272"/>
      <c r="D105" s="272"/>
      <c r="E105" s="272"/>
      <c r="F105" s="272"/>
    </row>
    <row r="106" spans="1:6" ht="21.75" hidden="1" customHeight="1" x14ac:dyDescent="0.3">
      <c r="A106" s="271">
        <v>29</v>
      </c>
      <c r="B106" s="278" t="s">
        <v>1010</v>
      </c>
      <c r="C106" s="272"/>
      <c r="D106" s="272"/>
      <c r="E106" s="272"/>
      <c r="F106" s="272"/>
    </row>
    <row r="107" spans="1:6" ht="21.75" hidden="1" customHeight="1" x14ac:dyDescent="0.3">
      <c r="A107" s="271">
        <v>30</v>
      </c>
      <c r="B107" s="278" t="s">
        <v>1011</v>
      </c>
      <c r="C107" s="272"/>
      <c r="D107" s="272"/>
      <c r="E107" s="272"/>
      <c r="F107" s="272"/>
    </row>
    <row r="108" spans="1:6" ht="21.75" hidden="1" customHeight="1" x14ac:dyDescent="0.3">
      <c r="A108" s="271">
        <v>31</v>
      </c>
      <c r="B108" s="278" t="s">
        <v>1012</v>
      </c>
      <c r="C108" s="272"/>
      <c r="D108" s="272"/>
      <c r="E108" s="272"/>
      <c r="F108" s="272"/>
    </row>
    <row r="109" spans="1:6" ht="21.75" hidden="1" customHeight="1" x14ac:dyDescent="0.3">
      <c r="A109" s="271">
        <v>32</v>
      </c>
      <c r="B109" s="278" t="s">
        <v>1013</v>
      </c>
      <c r="C109" s="272"/>
      <c r="D109" s="272"/>
      <c r="E109" s="272"/>
      <c r="F109" s="272"/>
    </row>
    <row r="110" spans="1:6" ht="21.75" hidden="1" customHeight="1" x14ac:dyDescent="0.3">
      <c r="A110" s="271">
        <v>33</v>
      </c>
      <c r="B110" s="278" t="s">
        <v>1014</v>
      </c>
      <c r="C110" s="272"/>
      <c r="D110" s="272"/>
      <c r="E110" s="272"/>
      <c r="F110" s="272"/>
    </row>
    <row r="111" spans="1:6" ht="21.75" hidden="1" customHeight="1" x14ac:dyDescent="0.3">
      <c r="A111" s="271">
        <v>34</v>
      </c>
      <c r="B111" s="278" t="s">
        <v>1015</v>
      </c>
      <c r="C111" s="272"/>
      <c r="D111" s="272"/>
      <c r="E111" s="272"/>
      <c r="F111" s="272"/>
    </row>
    <row r="112" spans="1:6" ht="21.75" hidden="1" customHeight="1" x14ac:dyDescent="0.3">
      <c r="A112" s="271">
        <v>35</v>
      </c>
      <c r="B112" s="278" t="s">
        <v>1016</v>
      </c>
      <c r="C112" s="272"/>
      <c r="D112" s="272"/>
      <c r="E112" s="272"/>
      <c r="F112" s="272"/>
    </row>
    <row r="113" spans="1:6" ht="21.75" hidden="1" customHeight="1" x14ac:dyDescent="0.3">
      <c r="A113" s="271">
        <v>36</v>
      </c>
      <c r="B113" s="278" t="s">
        <v>1017</v>
      </c>
      <c r="C113" s="272"/>
      <c r="D113" s="272"/>
      <c r="E113" s="272"/>
      <c r="F113" s="272"/>
    </row>
    <row r="114" spans="1:6" ht="21.75" hidden="1" customHeight="1" x14ac:dyDescent="0.3">
      <c r="A114" s="271">
        <v>37</v>
      </c>
      <c r="B114" s="278" t="s">
        <v>1017</v>
      </c>
      <c r="C114" s="272"/>
      <c r="D114" s="272"/>
      <c r="E114" s="272"/>
      <c r="F114" s="272"/>
    </row>
    <row r="115" spans="1:6" ht="21.75" hidden="1" customHeight="1" x14ac:dyDescent="0.3">
      <c r="A115" s="271">
        <v>38</v>
      </c>
      <c r="B115" s="278" t="s">
        <v>1018</v>
      </c>
      <c r="C115" s="272"/>
      <c r="D115" s="272"/>
      <c r="E115" s="272"/>
      <c r="F115" s="272"/>
    </row>
    <row r="116" spans="1:6" ht="21.75" hidden="1" customHeight="1" x14ac:dyDescent="0.3">
      <c r="A116" s="271">
        <v>40</v>
      </c>
      <c r="B116" s="278" t="s">
        <v>1019</v>
      </c>
      <c r="C116" s="272"/>
      <c r="D116" s="272"/>
      <c r="E116" s="272"/>
      <c r="F116" s="272"/>
    </row>
    <row r="117" spans="1:6" ht="21.75" hidden="1" customHeight="1" x14ac:dyDescent="0.3">
      <c r="A117" s="271">
        <v>41</v>
      </c>
      <c r="B117" s="278" t="s">
        <v>982</v>
      </c>
      <c r="C117" s="272"/>
      <c r="D117" s="272"/>
      <c r="E117" s="272"/>
      <c r="F117" s="272"/>
    </row>
    <row r="118" spans="1:6" ht="21.75" hidden="1" customHeight="1" x14ac:dyDescent="0.3">
      <c r="A118" s="271">
        <v>42</v>
      </c>
      <c r="B118" s="278" t="s">
        <v>996</v>
      </c>
      <c r="C118" s="272"/>
      <c r="D118" s="272"/>
      <c r="E118" s="272"/>
      <c r="F118" s="272"/>
    </row>
    <row r="119" spans="1:6" ht="21.75" hidden="1" customHeight="1" x14ac:dyDescent="0.3">
      <c r="A119" s="271">
        <v>43</v>
      </c>
      <c r="B119" s="278" t="s">
        <v>1020</v>
      </c>
      <c r="C119" s="272"/>
      <c r="D119" s="272"/>
      <c r="E119" s="272"/>
      <c r="F119" s="272"/>
    </row>
    <row r="120" spans="1:6" ht="21.75" hidden="1" customHeight="1" x14ac:dyDescent="0.3">
      <c r="A120" s="271">
        <v>44</v>
      </c>
      <c r="B120" s="278" t="s">
        <v>988</v>
      </c>
      <c r="C120" s="272"/>
      <c r="D120" s="272"/>
      <c r="E120" s="272"/>
      <c r="F120" s="272"/>
    </row>
    <row r="121" spans="1:6" ht="21.75" hidden="1" customHeight="1" x14ac:dyDescent="0.3">
      <c r="A121" s="271">
        <v>45</v>
      </c>
      <c r="B121" s="278" t="s">
        <v>1021</v>
      </c>
      <c r="C121" s="272"/>
      <c r="D121" s="272"/>
      <c r="E121" s="272"/>
      <c r="F121" s="272"/>
    </row>
    <row r="122" spans="1:6" ht="21.75" hidden="1" customHeight="1" x14ac:dyDescent="0.3">
      <c r="A122" s="271">
        <v>51</v>
      </c>
      <c r="B122" s="278" t="s">
        <v>1022</v>
      </c>
      <c r="C122" s="272"/>
      <c r="D122" s="272"/>
      <c r="E122" s="272"/>
      <c r="F122" s="272"/>
    </row>
    <row r="123" spans="1:6" ht="21.75" hidden="1" customHeight="1" x14ac:dyDescent="0.3">
      <c r="A123" s="271">
        <v>52</v>
      </c>
      <c r="B123" s="278" t="s">
        <v>994</v>
      </c>
      <c r="C123" s="272"/>
      <c r="D123" s="272"/>
      <c r="E123" s="272"/>
      <c r="F123" s="272"/>
    </row>
    <row r="124" spans="1:6" ht="21.75" hidden="1" customHeight="1" x14ac:dyDescent="0.3">
      <c r="A124" s="271">
        <v>60</v>
      </c>
      <c r="B124" s="278" t="s">
        <v>1023</v>
      </c>
      <c r="C124" s="272"/>
      <c r="D124" s="272"/>
      <c r="E124" s="272"/>
      <c r="F124" s="272"/>
    </row>
    <row r="125" spans="1:6" ht="21.75" hidden="1" customHeight="1" x14ac:dyDescent="0.3">
      <c r="C125" s="272"/>
      <c r="D125" s="272"/>
      <c r="E125" s="272"/>
      <c r="F125" s="272"/>
    </row>
  </sheetData>
  <mergeCells count="1">
    <mergeCell ref="A1:D1"/>
  </mergeCells>
  <printOptions horizontalCentered="1"/>
  <pageMargins left="0" right="0" top="0.78740157480314965" bottom="0.39370078740157483" header="0.31496062992125984" footer="0.31496062992125984"/>
  <pageSetup paperSize="9" orientation="portrait" r:id="rId1"/>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72"/>
  <sheetViews>
    <sheetView topLeftCell="A46" zoomScaleNormal="100" workbookViewId="0">
      <selection activeCell="F56" sqref="F56"/>
    </sheetView>
  </sheetViews>
  <sheetFormatPr defaultColWidth="9.140625" defaultRowHeight="18.75" x14ac:dyDescent="0.25"/>
  <cols>
    <col min="1" max="1" width="4.85546875" style="49" customWidth="1"/>
    <col min="2" max="2" width="43.28515625" style="49" customWidth="1"/>
    <col min="3" max="4" width="7.85546875" style="49" customWidth="1"/>
    <col min="5" max="8" width="11.140625" style="49" customWidth="1"/>
    <col min="9" max="16384" width="9.140625" style="49"/>
  </cols>
  <sheetData>
    <row r="1" spans="1:8" ht="41.25" customHeight="1" x14ac:dyDescent="0.25">
      <c r="A1" s="569" t="s">
        <v>1074</v>
      </c>
      <c r="B1" s="570"/>
      <c r="C1" s="570"/>
      <c r="D1" s="570"/>
      <c r="E1" s="570"/>
      <c r="F1" s="570"/>
      <c r="G1" s="570"/>
      <c r="H1" s="570"/>
    </row>
    <row r="2" spans="1:8" x14ac:dyDescent="0.25">
      <c r="A2" s="50"/>
      <c r="B2" s="50"/>
      <c r="C2" s="50"/>
      <c r="D2" s="51"/>
      <c r="E2" s="51"/>
      <c r="F2" s="51"/>
      <c r="G2" s="51"/>
      <c r="H2" s="51"/>
    </row>
    <row r="3" spans="1:8" ht="40.5" customHeight="1" x14ac:dyDescent="0.25">
      <c r="B3" s="565" t="s">
        <v>1345</v>
      </c>
      <c r="C3" s="565"/>
      <c r="D3" s="565"/>
      <c r="E3" s="565"/>
      <c r="F3" s="565"/>
      <c r="G3" s="565"/>
      <c r="H3" s="565"/>
    </row>
    <row r="4" spans="1:8" x14ac:dyDescent="0.25">
      <c r="B4" s="49" t="s">
        <v>39</v>
      </c>
      <c r="D4" s="52"/>
      <c r="E4" s="52"/>
      <c r="F4" s="52"/>
      <c r="G4" s="52"/>
      <c r="H4" s="52"/>
    </row>
    <row r="5" spans="1:8" s="50" customFormat="1" x14ac:dyDescent="0.25">
      <c r="B5" s="50" t="s">
        <v>18</v>
      </c>
    </row>
    <row r="6" spans="1:8" x14ac:dyDescent="0.25">
      <c r="B6" s="49" t="s">
        <v>23</v>
      </c>
      <c r="C6" s="566" t="s">
        <v>49</v>
      </c>
      <c r="D6" s="566"/>
      <c r="E6" s="566"/>
      <c r="F6" s="566"/>
      <c r="G6" s="566"/>
      <c r="H6" s="566"/>
    </row>
    <row r="7" spans="1:8" hidden="1" x14ac:dyDescent="0.25">
      <c r="B7" s="49" t="s">
        <v>19</v>
      </c>
      <c r="C7" s="566" t="s">
        <v>50</v>
      </c>
      <c r="D7" s="566"/>
      <c r="E7" s="566"/>
      <c r="F7" s="566"/>
      <c r="G7" s="566"/>
      <c r="H7" s="566"/>
    </row>
    <row r="8" spans="1:8" hidden="1" x14ac:dyDescent="0.25">
      <c r="B8" s="49" t="s">
        <v>90</v>
      </c>
      <c r="C8" s="566" t="s">
        <v>60</v>
      </c>
      <c r="D8" s="566"/>
      <c r="E8" s="566"/>
      <c r="F8" s="566"/>
      <c r="G8" s="566"/>
      <c r="H8" s="566"/>
    </row>
    <row r="9" spans="1:8" x14ac:dyDescent="0.25">
      <c r="B9" s="49" t="s">
        <v>59</v>
      </c>
      <c r="C9" s="566" t="s">
        <v>60</v>
      </c>
      <c r="D9" s="566"/>
      <c r="E9" s="566"/>
      <c r="F9" s="566"/>
      <c r="G9" s="566"/>
      <c r="H9" s="566"/>
    </row>
    <row r="10" spans="1:8" hidden="1" x14ac:dyDescent="0.25">
      <c r="B10" s="49" t="s">
        <v>20</v>
      </c>
      <c r="C10" s="566" t="s">
        <v>86</v>
      </c>
      <c r="D10" s="566"/>
      <c r="E10" s="566"/>
      <c r="F10" s="566"/>
      <c r="G10" s="566"/>
      <c r="H10" s="566"/>
    </row>
    <row r="11" spans="1:8" hidden="1" x14ac:dyDescent="0.25">
      <c r="B11" s="49" t="s">
        <v>21</v>
      </c>
      <c r="C11" s="90" t="s">
        <v>87</v>
      </c>
      <c r="D11" s="90"/>
      <c r="E11" s="90"/>
      <c r="F11" s="369"/>
      <c r="G11" s="90"/>
      <c r="H11" s="90"/>
    </row>
    <row r="12" spans="1:8" x14ac:dyDescent="0.25">
      <c r="B12" s="49" t="s">
        <v>94</v>
      </c>
      <c r="C12" s="90" t="s">
        <v>95</v>
      </c>
      <c r="D12" s="90"/>
      <c r="E12" s="90"/>
      <c r="F12" s="369"/>
      <c r="G12" s="90"/>
      <c r="H12" s="90"/>
    </row>
    <row r="13" spans="1:8" x14ac:dyDescent="0.25">
      <c r="C13" s="90"/>
      <c r="D13" s="90"/>
      <c r="E13" s="90"/>
      <c r="F13" s="369"/>
      <c r="G13" s="90"/>
      <c r="H13" s="90"/>
    </row>
    <row r="14" spans="1:8" hidden="1" x14ac:dyDescent="0.25">
      <c r="B14" s="49" t="s">
        <v>21</v>
      </c>
      <c r="C14" s="566"/>
      <c r="D14" s="566"/>
      <c r="E14" s="566"/>
      <c r="F14" s="566"/>
      <c r="G14" s="566"/>
      <c r="H14" s="566"/>
    </row>
    <row r="15" spans="1:8" s="50" customFormat="1" x14ac:dyDescent="0.25">
      <c r="B15" s="50" t="s">
        <v>246</v>
      </c>
    </row>
    <row r="16" spans="1:8" x14ac:dyDescent="0.25">
      <c r="B16" s="49" t="s">
        <v>250</v>
      </c>
      <c r="C16" s="566" t="s">
        <v>80</v>
      </c>
      <c r="D16" s="566"/>
      <c r="E16" s="566"/>
      <c r="F16" s="566"/>
      <c r="G16" s="566"/>
      <c r="H16" s="566"/>
    </row>
    <row r="17" spans="1:8" hidden="1" x14ac:dyDescent="0.25">
      <c r="B17" s="49" t="s">
        <v>20</v>
      </c>
      <c r="C17" s="90"/>
      <c r="D17" s="90"/>
      <c r="E17" s="90"/>
      <c r="F17" s="369"/>
      <c r="G17" s="90"/>
      <c r="H17" s="90"/>
    </row>
    <row r="18" spans="1:8" x14ac:dyDescent="0.25">
      <c r="B18" s="49" t="s">
        <v>248</v>
      </c>
      <c r="C18" s="566" t="s">
        <v>249</v>
      </c>
      <c r="D18" s="566"/>
      <c r="E18" s="566"/>
      <c r="F18" s="566"/>
      <c r="G18" s="566"/>
      <c r="H18" s="566"/>
    </row>
    <row r="19" spans="1:8" hidden="1" x14ac:dyDescent="0.25">
      <c r="B19" s="49" t="s">
        <v>20</v>
      </c>
      <c r="C19" s="566"/>
      <c r="D19" s="566"/>
      <c r="E19" s="566"/>
      <c r="F19" s="566"/>
      <c r="G19" s="566"/>
      <c r="H19" s="566"/>
    </row>
    <row r="20" spans="1:8" hidden="1" x14ac:dyDescent="0.25">
      <c r="B20" s="49" t="s">
        <v>21</v>
      </c>
      <c r="C20" s="566"/>
      <c r="D20" s="566"/>
      <c r="E20" s="566"/>
      <c r="F20" s="566"/>
      <c r="G20" s="566"/>
      <c r="H20" s="566"/>
    </row>
    <row r="21" spans="1:8" hidden="1" x14ac:dyDescent="0.25">
      <c r="B21" s="49" t="s">
        <v>21</v>
      </c>
      <c r="C21" s="566"/>
      <c r="D21" s="566"/>
      <c r="E21" s="566"/>
      <c r="F21" s="566"/>
      <c r="G21" s="566"/>
      <c r="H21" s="566"/>
    </row>
    <row r="22" spans="1:8" hidden="1" x14ac:dyDescent="0.25">
      <c r="B22" s="49" t="s">
        <v>21</v>
      </c>
      <c r="C22" s="566"/>
      <c r="D22" s="566"/>
      <c r="E22" s="566"/>
      <c r="F22" s="566"/>
      <c r="G22" s="566"/>
      <c r="H22" s="566"/>
    </row>
    <row r="23" spans="1:8" ht="39.75" customHeight="1" x14ac:dyDescent="0.25">
      <c r="B23" s="556" t="s">
        <v>1073</v>
      </c>
      <c r="C23" s="556"/>
      <c r="D23" s="556"/>
      <c r="E23" s="556"/>
      <c r="F23" s="556"/>
      <c r="G23" s="556"/>
      <c r="H23" s="556"/>
    </row>
    <row r="24" spans="1:8" x14ac:dyDescent="0.25">
      <c r="A24" s="54"/>
      <c r="H24" s="54" t="s">
        <v>61</v>
      </c>
    </row>
    <row r="25" spans="1:8" s="370" customFormat="1" ht="93.75" x14ac:dyDescent="0.25">
      <c r="A25" s="373" t="s">
        <v>62</v>
      </c>
      <c r="B25" s="373" t="s">
        <v>2</v>
      </c>
      <c r="C25" s="373" t="s">
        <v>17</v>
      </c>
      <c r="D25" s="373" t="s">
        <v>464</v>
      </c>
      <c r="E25" s="373" t="s">
        <v>8</v>
      </c>
      <c r="F25" s="373" t="s">
        <v>9</v>
      </c>
      <c r="G25" s="373" t="s">
        <v>461</v>
      </c>
      <c r="H25" s="373" t="s">
        <v>1046</v>
      </c>
    </row>
    <row r="26" spans="1:8" s="50" customFormat="1" hidden="1" x14ac:dyDescent="0.25">
      <c r="A26" s="373"/>
      <c r="B26" s="373" t="s">
        <v>97</v>
      </c>
      <c r="C26" s="57"/>
      <c r="D26" s="57"/>
      <c r="E26" s="57">
        <f>E28+E35</f>
        <v>9178</v>
      </c>
      <c r="F26" s="57"/>
      <c r="G26" s="57">
        <f>G28+G35</f>
        <v>9890</v>
      </c>
      <c r="H26" s="57">
        <f>H28+H35</f>
        <v>9971</v>
      </c>
    </row>
    <row r="27" spans="1:8" s="88" customFormat="1" x14ac:dyDescent="0.25">
      <c r="A27" s="372"/>
      <c r="B27" s="372" t="s">
        <v>97</v>
      </c>
      <c r="C27" s="32"/>
      <c r="D27" s="32"/>
      <c r="E27" s="32">
        <f>E28+E35</f>
        <v>9178</v>
      </c>
      <c r="F27" s="32">
        <f t="shared" ref="F27:H27" si="0">F28+F35</f>
        <v>9809</v>
      </c>
      <c r="G27" s="32">
        <f t="shared" si="0"/>
        <v>9890</v>
      </c>
      <c r="H27" s="32">
        <f t="shared" si="0"/>
        <v>9971</v>
      </c>
    </row>
    <row r="28" spans="1:8" s="50" customFormat="1" ht="21" customHeight="1" x14ac:dyDescent="0.25">
      <c r="A28" s="96" t="s">
        <v>51</v>
      </c>
      <c r="B28" s="97" t="s">
        <v>70</v>
      </c>
      <c r="C28" s="98"/>
      <c r="D28" s="98"/>
      <c r="E28" s="98">
        <f>+E29+E33-E34</f>
        <v>3678</v>
      </c>
      <c r="F28" s="98">
        <f>+F29+F33-F34</f>
        <v>4003</v>
      </c>
      <c r="G28" s="98">
        <f>+G29+G33-G34</f>
        <v>4084</v>
      </c>
      <c r="H28" s="98">
        <f>+H29+H33-H34</f>
        <v>4165</v>
      </c>
    </row>
    <row r="29" spans="1:8" ht="56.25" x14ac:dyDescent="0.25">
      <c r="A29" s="58">
        <v>1</v>
      </c>
      <c r="B29" s="59" t="s">
        <v>1185</v>
      </c>
      <c r="C29" s="60"/>
      <c r="D29" s="60"/>
      <c r="E29" s="60">
        <v>3138</v>
      </c>
      <c r="F29" s="60">
        <f>SUM(F30:F32)</f>
        <v>3463</v>
      </c>
      <c r="G29" s="60">
        <f>SUM(G30:G32)</f>
        <v>3544</v>
      </c>
      <c r="H29" s="60">
        <f>SUM(H30:H32)</f>
        <v>3625</v>
      </c>
    </row>
    <row r="30" spans="1:8" x14ac:dyDescent="0.25">
      <c r="A30" s="58"/>
      <c r="B30" s="59" t="s">
        <v>1203</v>
      </c>
      <c r="C30" s="60">
        <v>24</v>
      </c>
      <c r="D30" s="61">
        <v>20</v>
      </c>
      <c r="E30" s="60"/>
      <c r="F30" s="60">
        <v>2886</v>
      </c>
      <c r="G30" s="60">
        <f>ROUND(F30+8*8.1,0)</f>
        <v>2951</v>
      </c>
      <c r="H30" s="60">
        <f>ROUND(G30+8*8.1,0)</f>
        <v>3016</v>
      </c>
    </row>
    <row r="31" spans="1:8" x14ac:dyDescent="0.25">
      <c r="A31" s="58"/>
      <c r="B31" s="59" t="s">
        <v>1333</v>
      </c>
      <c r="C31" s="60"/>
      <c r="D31" s="61"/>
      <c r="E31" s="60"/>
      <c r="F31" s="60">
        <v>205</v>
      </c>
      <c r="G31" s="60">
        <f>F31</f>
        <v>205</v>
      </c>
      <c r="H31" s="60">
        <f>G31</f>
        <v>205</v>
      </c>
    </row>
    <row r="32" spans="1:8" ht="37.5" x14ac:dyDescent="0.25">
      <c r="A32" s="58"/>
      <c r="B32" s="59" t="s">
        <v>247</v>
      </c>
      <c r="C32" s="60">
        <v>7</v>
      </c>
      <c r="D32" s="60">
        <v>5</v>
      </c>
      <c r="E32" s="60"/>
      <c r="F32" s="60">
        <f>306+66</f>
        <v>372</v>
      </c>
      <c r="G32" s="60">
        <f>ROUND(F32+2*8.1,0)</f>
        <v>388</v>
      </c>
      <c r="H32" s="60">
        <f>ROUND(G32+2*8.1,0)</f>
        <v>404</v>
      </c>
    </row>
    <row r="33" spans="1:8" ht="37.5" x14ac:dyDescent="0.25">
      <c r="A33" s="58">
        <v>2</v>
      </c>
      <c r="B33" s="59" t="s">
        <v>1334</v>
      </c>
      <c r="C33" s="60">
        <v>24</v>
      </c>
      <c r="D33" s="60"/>
      <c r="E33" s="60">
        <v>600</v>
      </c>
      <c r="F33" s="60">
        <f>C33*25</f>
        <v>600</v>
      </c>
      <c r="G33" s="60">
        <f>E33</f>
        <v>600</v>
      </c>
      <c r="H33" s="60">
        <f>G33</f>
        <v>600</v>
      </c>
    </row>
    <row r="34" spans="1:8" ht="37.5" x14ac:dyDescent="0.25">
      <c r="A34" s="58">
        <v>3</v>
      </c>
      <c r="B34" s="59" t="s">
        <v>103</v>
      </c>
      <c r="C34" s="60"/>
      <c r="D34" s="60"/>
      <c r="E34" s="60">
        <v>60</v>
      </c>
      <c r="F34" s="60">
        <v>60</v>
      </c>
      <c r="G34" s="60">
        <f>E34</f>
        <v>60</v>
      </c>
      <c r="H34" s="60">
        <f>G34</f>
        <v>60</v>
      </c>
    </row>
    <row r="35" spans="1:8" s="50" customFormat="1" x14ac:dyDescent="0.25">
      <c r="A35" s="62" t="s">
        <v>52</v>
      </c>
      <c r="B35" s="63" t="s">
        <v>98</v>
      </c>
      <c r="C35" s="64"/>
      <c r="D35" s="64"/>
      <c r="E35" s="64">
        <f>E36+E61+E63</f>
        <v>5500</v>
      </c>
      <c r="F35" s="64">
        <f>F36+F61+F63</f>
        <v>5806</v>
      </c>
      <c r="G35" s="64">
        <f t="shared" ref="G35" si="1">G36+G61+G63</f>
        <v>5806</v>
      </c>
      <c r="H35" s="64">
        <f>H36+H61+H63</f>
        <v>5806</v>
      </c>
    </row>
    <row r="36" spans="1:8" s="50" customFormat="1" x14ac:dyDescent="0.25">
      <c r="A36" s="62">
        <v>1</v>
      </c>
      <c r="B36" s="63" t="s">
        <v>81</v>
      </c>
      <c r="C36" s="64"/>
      <c r="D36" s="64"/>
      <c r="E36" s="64">
        <f>SUM(E37:E58)</f>
        <v>4694</v>
      </c>
      <c r="F36" s="64">
        <v>4700</v>
      </c>
      <c r="G36" s="64">
        <f>F36</f>
        <v>4700</v>
      </c>
      <c r="H36" s="64">
        <f>G36</f>
        <v>4700</v>
      </c>
    </row>
    <row r="37" spans="1:8" ht="75" x14ac:dyDescent="0.25">
      <c r="A37" s="58" t="s">
        <v>99</v>
      </c>
      <c r="B37" s="59" t="s">
        <v>265</v>
      </c>
      <c r="C37" s="60"/>
      <c r="D37" s="60"/>
      <c r="E37" s="60">
        <v>606</v>
      </c>
      <c r="F37" s="121">
        <v>646</v>
      </c>
      <c r="G37" s="60"/>
      <c r="H37" s="60"/>
    </row>
    <row r="38" spans="1:8" x14ac:dyDescent="0.25">
      <c r="A38" s="58" t="s">
        <v>99</v>
      </c>
      <c r="B38" s="59" t="s">
        <v>1342</v>
      </c>
      <c r="C38" s="60"/>
      <c r="D38" s="60"/>
      <c r="E38" s="60"/>
      <c r="F38" s="121"/>
      <c r="G38" s="60"/>
      <c r="H38" s="60"/>
    </row>
    <row r="39" spans="1:8" ht="37.5" x14ac:dyDescent="0.25">
      <c r="A39" s="58" t="s">
        <v>99</v>
      </c>
      <c r="B39" s="59" t="s">
        <v>253</v>
      </c>
      <c r="C39" s="60"/>
      <c r="D39" s="60"/>
      <c r="E39" s="60">
        <v>215</v>
      </c>
      <c r="F39" s="121"/>
      <c r="G39" s="60"/>
      <c r="H39" s="60"/>
    </row>
    <row r="40" spans="1:8" x14ac:dyDescent="0.25">
      <c r="A40" s="58" t="s">
        <v>99</v>
      </c>
      <c r="B40" s="59" t="s">
        <v>262</v>
      </c>
      <c r="C40" s="60"/>
      <c r="D40" s="60"/>
      <c r="E40" s="60">
        <v>175</v>
      </c>
      <c r="F40" s="121">
        <v>168</v>
      </c>
      <c r="G40" s="60"/>
      <c r="H40" s="60"/>
    </row>
    <row r="41" spans="1:8" ht="37.5" x14ac:dyDescent="0.25">
      <c r="A41" s="58" t="s">
        <v>99</v>
      </c>
      <c r="B41" s="59" t="s">
        <v>266</v>
      </c>
      <c r="C41" s="60"/>
      <c r="D41" s="60"/>
      <c r="E41" s="60">
        <v>742</v>
      </c>
      <c r="F41" s="121">
        <f>144+540</f>
        <v>684</v>
      </c>
      <c r="G41" s="60"/>
      <c r="H41" s="60"/>
    </row>
    <row r="42" spans="1:8" x14ac:dyDescent="0.25">
      <c r="A42" s="58" t="s">
        <v>99</v>
      </c>
      <c r="B42" s="59" t="s">
        <v>254</v>
      </c>
      <c r="C42" s="60"/>
      <c r="D42" s="60"/>
      <c r="E42" s="60">
        <v>87</v>
      </c>
      <c r="F42" s="121">
        <v>100</v>
      </c>
      <c r="G42" s="60"/>
      <c r="H42" s="60"/>
    </row>
    <row r="43" spans="1:8" x14ac:dyDescent="0.25">
      <c r="A43" s="58" t="s">
        <v>99</v>
      </c>
      <c r="B43" s="59" t="s">
        <v>255</v>
      </c>
      <c r="C43" s="60"/>
      <c r="D43" s="60"/>
      <c r="E43" s="60">
        <v>91</v>
      </c>
      <c r="F43" s="121">
        <v>79</v>
      </c>
      <c r="G43" s="60"/>
      <c r="H43" s="60"/>
    </row>
    <row r="44" spans="1:8" x14ac:dyDescent="0.25">
      <c r="A44" s="58" t="s">
        <v>99</v>
      </c>
      <c r="B44" s="59" t="s">
        <v>256</v>
      </c>
      <c r="C44" s="60"/>
      <c r="D44" s="60"/>
      <c r="E44" s="60">
        <v>330</v>
      </c>
      <c r="F44" s="121">
        <v>280</v>
      </c>
      <c r="G44" s="60"/>
      <c r="H44" s="60"/>
    </row>
    <row r="45" spans="1:8" x14ac:dyDescent="0.25">
      <c r="A45" s="58" t="s">
        <v>99</v>
      </c>
      <c r="B45" s="59" t="s">
        <v>257</v>
      </c>
      <c r="C45" s="60"/>
      <c r="D45" s="60"/>
      <c r="E45" s="60">
        <v>85</v>
      </c>
      <c r="F45" s="121">
        <v>37</v>
      </c>
      <c r="G45" s="60"/>
      <c r="H45" s="60"/>
    </row>
    <row r="46" spans="1:8" x14ac:dyDescent="0.25">
      <c r="A46" s="58" t="s">
        <v>99</v>
      </c>
      <c r="B46" s="59" t="s">
        <v>258</v>
      </c>
      <c r="C46" s="60"/>
      <c r="D46" s="60"/>
      <c r="E46" s="60">
        <v>352</v>
      </c>
      <c r="F46" s="121">
        <v>186</v>
      </c>
      <c r="G46" s="60"/>
      <c r="H46" s="60"/>
    </row>
    <row r="47" spans="1:8" ht="37.5" x14ac:dyDescent="0.25">
      <c r="A47" s="58" t="s">
        <v>99</v>
      </c>
      <c r="B47" s="59" t="s">
        <v>268</v>
      </c>
      <c r="C47" s="60"/>
      <c r="D47" s="60"/>
      <c r="E47" s="60">
        <v>50</v>
      </c>
      <c r="F47" s="121">
        <v>63</v>
      </c>
      <c r="G47" s="60"/>
      <c r="H47" s="60"/>
    </row>
    <row r="48" spans="1:8" x14ac:dyDescent="0.25">
      <c r="A48" s="58" t="s">
        <v>99</v>
      </c>
      <c r="B48" s="59" t="s">
        <v>259</v>
      </c>
      <c r="C48" s="60"/>
      <c r="D48" s="60"/>
      <c r="E48" s="60">
        <v>108</v>
      </c>
      <c r="F48" s="121">
        <v>100</v>
      </c>
      <c r="G48" s="60"/>
      <c r="H48" s="60"/>
    </row>
    <row r="49" spans="1:8" x14ac:dyDescent="0.3">
      <c r="A49" s="58" t="s">
        <v>99</v>
      </c>
      <c r="B49" s="65" t="s">
        <v>260</v>
      </c>
      <c r="C49" s="60"/>
      <c r="D49" s="60"/>
      <c r="E49" s="60">
        <v>11</v>
      </c>
      <c r="F49" s="121">
        <v>11</v>
      </c>
      <c r="G49" s="60"/>
      <c r="H49" s="60"/>
    </row>
    <row r="50" spans="1:8" x14ac:dyDescent="0.3">
      <c r="A50" s="58" t="s">
        <v>99</v>
      </c>
      <c r="B50" s="65" t="s">
        <v>648</v>
      </c>
      <c r="C50" s="60"/>
      <c r="D50" s="60"/>
      <c r="E50" s="60">
        <v>11</v>
      </c>
      <c r="F50" s="121">
        <v>11</v>
      </c>
      <c r="G50" s="60"/>
      <c r="H50" s="60"/>
    </row>
    <row r="51" spans="1:8" x14ac:dyDescent="0.3">
      <c r="A51" s="58" t="s">
        <v>99</v>
      </c>
      <c r="B51" s="65" t="s">
        <v>649</v>
      </c>
      <c r="C51" s="60"/>
      <c r="D51" s="60"/>
      <c r="E51" s="60">
        <v>157</v>
      </c>
      <c r="F51" s="121">
        <v>150</v>
      </c>
      <c r="G51" s="60"/>
      <c r="H51" s="60"/>
    </row>
    <row r="52" spans="1:8" x14ac:dyDescent="0.3">
      <c r="A52" s="58" t="s">
        <v>99</v>
      </c>
      <c r="B52" s="65" t="s">
        <v>647</v>
      </c>
      <c r="C52" s="60"/>
      <c r="D52" s="60"/>
      <c r="E52" s="60">
        <v>31</v>
      </c>
      <c r="F52" s="121">
        <v>31</v>
      </c>
      <c r="G52" s="60"/>
      <c r="H52" s="60"/>
    </row>
    <row r="53" spans="1:8" ht="37.5" x14ac:dyDescent="0.25">
      <c r="A53" s="58" t="s">
        <v>99</v>
      </c>
      <c r="B53" s="59" t="s">
        <v>269</v>
      </c>
      <c r="C53" s="60"/>
      <c r="D53" s="60"/>
      <c r="E53" s="60">
        <v>813</v>
      </c>
      <c r="F53" s="121">
        <v>944</v>
      </c>
      <c r="G53" s="60"/>
      <c r="H53" s="60"/>
    </row>
    <row r="54" spans="1:8" x14ac:dyDescent="0.25">
      <c r="A54" s="58" t="s">
        <v>99</v>
      </c>
      <c r="B54" s="59" t="s">
        <v>261</v>
      </c>
      <c r="C54" s="60"/>
      <c r="D54" s="60"/>
      <c r="E54" s="60">
        <v>290</v>
      </c>
      <c r="F54" s="121">
        <v>399</v>
      </c>
      <c r="G54" s="60"/>
      <c r="H54" s="60"/>
    </row>
    <row r="55" spans="1:8" x14ac:dyDescent="0.25">
      <c r="A55" s="58" t="s">
        <v>99</v>
      </c>
      <c r="B55" s="59" t="s">
        <v>264</v>
      </c>
      <c r="C55" s="60"/>
      <c r="D55" s="60"/>
      <c r="E55" s="60">
        <v>60</v>
      </c>
      <c r="F55" s="121">
        <v>70</v>
      </c>
      <c r="G55" s="60"/>
      <c r="H55" s="60"/>
    </row>
    <row r="56" spans="1:8" ht="37.5" x14ac:dyDescent="0.25">
      <c r="A56" s="58" t="s">
        <v>99</v>
      </c>
      <c r="B56" s="59" t="s">
        <v>263</v>
      </c>
      <c r="C56" s="60"/>
      <c r="D56" s="60"/>
      <c r="E56" s="60">
        <v>320</v>
      </c>
      <c r="F56" s="121">
        <v>591</v>
      </c>
      <c r="G56" s="60"/>
      <c r="H56" s="60"/>
    </row>
    <row r="57" spans="1:8" ht="37.5" hidden="1" x14ac:dyDescent="0.25">
      <c r="A57" s="58" t="s">
        <v>99</v>
      </c>
      <c r="B57" s="59" t="s">
        <v>271</v>
      </c>
      <c r="C57" s="60"/>
      <c r="D57" s="60"/>
      <c r="E57" s="60"/>
      <c r="F57" s="121"/>
      <c r="G57" s="60"/>
      <c r="H57" s="60"/>
    </row>
    <row r="58" spans="1:8" ht="37.5" x14ac:dyDescent="0.25">
      <c r="A58" s="58" t="s">
        <v>99</v>
      </c>
      <c r="B58" s="59" t="s">
        <v>1346</v>
      </c>
      <c r="C58" s="60"/>
      <c r="D58" s="60"/>
      <c r="E58" s="60">
        <v>160</v>
      </c>
      <c r="F58" s="121">
        <v>150</v>
      </c>
      <c r="G58" s="60"/>
      <c r="H58" s="60"/>
    </row>
    <row r="59" spans="1:8" hidden="1" x14ac:dyDescent="0.25">
      <c r="A59" s="58"/>
      <c r="B59" s="59"/>
      <c r="C59" s="60"/>
      <c r="D59" s="60"/>
      <c r="E59" s="60"/>
      <c r="F59" s="60"/>
      <c r="G59" s="60"/>
      <c r="H59" s="60"/>
    </row>
    <row r="60" spans="1:8" hidden="1" x14ac:dyDescent="0.25">
      <c r="A60" s="58"/>
      <c r="B60" s="59"/>
      <c r="C60" s="60"/>
      <c r="D60" s="60"/>
      <c r="E60" s="60"/>
      <c r="F60" s="60"/>
      <c r="G60" s="60"/>
      <c r="H60" s="60"/>
    </row>
    <row r="61" spans="1:8" s="50" customFormat="1" x14ac:dyDescent="0.25">
      <c r="A61" s="62">
        <v>2</v>
      </c>
      <c r="B61" s="63" t="s">
        <v>140</v>
      </c>
      <c r="C61" s="64"/>
      <c r="D61" s="64"/>
      <c r="E61" s="64">
        <f>E62</f>
        <v>306</v>
      </c>
      <c r="F61" s="64">
        <v>306</v>
      </c>
      <c r="G61" s="64">
        <f>G62</f>
        <v>306</v>
      </c>
      <c r="H61" s="64">
        <f>H62</f>
        <v>306</v>
      </c>
    </row>
    <row r="62" spans="1:8" x14ac:dyDescent="0.25">
      <c r="A62" s="58" t="s">
        <v>99</v>
      </c>
      <c r="B62" s="59" t="s">
        <v>267</v>
      </c>
      <c r="C62" s="60"/>
      <c r="D62" s="60"/>
      <c r="E62" s="60">
        <v>306</v>
      </c>
      <c r="F62" s="60">
        <v>306</v>
      </c>
      <c r="G62" s="60">
        <f>E62</f>
        <v>306</v>
      </c>
      <c r="H62" s="60">
        <f>G62</f>
        <v>306</v>
      </c>
    </row>
    <row r="63" spans="1:8" s="50" customFormat="1" x14ac:dyDescent="0.3">
      <c r="A63" s="62">
        <v>2</v>
      </c>
      <c r="B63" s="66" t="s">
        <v>83</v>
      </c>
      <c r="C63" s="64"/>
      <c r="D63" s="64"/>
      <c r="E63" s="64">
        <f>SUM(E64:E66)</f>
        <v>500</v>
      </c>
      <c r="F63" s="64">
        <v>800</v>
      </c>
      <c r="G63" s="64">
        <f>F63</f>
        <v>800</v>
      </c>
      <c r="H63" s="64">
        <f>G63</f>
        <v>800</v>
      </c>
    </row>
    <row r="64" spans="1:8" x14ac:dyDescent="0.25">
      <c r="A64" s="58" t="s">
        <v>99</v>
      </c>
      <c r="B64" s="59" t="s">
        <v>270</v>
      </c>
      <c r="C64" s="60"/>
      <c r="D64" s="60"/>
      <c r="E64" s="60">
        <v>200</v>
      </c>
      <c r="F64" s="60"/>
      <c r="G64" s="60"/>
      <c r="H64" s="60"/>
    </row>
    <row r="65" spans="1:8" ht="37.5" x14ac:dyDescent="0.25">
      <c r="A65" s="58" t="s">
        <v>99</v>
      </c>
      <c r="B65" s="59" t="s">
        <v>1343</v>
      </c>
      <c r="C65" s="60"/>
      <c r="D65" s="60"/>
      <c r="E65" s="60">
        <v>300</v>
      </c>
      <c r="F65" s="60"/>
      <c r="G65" s="60"/>
      <c r="H65" s="60"/>
    </row>
    <row r="66" spans="1:8" hidden="1" x14ac:dyDescent="0.25">
      <c r="A66" s="58"/>
      <c r="B66" s="59"/>
      <c r="C66" s="60"/>
      <c r="D66" s="60"/>
      <c r="E66" s="60"/>
      <c r="F66" s="60"/>
      <c r="G66" s="60"/>
      <c r="H66" s="60"/>
    </row>
    <row r="67" spans="1:8" hidden="1" x14ac:dyDescent="0.25">
      <c r="A67" s="58"/>
      <c r="B67" s="59"/>
      <c r="C67" s="60"/>
      <c r="D67" s="60"/>
      <c r="E67" s="60"/>
      <c r="F67" s="60"/>
      <c r="G67" s="60"/>
      <c r="H67" s="60"/>
    </row>
    <row r="68" spans="1:8" x14ac:dyDescent="0.25">
      <c r="A68" s="67"/>
      <c r="B68" s="68"/>
      <c r="C68" s="69"/>
      <c r="D68" s="69"/>
      <c r="E68" s="69"/>
      <c r="F68" s="69"/>
      <c r="G68" s="69"/>
      <c r="H68" s="69"/>
    </row>
    <row r="69" spans="1:8" ht="40.5" customHeight="1" x14ac:dyDescent="0.25">
      <c r="A69" s="70"/>
      <c r="B69" s="567" t="s">
        <v>1344</v>
      </c>
      <c r="C69" s="567"/>
      <c r="D69" s="567"/>
      <c r="E69" s="567"/>
      <c r="F69" s="567"/>
      <c r="G69" s="567"/>
      <c r="H69" s="567"/>
    </row>
    <row r="70" spans="1:8" x14ac:dyDescent="0.25">
      <c r="B70" s="7" t="s">
        <v>650</v>
      </c>
      <c r="C70" s="7"/>
      <c r="D70" s="7"/>
      <c r="E70" s="7"/>
      <c r="F70" s="7"/>
      <c r="G70" s="7"/>
      <c r="H70" s="7"/>
    </row>
    <row r="72" spans="1:8" x14ac:dyDescent="0.25">
      <c r="A72" s="568" t="s">
        <v>36</v>
      </c>
      <c r="B72" s="568"/>
      <c r="D72" s="568" t="s">
        <v>37</v>
      </c>
      <c r="E72" s="568"/>
      <c r="F72" s="568"/>
      <c r="G72" s="568"/>
      <c r="H72" s="568"/>
    </row>
  </sheetData>
  <mergeCells count="18">
    <mergeCell ref="C20:H20"/>
    <mergeCell ref="A1:H1"/>
    <mergeCell ref="B3:H3"/>
    <mergeCell ref="C6:H6"/>
    <mergeCell ref="C7:H7"/>
    <mergeCell ref="C8:H8"/>
    <mergeCell ref="C9:H9"/>
    <mergeCell ref="C10:H10"/>
    <mergeCell ref="C14:H14"/>
    <mergeCell ref="C16:H16"/>
    <mergeCell ref="C18:H18"/>
    <mergeCell ref="C19:H19"/>
    <mergeCell ref="B69:H69"/>
    <mergeCell ref="A72:B72"/>
    <mergeCell ref="D72:H72"/>
    <mergeCell ref="C21:H21"/>
    <mergeCell ref="C22:H22"/>
    <mergeCell ref="B23:H23"/>
  </mergeCells>
  <printOptions horizontalCentered="1"/>
  <pageMargins left="0.196850393700787" right="0.196850393700787" top="1" bottom="1" header="0.31496062992126" footer="0.31496062992126"/>
  <pageSetup paperSize="9" scale="91" orientation="portrait" r:id="rId1"/>
  <headerFooter>
    <oddFooter>&amp;C&amp;P/&amp;N</oddFooter>
  </headerFooter>
  <legacyDrawing r:id="rId2"/>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A1:H92"/>
  <sheetViews>
    <sheetView topLeftCell="A77" zoomScaleNormal="100" workbookViewId="0">
      <selection activeCell="B79" sqref="B79"/>
    </sheetView>
  </sheetViews>
  <sheetFormatPr defaultColWidth="9.140625" defaultRowHeight="18.75" x14ac:dyDescent="0.25"/>
  <cols>
    <col min="1" max="1" width="4.85546875" style="49" customWidth="1"/>
    <col min="2" max="2" width="44.28515625" style="49" customWidth="1"/>
    <col min="3" max="4" width="7.85546875" style="49" customWidth="1"/>
    <col min="5" max="8" width="11.7109375" style="49" customWidth="1"/>
    <col min="9" max="16384" width="9.140625" style="49"/>
  </cols>
  <sheetData>
    <row r="1" spans="1:8" ht="43.5" customHeight="1" x14ac:dyDescent="0.25">
      <c r="A1" s="569" t="s">
        <v>1074</v>
      </c>
      <c r="B1" s="570"/>
      <c r="C1" s="570"/>
      <c r="D1" s="570"/>
      <c r="E1" s="570"/>
      <c r="F1" s="570"/>
      <c r="G1" s="570"/>
      <c r="H1" s="570"/>
    </row>
    <row r="2" spans="1:8" x14ac:dyDescent="0.25">
      <c r="A2" s="50"/>
      <c r="B2" s="50"/>
      <c r="C2" s="50"/>
      <c r="D2" s="51"/>
      <c r="E2" s="51"/>
      <c r="F2" s="51"/>
      <c r="G2" s="51"/>
      <c r="H2" s="51"/>
    </row>
    <row r="3" spans="1:8" ht="41.25" customHeight="1" x14ac:dyDescent="0.25">
      <c r="B3" s="565" t="s">
        <v>1350</v>
      </c>
      <c r="C3" s="565"/>
      <c r="D3" s="565"/>
      <c r="E3" s="565"/>
      <c r="F3" s="565"/>
      <c r="G3" s="565"/>
      <c r="H3" s="565"/>
    </row>
    <row r="4" spans="1:8" x14ac:dyDescent="0.25">
      <c r="B4" s="49" t="s">
        <v>39</v>
      </c>
      <c r="D4" s="52"/>
      <c r="E4" s="52"/>
      <c r="F4" s="52"/>
      <c r="G4" s="52"/>
      <c r="H4" s="52"/>
    </row>
    <row r="5" spans="1:8" s="50" customFormat="1" x14ac:dyDescent="0.25">
      <c r="B5" s="50" t="s">
        <v>18</v>
      </c>
    </row>
    <row r="6" spans="1:8" x14ac:dyDescent="0.25">
      <c r="B6" s="49" t="s">
        <v>23</v>
      </c>
      <c r="C6" s="566" t="s">
        <v>49</v>
      </c>
      <c r="D6" s="566"/>
      <c r="E6" s="566"/>
      <c r="F6" s="566"/>
      <c r="G6" s="566"/>
      <c r="H6" s="566"/>
    </row>
    <row r="7" spans="1:8" x14ac:dyDescent="0.25">
      <c r="B7" s="49" t="s">
        <v>19</v>
      </c>
      <c r="C7" s="566" t="s">
        <v>50</v>
      </c>
      <c r="D7" s="566"/>
      <c r="E7" s="566"/>
      <c r="F7" s="566"/>
      <c r="G7" s="566"/>
      <c r="H7" s="566"/>
    </row>
    <row r="8" spans="1:8" hidden="1" x14ac:dyDescent="0.25">
      <c r="B8" s="49" t="s">
        <v>90</v>
      </c>
      <c r="C8" s="566" t="s">
        <v>60</v>
      </c>
      <c r="D8" s="566"/>
      <c r="E8" s="566"/>
      <c r="F8" s="566"/>
      <c r="G8" s="566"/>
      <c r="H8" s="566"/>
    </row>
    <row r="9" spans="1:8" x14ac:dyDescent="0.25">
      <c r="B9" s="49" t="s">
        <v>59</v>
      </c>
      <c r="C9" s="566" t="s">
        <v>60</v>
      </c>
      <c r="D9" s="566"/>
      <c r="E9" s="566"/>
      <c r="F9" s="566"/>
      <c r="G9" s="566"/>
      <c r="H9" s="566"/>
    </row>
    <row r="10" spans="1:8" hidden="1" x14ac:dyDescent="0.25">
      <c r="B10" s="49" t="s">
        <v>20</v>
      </c>
      <c r="C10" s="566" t="s">
        <v>86</v>
      </c>
      <c r="D10" s="566"/>
      <c r="E10" s="566"/>
      <c r="F10" s="566"/>
      <c r="G10" s="566"/>
      <c r="H10" s="566"/>
    </row>
    <row r="11" spans="1:8" hidden="1" x14ac:dyDescent="0.25">
      <c r="B11" s="49" t="s">
        <v>21</v>
      </c>
      <c r="C11" s="198" t="s">
        <v>87</v>
      </c>
      <c r="D11" s="198"/>
      <c r="E11" s="198"/>
      <c r="F11" s="380"/>
      <c r="G11" s="198"/>
      <c r="H11" s="198"/>
    </row>
    <row r="12" spans="1:8" x14ac:dyDescent="0.25">
      <c r="B12" s="49" t="s">
        <v>316</v>
      </c>
      <c r="C12" s="198" t="s">
        <v>88</v>
      </c>
      <c r="D12" s="198"/>
      <c r="E12" s="198"/>
      <c r="F12" s="380"/>
      <c r="G12" s="198"/>
      <c r="H12" s="198"/>
    </row>
    <row r="13" spans="1:8" x14ac:dyDescent="0.25">
      <c r="B13" s="49" t="s">
        <v>94</v>
      </c>
      <c r="C13" s="198" t="s">
        <v>95</v>
      </c>
      <c r="D13" s="198"/>
      <c r="E13" s="198"/>
      <c r="F13" s="380"/>
      <c r="G13" s="198"/>
      <c r="H13" s="198"/>
    </row>
    <row r="14" spans="1:8" x14ac:dyDescent="0.25">
      <c r="C14" s="198"/>
      <c r="D14" s="198"/>
      <c r="E14" s="198"/>
      <c r="F14" s="380"/>
      <c r="G14" s="198"/>
      <c r="H14" s="198"/>
    </row>
    <row r="15" spans="1:8" s="50" customFormat="1" x14ac:dyDescent="0.25">
      <c r="B15" s="50" t="s">
        <v>317</v>
      </c>
    </row>
    <row r="16" spans="1:8" s="50" customFormat="1" x14ac:dyDescent="0.25">
      <c r="B16" s="49" t="s">
        <v>1351</v>
      </c>
      <c r="C16" s="49" t="s">
        <v>212</v>
      </c>
    </row>
    <row r="17" spans="1:8" x14ac:dyDescent="0.25">
      <c r="B17" s="49" t="s">
        <v>451</v>
      </c>
      <c r="C17" s="566" t="s">
        <v>176</v>
      </c>
      <c r="D17" s="566"/>
      <c r="E17" s="566"/>
      <c r="F17" s="566"/>
      <c r="G17" s="566"/>
      <c r="H17" s="566"/>
    </row>
    <row r="18" spans="1:8" x14ac:dyDescent="0.25">
      <c r="B18" s="49" t="s">
        <v>327</v>
      </c>
      <c r="C18" s="198" t="s">
        <v>80</v>
      </c>
      <c r="D18" s="198"/>
      <c r="E18" s="198"/>
      <c r="F18" s="380"/>
      <c r="G18" s="198"/>
      <c r="H18" s="198"/>
    </row>
    <row r="19" spans="1:8" s="173" customFormat="1" hidden="1" x14ac:dyDescent="0.25">
      <c r="B19" s="173" t="s">
        <v>495</v>
      </c>
      <c r="C19" s="383" t="s">
        <v>494</v>
      </c>
      <c r="D19" s="383"/>
      <c r="E19" s="383"/>
      <c r="F19" s="383"/>
      <c r="G19" s="383"/>
      <c r="H19" s="383"/>
    </row>
    <row r="20" spans="1:8" s="173" customFormat="1" hidden="1" x14ac:dyDescent="0.25">
      <c r="B20" s="173" t="s">
        <v>318</v>
      </c>
      <c r="C20" s="573" t="s">
        <v>331</v>
      </c>
      <c r="D20" s="573"/>
      <c r="E20" s="573"/>
      <c r="F20" s="573"/>
      <c r="G20" s="573"/>
      <c r="H20" s="573"/>
    </row>
    <row r="21" spans="1:8" s="173" customFormat="1" hidden="1" x14ac:dyDescent="0.25">
      <c r="B21" s="173" t="s">
        <v>332</v>
      </c>
      <c r="C21" s="573" t="s">
        <v>333</v>
      </c>
      <c r="D21" s="573"/>
      <c r="E21" s="573"/>
      <c r="F21" s="573"/>
      <c r="G21" s="573"/>
      <c r="H21" s="573"/>
    </row>
    <row r="22" spans="1:8" x14ac:dyDescent="0.25">
      <c r="B22" s="49" t="s">
        <v>1354</v>
      </c>
      <c r="C22" s="566" t="s">
        <v>499</v>
      </c>
      <c r="D22" s="566"/>
      <c r="E22" s="566"/>
      <c r="F22" s="566"/>
      <c r="G22" s="566"/>
      <c r="H22" s="566"/>
    </row>
    <row r="23" spans="1:8" s="173" customFormat="1" hidden="1" x14ac:dyDescent="0.25">
      <c r="B23" s="173" t="s">
        <v>319</v>
      </c>
      <c r="C23" s="573" t="s">
        <v>334</v>
      </c>
      <c r="D23" s="573"/>
      <c r="E23" s="573"/>
      <c r="F23" s="573"/>
      <c r="G23" s="573"/>
      <c r="H23" s="573"/>
    </row>
    <row r="24" spans="1:8" x14ac:dyDescent="0.25">
      <c r="B24" s="49" t="s">
        <v>320</v>
      </c>
      <c r="C24" s="566" t="s">
        <v>108</v>
      </c>
      <c r="D24" s="566"/>
      <c r="E24" s="566"/>
      <c r="F24" s="566"/>
      <c r="G24" s="566"/>
      <c r="H24" s="566"/>
    </row>
    <row r="25" spans="1:8" x14ac:dyDescent="0.25">
      <c r="B25" s="49" t="s">
        <v>326</v>
      </c>
      <c r="C25" s="566" t="s">
        <v>108</v>
      </c>
      <c r="D25" s="566"/>
      <c r="E25" s="566"/>
      <c r="F25" s="566"/>
      <c r="G25" s="566"/>
      <c r="H25" s="566"/>
    </row>
    <row r="26" spans="1:8" x14ac:dyDescent="0.25">
      <c r="B26" s="556" t="s">
        <v>1073</v>
      </c>
      <c r="C26" s="556"/>
      <c r="D26" s="556"/>
      <c r="E26" s="556"/>
      <c r="F26" s="556"/>
      <c r="G26" s="556"/>
      <c r="H26" s="556"/>
    </row>
    <row r="27" spans="1:8" x14ac:dyDescent="0.25">
      <c r="A27" s="54"/>
      <c r="H27" s="54" t="s">
        <v>61</v>
      </c>
    </row>
    <row r="28" spans="1:8" s="381" customFormat="1" ht="75" x14ac:dyDescent="0.25">
      <c r="A28" s="382" t="s">
        <v>62</v>
      </c>
      <c r="B28" s="382" t="s">
        <v>2</v>
      </c>
      <c r="C28" s="382" t="s">
        <v>17</v>
      </c>
      <c r="D28" s="382" t="s">
        <v>464</v>
      </c>
      <c r="E28" s="382" t="s">
        <v>8</v>
      </c>
      <c r="F28" s="382" t="s">
        <v>9</v>
      </c>
      <c r="G28" s="382" t="s">
        <v>461</v>
      </c>
      <c r="H28" s="382" t="s">
        <v>1046</v>
      </c>
    </row>
    <row r="29" spans="1:8" s="50" customFormat="1" x14ac:dyDescent="0.25">
      <c r="A29" s="382"/>
      <c r="B29" s="382" t="s">
        <v>97</v>
      </c>
      <c r="C29" s="57"/>
      <c r="D29" s="57"/>
      <c r="E29" s="57">
        <f>E30+E50</f>
        <v>38409</v>
      </c>
      <c r="F29" s="57">
        <f t="shared" ref="F29:H29" si="0">F30+F50</f>
        <v>40472</v>
      </c>
      <c r="G29" s="57">
        <f t="shared" si="0"/>
        <v>34458</v>
      </c>
      <c r="H29" s="57">
        <f t="shared" si="0"/>
        <v>34709</v>
      </c>
    </row>
    <row r="30" spans="1:8" s="7" customFormat="1" x14ac:dyDescent="0.25">
      <c r="A30" s="9" t="s">
        <v>6</v>
      </c>
      <c r="B30" s="10" t="s">
        <v>498</v>
      </c>
      <c r="C30" s="20"/>
      <c r="D30" s="20"/>
      <c r="E30" s="20">
        <f>E36+E43</f>
        <v>1633</v>
      </c>
      <c r="F30" s="20">
        <f t="shared" ref="F30:H30" si="1">F36+F43</f>
        <v>2954</v>
      </c>
      <c r="G30" s="20">
        <f t="shared" si="1"/>
        <v>1372</v>
      </c>
      <c r="H30" s="20">
        <f t="shared" si="1"/>
        <v>1394</v>
      </c>
    </row>
    <row r="31" spans="1:8" s="7" customFormat="1" hidden="1" x14ac:dyDescent="0.25">
      <c r="A31" s="11"/>
      <c r="B31" s="12" t="s">
        <v>64</v>
      </c>
      <c r="C31" s="21"/>
      <c r="D31" s="21"/>
      <c r="E31" s="21"/>
      <c r="F31" s="21"/>
      <c r="G31" s="21"/>
      <c r="H31" s="21"/>
    </row>
    <row r="32" spans="1:8" s="7" customFormat="1" x14ac:dyDescent="0.25">
      <c r="A32" s="11"/>
      <c r="B32" s="12" t="s">
        <v>1362</v>
      </c>
      <c r="C32" s="21"/>
      <c r="D32" s="21"/>
      <c r="E32" s="21">
        <f>12+310</f>
        <v>322</v>
      </c>
      <c r="F32" s="21">
        <f>10+400</f>
        <v>410</v>
      </c>
      <c r="G32" s="21">
        <v>254</v>
      </c>
      <c r="H32" s="21">
        <v>254</v>
      </c>
    </row>
    <row r="33" spans="1:8" s="7" customFormat="1" hidden="1" x14ac:dyDescent="0.25">
      <c r="A33" s="11"/>
      <c r="B33" s="12" t="s">
        <v>13</v>
      </c>
      <c r="C33" s="21"/>
      <c r="D33" s="21"/>
      <c r="E33" s="21">
        <v>32</v>
      </c>
      <c r="F33" s="21">
        <v>41</v>
      </c>
      <c r="G33" s="21">
        <v>26</v>
      </c>
      <c r="H33" s="21">
        <v>26</v>
      </c>
    </row>
    <row r="34" spans="1:8" s="7" customFormat="1" hidden="1" x14ac:dyDescent="0.25">
      <c r="A34" s="11"/>
      <c r="B34" s="12" t="s">
        <v>14</v>
      </c>
      <c r="C34" s="21"/>
      <c r="D34" s="21"/>
      <c r="E34" s="21">
        <f>E31+E32-E33</f>
        <v>290</v>
      </c>
      <c r="F34" s="21">
        <f>F32-F33</f>
        <v>369</v>
      </c>
      <c r="G34" s="21">
        <f>G31+G32-G33</f>
        <v>228</v>
      </c>
      <c r="H34" s="21">
        <f>H31+H32-H33</f>
        <v>228</v>
      </c>
    </row>
    <row r="35" spans="1:8" s="7" customFormat="1" x14ac:dyDescent="0.25">
      <c r="A35" s="11"/>
      <c r="B35" s="12" t="s">
        <v>783</v>
      </c>
      <c r="C35" s="21"/>
      <c r="D35" s="21"/>
      <c r="E35" s="21">
        <v>24</v>
      </c>
      <c r="F35" s="21">
        <f>F32-330</f>
        <v>80</v>
      </c>
      <c r="G35" s="21">
        <f>E35</f>
        <v>24</v>
      </c>
      <c r="H35" s="21">
        <f>G35</f>
        <v>24</v>
      </c>
    </row>
    <row r="36" spans="1:8" s="146" customFormat="1" x14ac:dyDescent="0.25">
      <c r="A36" s="62" t="s">
        <v>51</v>
      </c>
      <c r="B36" s="63" t="s">
        <v>1106</v>
      </c>
      <c r="C36" s="22"/>
      <c r="D36" s="22"/>
      <c r="E36" s="22">
        <f>E37+E38-E39-E40</f>
        <v>772</v>
      </c>
      <c r="F36" s="22">
        <f t="shared" ref="F36:H36" si="2">F37+F38-F39-F40</f>
        <v>792</v>
      </c>
      <c r="G36" s="22">
        <f t="shared" si="2"/>
        <v>814</v>
      </c>
      <c r="H36" s="22">
        <f t="shared" si="2"/>
        <v>836</v>
      </c>
    </row>
    <row r="37" spans="1:8" ht="37.5" x14ac:dyDescent="0.25">
      <c r="A37" s="58">
        <v>1</v>
      </c>
      <c r="B37" s="59" t="s">
        <v>1361</v>
      </c>
      <c r="C37" s="60">
        <v>9</v>
      </c>
      <c r="D37" s="61">
        <v>8</v>
      </c>
      <c r="E37" s="60">
        <f>597+57+19-48</f>
        <v>625</v>
      </c>
      <c r="F37" s="60">
        <v>713</v>
      </c>
      <c r="G37" s="60">
        <f>ROUND(F37+3*7.3,0)</f>
        <v>735</v>
      </c>
      <c r="H37" s="60">
        <f>ROUND(G37+3*7.3,0)</f>
        <v>757</v>
      </c>
    </row>
    <row r="38" spans="1:8" ht="37.5" x14ac:dyDescent="0.25">
      <c r="A38" s="58">
        <v>2</v>
      </c>
      <c r="B38" s="59" t="s">
        <v>1347</v>
      </c>
      <c r="C38" s="121">
        <v>9</v>
      </c>
      <c r="D38" s="60"/>
      <c r="E38" s="60">
        <v>190</v>
      </c>
      <c r="F38" s="60">
        <f>C38*19</f>
        <v>171</v>
      </c>
      <c r="G38" s="60">
        <f>F38</f>
        <v>171</v>
      </c>
      <c r="H38" s="60">
        <f>G38</f>
        <v>171</v>
      </c>
    </row>
    <row r="39" spans="1:8" ht="37.5" x14ac:dyDescent="0.25">
      <c r="A39" s="58">
        <v>3</v>
      </c>
      <c r="B39" s="59" t="s">
        <v>1348</v>
      </c>
      <c r="C39" s="121"/>
      <c r="D39" s="60"/>
      <c r="E39" s="60">
        <v>15</v>
      </c>
      <c r="F39" s="60">
        <f>F35-F41</f>
        <v>48</v>
      </c>
      <c r="G39" s="60">
        <f>F39</f>
        <v>48</v>
      </c>
      <c r="H39" s="60">
        <f>G39</f>
        <v>48</v>
      </c>
    </row>
    <row r="40" spans="1:8" x14ac:dyDescent="0.25">
      <c r="A40" s="58">
        <v>4</v>
      </c>
      <c r="B40" s="59" t="s">
        <v>1092</v>
      </c>
      <c r="C40" s="121"/>
      <c r="D40" s="60"/>
      <c r="E40" s="60">
        <f>SUM(E41:E42)</f>
        <v>28</v>
      </c>
      <c r="F40" s="60">
        <f t="shared" ref="F40:H40" si="3">SUM(F41:F42)</f>
        <v>44</v>
      </c>
      <c r="G40" s="60">
        <f t="shared" si="3"/>
        <v>44</v>
      </c>
      <c r="H40" s="60">
        <f t="shared" si="3"/>
        <v>44</v>
      </c>
    </row>
    <row r="41" spans="1:8" x14ac:dyDescent="0.25">
      <c r="A41" s="58"/>
      <c r="B41" s="59" t="s">
        <v>968</v>
      </c>
      <c r="C41" s="60"/>
      <c r="D41" s="60"/>
      <c r="E41" s="121">
        <v>9</v>
      </c>
      <c r="F41" s="121">
        <v>32</v>
      </c>
      <c r="G41" s="60">
        <f>F41</f>
        <v>32</v>
      </c>
      <c r="H41" s="60">
        <f>G41</f>
        <v>32</v>
      </c>
    </row>
    <row r="42" spans="1:8" ht="37.5" x14ac:dyDescent="0.25">
      <c r="A42" s="58"/>
      <c r="B42" s="59" t="s">
        <v>1296</v>
      </c>
      <c r="C42" s="60"/>
      <c r="D42" s="60"/>
      <c r="E42" s="60">
        <v>19</v>
      </c>
      <c r="F42" s="60">
        <v>12</v>
      </c>
      <c r="G42" s="60">
        <f>F42</f>
        <v>12</v>
      </c>
      <c r="H42" s="60">
        <f>G42</f>
        <v>12</v>
      </c>
    </row>
    <row r="43" spans="1:8" s="50" customFormat="1" x14ac:dyDescent="0.25">
      <c r="A43" s="62" t="s">
        <v>52</v>
      </c>
      <c r="B43" s="63" t="s">
        <v>11</v>
      </c>
      <c r="C43" s="64"/>
      <c r="D43" s="64"/>
      <c r="E43" s="64">
        <f>SUM(E44:E49)</f>
        <v>861</v>
      </c>
      <c r="F43" s="64">
        <f t="shared" ref="F43:H43" si="4">SUM(F44:F49)</f>
        <v>2162</v>
      </c>
      <c r="G43" s="64">
        <f t="shared" si="4"/>
        <v>558</v>
      </c>
      <c r="H43" s="64">
        <f t="shared" si="4"/>
        <v>558</v>
      </c>
    </row>
    <row r="44" spans="1:8" ht="56.25" x14ac:dyDescent="0.25">
      <c r="A44" s="58" t="s">
        <v>99</v>
      </c>
      <c r="B44" s="59" t="s">
        <v>651</v>
      </c>
      <c r="C44" s="60"/>
      <c r="D44" s="60"/>
      <c r="E44" s="60">
        <v>148</v>
      </c>
      <c r="F44" s="60">
        <f>E44</f>
        <v>148</v>
      </c>
      <c r="G44" s="60">
        <f>F44</f>
        <v>148</v>
      </c>
      <c r="H44" s="60">
        <f>G44</f>
        <v>148</v>
      </c>
    </row>
    <row r="45" spans="1:8" x14ac:dyDescent="0.25">
      <c r="A45" s="58" t="s">
        <v>99</v>
      </c>
      <c r="B45" s="59" t="s">
        <v>322</v>
      </c>
      <c r="C45" s="60"/>
      <c r="D45" s="60"/>
      <c r="E45" s="60">
        <v>325</v>
      </c>
      <c r="F45" s="60">
        <v>350</v>
      </c>
      <c r="G45" s="60">
        <f>F45</f>
        <v>350</v>
      </c>
      <c r="H45" s="60">
        <f>G45</f>
        <v>350</v>
      </c>
    </row>
    <row r="46" spans="1:8" x14ac:dyDescent="0.25">
      <c r="A46" s="58" t="s">
        <v>99</v>
      </c>
      <c r="B46" s="59" t="s">
        <v>321</v>
      </c>
      <c r="C46" s="60"/>
      <c r="D46" s="60"/>
      <c r="E46" s="60">
        <v>60</v>
      </c>
      <c r="F46" s="60">
        <v>50</v>
      </c>
      <c r="G46" s="60">
        <f>E46</f>
        <v>60</v>
      </c>
      <c r="H46" s="60">
        <f>G46</f>
        <v>60</v>
      </c>
    </row>
    <row r="47" spans="1:8" ht="37.5" x14ac:dyDescent="0.25">
      <c r="A47" s="58" t="s">
        <v>99</v>
      </c>
      <c r="B47" s="59" t="s">
        <v>500</v>
      </c>
      <c r="C47" s="60"/>
      <c r="D47" s="60"/>
      <c r="E47" s="60">
        <f>7*25+16*3+7*15</f>
        <v>328</v>
      </c>
      <c r="F47" s="60"/>
      <c r="G47" s="60"/>
      <c r="H47" s="60"/>
    </row>
    <row r="48" spans="1:8" ht="75" x14ac:dyDescent="0.25">
      <c r="A48" s="58" t="s">
        <v>99</v>
      </c>
      <c r="B48" s="59" t="s">
        <v>1360</v>
      </c>
      <c r="C48" s="60"/>
      <c r="D48" s="60"/>
      <c r="E48" s="60"/>
      <c r="F48" s="60">
        <f>706+500</f>
        <v>1206</v>
      </c>
      <c r="G48" s="60"/>
      <c r="H48" s="60"/>
    </row>
    <row r="49" spans="1:8" ht="93.75" x14ac:dyDescent="0.25">
      <c r="A49" s="58" t="s">
        <v>99</v>
      </c>
      <c r="B49" s="59" t="s">
        <v>1359</v>
      </c>
      <c r="C49" s="60"/>
      <c r="D49" s="60"/>
      <c r="E49" s="60"/>
      <c r="F49" s="60">
        <f>196+25+30+32+100+25</f>
        <v>408</v>
      </c>
      <c r="G49" s="60"/>
      <c r="H49" s="60"/>
    </row>
    <row r="50" spans="1:8" s="50" customFormat="1" x14ac:dyDescent="0.25">
      <c r="A50" s="62" t="s">
        <v>7</v>
      </c>
      <c r="B50" s="14" t="s">
        <v>179</v>
      </c>
      <c r="C50" s="64"/>
      <c r="D50" s="64"/>
      <c r="E50" s="64">
        <f>E51+E58</f>
        <v>36776</v>
      </c>
      <c r="F50" s="64">
        <f t="shared" ref="F50:H50" si="5">F51+F58</f>
        <v>37518</v>
      </c>
      <c r="G50" s="64">
        <f t="shared" si="5"/>
        <v>33086</v>
      </c>
      <c r="H50" s="64">
        <f t="shared" si="5"/>
        <v>33315</v>
      </c>
    </row>
    <row r="51" spans="1:8" s="50" customFormat="1" x14ac:dyDescent="0.25">
      <c r="A51" s="62" t="s">
        <v>51</v>
      </c>
      <c r="B51" s="63" t="s">
        <v>1078</v>
      </c>
      <c r="C51" s="64"/>
      <c r="D51" s="64"/>
      <c r="E51" s="64">
        <f>E52+E56-E57</f>
        <v>7696</v>
      </c>
      <c r="F51" s="64">
        <f t="shared" ref="F51:H51" si="6">F52+F56-F57</f>
        <v>8200</v>
      </c>
      <c r="G51" s="64">
        <f t="shared" si="6"/>
        <v>8469</v>
      </c>
      <c r="H51" s="64">
        <f t="shared" si="6"/>
        <v>8698</v>
      </c>
    </row>
    <row r="52" spans="1:8" ht="56.25" x14ac:dyDescent="0.25">
      <c r="A52" s="58">
        <v>1</v>
      </c>
      <c r="B52" s="59" t="s">
        <v>1341</v>
      </c>
      <c r="C52" s="60"/>
      <c r="D52" s="60"/>
      <c r="E52" s="60">
        <f>SUM(E53:E55)</f>
        <v>6526</v>
      </c>
      <c r="F52" s="60">
        <f>SUM(F53:F55)</f>
        <v>7066</v>
      </c>
      <c r="G52" s="60">
        <f t="shared" ref="G52:H52" si="7">SUM(G53:G55)</f>
        <v>7295</v>
      </c>
      <c r="H52" s="60">
        <f t="shared" si="7"/>
        <v>7524</v>
      </c>
    </row>
    <row r="53" spans="1:8" x14ac:dyDescent="0.25">
      <c r="A53" s="58"/>
      <c r="B53" s="59" t="s">
        <v>1363</v>
      </c>
      <c r="C53" s="60">
        <v>63</v>
      </c>
      <c r="D53" s="61">
        <v>60</v>
      </c>
      <c r="E53" s="60">
        <v>5890</v>
      </c>
      <c r="F53" s="60">
        <f>6019+218</f>
        <v>6237</v>
      </c>
      <c r="G53" s="60">
        <f>ROUND(F53+21*8.8,0)</f>
        <v>6422</v>
      </c>
      <c r="H53" s="60">
        <f>ROUND(G53+21*8.8,0)</f>
        <v>6607</v>
      </c>
    </row>
    <row r="54" spans="1:8" x14ac:dyDescent="0.25">
      <c r="A54" s="58"/>
      <c r="B54" s="59" t="s">
        <v>1364</v>
      </c>
      <c r="C54" s="60"/>
      <c r="D54" s="61"/>
      <c r="E54" s="60"/>
      <c r="F54" s="60">
        <v>135</v>
      </c>
      <c r="G54" s="60">
        <f>F54</f>
        <v>135</v>
      </c>
      <c r="H54" s="60">
        <f>G54</f>
        <v>135</v>
      </c>
    </row>
    <row r="55" spans="1:8" ht="37.5" x14ac:dyDescent="0.25">
      <c r="A55" s="58"/>
      <c r="B55" s="59" t="s">
        <v>1349</v>
      </c>
      <c r="C55" s="60">
        <v>17</v>
      </c>
      <c r="D55" s="60">
        <v>11</v>
      </c>
      <c r="E55" s="60">
        <v>636</v>
      </c>
      <c r="F55" s="60">
        <f>481+213</f>
        <v>694</v>
      </c>
      <c r="G55" s="60">
        <f>ROUND(F55+5*8.8,0)</f>
        <v>738</v>
      </c>
      <c r="H55" s="60">
        <f>ROUND(G55+5*8.8,0)</f>
        <v>782</v>
      </c>
    </row>
    <row r="56" spans="1:8" ht="37.5" x14ac:dyDescent="0.25">
      <c r="A56" s="58">
        <v>2</v>
      </c>
      <c r="B56" s="59" t="s">
        <v>846</v>
      </c>
      <c r="C56" s="60">
        <v>63</v>
      </c>
      <c r="D56" s="60"/>
      <c r="E56" s="60">
        <v>1300</v>
      </c>
      <c r="F56" s="60">
        <f>C56*20</f>
        <v>1260</v>
      </c>
      <c r="G56" s="60">
        <f>E56</f>
        <v>1300</v>
      </c>
      <c r="H56" s="60">
        <f>G56</f>
        <v>1300</v>
      </c>
    </row>
    <row r="57" spans="1:8" ht="37.5" x14ac:dyDescent="0.25">
      <c r="A57" s="58">
        <v>3</v>
      </c>
      <c r="B57" s="59" t="s">
        <v>103</v>
      </c>
      <c r="C57" s="60"/>
      <c r="D57" s="60"/>
      <c r="E57" s="60">
        <v>130</v>
      </c>
      <c r="F57" s="60">
        <v>126</v>
      </c>
      <c r="G57" s="60">
        <f>F57</f>
        <v>126</v>
      </c>
      <c r="H57" s="60">
        <f>G57</f>
        <v>126</v>
      </c>
    </row>
    <row r="58" spans="1:8" s="50" customFormat="1" x14ac:dyDescent="0.25">
      <c r="A58" s="62" t="s">
        <v>52</v>
      </c>
      <c r="B58" s="63" t="s">
        <v>11</v>
      </c>
      <c r="C58" s="64"/>
      <c r="D58" s="64"/>
      <c r="E58" s="64">
        <f>E59+E79+E85</f>
        <v>29080</v>
      </c>
      <c r="F58" s="64">
        <f>F59+F79+F85</f>
        <v>29318</v>
      </c>
      <c r="G58" s="64">
        <f>G59+G79+G85</f>
        <v>24617</v>
      </c>
      <c r="H58" s="64">
        <f>H59+H79+H85</f>
        <v>24617</v>
      </c>
    </row>
    <row r="59" spans="1:8" s="50" customFormat="1" x14ac:dyDescent="0.25">
      <c r="A59" s="62">
        <v>1</v>
      </c>
      <c r="B59" s="63" t="s">
        <v>81</v>
      </c>
      <c r="C59" s="64"/>
      <c r="D59" s="64"/>
      <c r="E59" s="64">
        <f>SUM(E60:E78)</f>
        <v>20530</v>
      </c>
      <c r="F59" s="64">
        <f>SUM(F60:F78)</f>
        <v>20583</v>
      </c>
      <c r="G59" s="64">
        <f t="shared" ref="G59:H59" si="8">SUM(G60:G78)</f>
        <v>18782</v>
      </c>
      <c r="H59" s="64">
        <f t="shared" si="8"/>
        <v>18782</v>
      </c>
    </row>
    <row r="60" spans="1:8" x14ac:dyDescent="0.25">
      <c r="A60" s="58" t="s">
        <v>99</v>
      </c>
      <c r="B60" s="59" t="s">
        <v>1352</v>
      </c>
      <c r="C60" s="60"/>
      <c r="D60" s="60"/>
      <c r="E60" s="60">
        <v>30</v>
      </c>
      <c r="F60" s="60">
        <v>50</v>
      </c>
      <c r="G60" s="60">
        <f>E60</f>
        <v>30</v>
      </c>
      <c r="H60" s="60">
        <f>G60</f>
        <v>30</v>
      </c>
    </row>
    <row r="61" spans="1:8" x14ac:dyDescent="0.25">
      <c r="A61" s="58" t="s">
        <v>99</v>
      </c>
      <c r="B61" s="59" t="s">
        <v>482</v>
      </c>
      <c r="C61" s="60"/>
      <c r="D61" s="60"/>
      <c r="E61" s="60">
        <v>15</v>
      </c>
      <c r="F61" s="60">
        <f>E61</f>
        <v>15</v>
      </c>
      <c r="G61" s="60">
        <f>E61</f>
        <v>15</v>
      </c>
      <c r="H61" s="60">
        <f>G61</f>
        <v>15</v>
      </c>
    </row>
    <row r="62" spans="1:8" ht="37.5" x14ac:dyDescent="0.25">
      <c r="A62" s="58" t="s">
        <v>99</v>
      </c>
      <c r="B62" s="59" t="s">
        <v>323</v>
      </c>
      <c r="C62" s="60"/>
      <c r="D62" s="60"/>
      <c r="E62" s="60"/>
      <c r="F62" s="60">
        <v>100</v>
      </c>
      <c r="G62" s="60"/>
      <c r="H62" s="60"/>
    </row>
    <row r="63" spans="1:8" ht="75" x14ac:dyDescent="0.25">
      <c r="A63" s="58" t="s">
        <v>99</v>
      </c>
      <c r="B63" s="59" t="s">
        <v>1356</v>
      </c>
      <c r="C63" s="60"/>
      <c r="D63" s="60"/>
      <c r="E63" s="60">
        <v>350</v>
      </c>
      <c r="F63" s="60">
        <v>500</v>
      </c>
      <c r="G63" s="60">
        <f>F63</f>
        <v>500</v>
      </c>
      <c r="H63" s="60">
        <f t="shared" ref="H63:H67" si="9">G63</f>
        <v>500</v>
      </c>
    </row>
    <row r="64" spans="1:8" x14ac:dyDescent="0.25">
      <c r="A64" s="58" t="s">
        <v>99</v>
      </c>
      <c r="B64" s="59" t="s">
        <v>183</v>
      </c>
      <c r="C64" s="60"/>
      <c r="D64" s="60"/>
      <c r="E64" s="60">
        <v>41</v>
      </c>
      <c r="F64" s="60">
        <v>13</v>
      </c>
      <c r="G64" s="60">
        <f>E64</f>
        <v>41</v>
      </c>
      <c r="H64" s="60">
        <f t="shared" si="9"/>
        <v>41</v>
      </c>
    </row>
    <row r="65" spans="1:8" ht="56.25" x14ac:dyDescent="0.25">
      <c r="A65" s="58" t="s">
        <v>99</v>
      </c>
      <c r="B65" s="59" t="s">
        <v>324</v>
      </c>
      <c r="C65" s="60"/>
      <c r="D65" s="60"/>
      <c r="E65" s="60">
        <v>16</v>
      </c>
      <c r="F65" s="60">
        <f>E65</f>
        <v>16</v>
      </c>
      <c r="G65" s="60">
        <f>E65</f>
        <v>16</v>
      </c>
      <c r="H65" s="60">
        <f t="shared" si="9"/>
        <v>16</v>
      </c>
    </row>
    <row r="66" spans="1:8" ht="56.25" x14ac:dyDescent="0.25">
      <c r="A66" s="58" t="s">
        <v>99</v>
      </c>
      <c r="B66" s="59" t="s">
        <v>503</v>
      </c>
      <c r="C66" s="60"/>
      <c r="D66" s="60"/>
      <c r="E66" s="60">
        <v>600</v>
      </c>
      <c r="F66" s="60">
        <f>E66</f>
        <v>600</v>
      </c>
      <c r="G66" s="60">
        <f>E66</f>
        <v>600</v>
      </c>
      <c r="H66" s="60">
        <f t="shared" si="9"/>
        <v>600</v>
      </c>
    </row>
    <row r="67" spans="1:8" x14ac:dyDescent="0.25">
      <c r="A67" s="58" t="s">
        <v>99</v>
      </c>
      <c r="B67" s="59" t="s">
        <v>329</v>
      </c>
      <c r="C67" s="60"/>
      <c r="D67" s="60"/>
      <c r="E67" s="60">
        <v>50</v>
      </c>
      <c r="F67" s="60">
        <f>E67</f>
        <v>50</v>
      </c>
      <c r="G67" s="60">
        <f>E67</f>
        <v>50</v>
      </c>
      <c r="H67" s="60">
        <f t="shared" si="9"/>
        <v>50</v>
      </c>
    </row>
    <row r="68" spans="1:8" x14ac:dyDescent="0.25">
      <c r="A68" s="58" t="s">
        <v>99</v>
      </c>
      <c r="B68" s="59" t="s">
        <v>184</v>
      </c>
      <c r="C68" s="60"/>
      <c r="D68" s="60"/>
      <c r="E68" s="60">
        <v>100</v>
      </c>
      <c r="F68" s="60">
        <f>E68</f>
        <v>100</v>
      </c>
      <c r="G68" s="60"/>
      <c r="H68" s="60"/>
    </row>
    <row r="69" spans="1:8" x14ac:dyDescent="0.25">
      <c r="A69" s="58" t="s">
        <v>99</v>
      </c>
      <c r="B69" s="59" t="s">
        <v>1862</v>
      </c>
      <c r="C69" s="60"/>
      <c r="D69" s="60"/>
      <c r="E69" s="60">
        <v>110</v>
      </c>
      <c r="F69" s="60"/>
      <c r="G69" s="60"/>
      <c r="H69" s="60"/>
    </row>
    <row r="70" spans="1:8" x14ac:dyDescent="0.25">
      <c r="A70" s="58" t="s">
        <v>99</v>
      </c>
      <c r="B70" s="59" t="s">
        <v>325</v>
      </c>
      <c r="C70" s="60"/>
      <c r="D70" s="60"/>
      <c r="E70" s="60">
        <v>1500</v>
      </c>
      <c r="F70" s="60">
        <f>E70</f>
        <v>1500</v>
      </c>
      <c r="G70" s="60">
        <f>E70</f>
        <v>1500</v>
      </c>
      <c r="H70" s="60">
        <f>G70</f>
        <v>1500</v>
      </c>
    </row>
    <row r="71" spans="1:8" ht="37.5" x14ac:dyDescent="0.25">
      <c r="A71" s="58" t="s">
        <v>99</v>
      </c>
      <c r="B71" s="59" t="s">
        <v>1357</v>
      </c>
      <c r="C71" s="60"/>
      <c r="D71" s="60"/>
      <c r="E71" s="60">
        <f>16000</f>
        <v>16000</v>
      </c>
      <c r="F71" s="60">
        <f>E71</f>
        <v>16000</v>
      </c>
      <c r="G71" s="60">
        <f>E71</f>
        <v>16000</v>
      </c>
      <c r="H71" s="60">
        <f>G71</f>
        <v>16000</v>
      </c>
    </row>
    <row r="72" spans="1:8" x14ac:dyDescent="0.25">
      <c r="A72" s="58" t="s">
        <v>99</v>
      </c>
      <c r="B72" s="59" t="s">
        <v>504</v>
      </c>
      <c r="C72" s="60"/>
      <c r="D72" s="60"/>
      <c r="E72" s="60">
        <v>203</v>
      </c>
      <c r="F72" s="60"/>
      <c r="G72" s="60"/>
      <c r="H72" s="60"/>
    </row>
    <row r="73" spans="1:8" x14ac:dyDescent="0.25">
      <c r="A73" s="58" t="s">
        <v>99</v>
      </c>
      <c r="B73" s="59" t="s">
        <v>507</v>
      </c>
      <c r="C73" s="60"/>
      <c r="D73" s="60"/>
      <c r="E73" s="60">
        <v>15</v>
      </c>
      <c r="F73" s="60">
        <v>30</v>
      </c>
      <c r="G73" s="60">
        <f>F73</f>
        <v>30</v>
      </c>
      <c r="H73" s="60">
        <f>G73</f>
        <v>30</v>
      </c>
    </row>
    <row r="74" spans="1:8" ht="37.5" x14ac:dyDescent="0.25">
      <c r="A74" s="58" t="s">
        <v>99</v>
      </c>
      <c r="B74" s="59" t="s">
        <v>1353</v>
      </c>
      <c r="C74" s="60"/>
      <c r="D74" s="60"/>
      <c r="E74" s="60"/>
      <c r="F74" s="60">
        <v>100</v>
      </c>
      <c r="G74" s="60"/>
      <c r="H74" s="60"/>
    </row>
    <row r="75" spans="1:8" ht="93.75" x14ac:dyDescent="0.25">
      <c r="A75" s="58" t="s">
        <v>99</v>
      </c>
      <c r="B75" s="59" t="s">
        <v>1355</v>
      </c>
      <c r="C75" s="60"/>
      <c r="D75" s="60"/>
      <c r="E75" s="60"/>
      <c r="F75" s="60">
        <v>999</v>
      </c>
      <c r="G75" s="60"/>
      <c r="H75" s="60"/>
    </row>
    <row r="76" spans="1:8" ht="112.5" x14ac:dyDescent="0.25">
      <c r="A76" s="58" t="s">
        <v>99</v>
      </c>
      <c r="B76" s="59" t="s">
        <v>509</v>
      </c>
      <c r="C76" s="60"/>
      <c r="D76" s="60"/>
      <c r="E76" s="60">
        <v>600</v>
      </c>
      <c r="F76" s="60"/>
      <c r="G76" s="60"/>
      <c r="H76" s="60"/>
    </row>
    <row r="77" spans="1:8" ht="93.75" x14ac:dyDescent="0.25">
      <c r="A77" s="58" t="s">
        <v>99</v>
      </c>
      <c r="B77" s="261" t="s">
        <v>1883</v>
      </c>
      <c r="C77" s="60"/>
      <c r="D77" s="60"/>
      <c r="E77" s="60"/>
      <c r="F77" s="60">
        <f>180+140+35+30+25+50+50</f>
        <v>510</v>
      </c>
      <c r="G77" s="60"/>
      <c r="H77" s="60"/>
    </row>
    <row r="78" spans="1:8" ht="56.25" x14ac:dyDescent="0.25">
      <c r="A78" s="58" t="s">
        <v>99</v>
      </c>
      <c r="B78" s="59" t="s">
        <v>712</v>
      </c>
      <c r="C78" s="60"/>
      <c r="D78" s="60"/>
      <c r="E78" s="60">
        <v>900</v>
      </c>
      <c r="F78" s="60"/>
      <c r="G78" s="60"/>
      <c r="H78" s="60"/>
    </row>
    <row r="79" spans="1:8" s="50" customFormat="1" x14ac:dyDescent="0.3">
      <c r="A79" s="62">
        <v>2</v>
      </c>
      <c r="B79" s="66" t="s">
        <v>83</v>
      </c>
      <c r="C79" s="64"/>
      <c r="D79" s="64"/>
      <c r="E79" s="64">
        <f>SUM(E80:E84)</f>
        <v>5750</v>
      </c>
      <c r="F79" s="64">
        <f>SUM(F80:F84)</f>
        <v>5835</v>
      </c>
      <c r="G79" s="64">
        <f t="shared" ref="G79" si="10">SUM(G80:G84)</f>
        <v>5835</v>
      </c>
      <c r="H79" s="64">
        <f>SUM(H80:H84)</f>
        <v>5835</v>
      </c>
    </row>
    <row r="80" spans="1:8" ht="37.5" x14ac:dyDescent="0.25">
      <c r="A80" s="58" t="s">
        <v>99</v>
      </c>
      <c r="B80" s="59" t="s">
        <v>505</v>
      </c>
      <c r="C80" s="60"/>
      <c r="D80" s="60"/>
      <c r="E80" s="60">
        <v>150</v>
      </c>
      <c r="F80" s="60">
        <v>150</v>
      </c>
      <c r="G80" s="60">
        <f>E80</f>
        <v>150</v>
      </c>
      <c r="H80" s="60">
        <f t="shared" ref="H80:H84" si="11">G80</f>
        <v>150</v>
      </c>
    </row>
    <row r="81" spans="1:8" ht="56.25" x14ac:dyDescent="0.25">
      <c r="A81" s="58" t="s">
        <v>99</v>
      </c>
      <c r="B81" s="59" t="s">
        <v>506</v>
      </c>
      <c r="C81" s="60"/>
      <c r="D81" s="60"/>
      <c r="E81" s="60">
        <v>300</v>
      </c>
      <c r="F81" s="60">
        <v>385</v>
      </c>
      <c r="G81" s="60">
        <f>F81</f>
        <v>385</v>
      </c>
      <c r="H81" s="60">
        <f t="shared" si="11"/>
        <v>385</v>
      </c>
    </row>
    <row r="82" spans="1:8" ht="75" x14ac:dyDescent="0.25">
      <c r="A82" s="58" t="s">
        <v>99</v>
      </c>
      <c r="B82" s="59" t="s">
        <v>1358</v>
      </c>
      <c r="C82" s="60"/>
      <c r="D82" s="60"/>
      <c r="E82" s="60">
        <v>2300</v>
      </c>
      <c r="F82" s="60">
        <f>E82</f>
        <v>2300</v>
      </c>
      <c r="G82" s="60">
        <f>E82</f>
        <v>2300</v>
      </c>
      <c r="H82" s="60">
        <f t="shared" si="11"/>
        <v>2300</v>
      </c>
    </row>
    <row r="83" spans="1:8" ht="37.5" x14ac:dyDescent="0.25">
      <c r="A83" s="58" t="s">
        <v>99</v>
      </c>
      <c r="B83" s="59" t="s">
        <v>330</v>
      </c>
      <c r="C83" s="60"/>
      <c r="D83" s="60"/>
      <c r="E83" s="60">
        <v>500</v>
      </c>
      <c r="F83" s="60">
        <f>E83</f>
        <v>500</v>
      </c>
      <c r="G83" s="60">
        <f>E83</f>
        <v>500</v>
      </c>
      <c r="H83" s="60">
        <f t="shared" si="11"/>
        <v>500</v>
      </c>
    </row>
    <row r="84" spans="1:8" x14ac:dyDescent="0.25">
      <c r="A84" s="58" t="s">
        <v>99</v>
      </c>
      <c r="B84" s="59" t="s">
        <v>328</v>
      </c>
      <c r="C84" s="60"/>
      <c r="D84" s="60"/>
      <c r="E84" s="60">
        <v>2500</v>
      </c>
      <c r="F84" s="60">
        <f>E84</f>
        <v>2500</v>
      </c>
      <c r="G84" s="60">
        <f>E84</f>
        <v>2500</v>
      </c>
      <c r="H84" s="60">
        <f t="shared" si="11"/>
        <v>2500</v>
      </c>
    </row>
    <row r="85" spans="1:8" s="50" customFormat="1" x14ac:dyDescent="0.25">
      <c r="A85" s="62">
        <v>3</v>
      </c>
      <c r="B85" s="63" t="s">
        <v>82</v>
      </c>
      <c r="C85" s="64"/>
      <c r="D85" s="64"/>
      <c r="E85" s="64">
        <f>E86</f>
        <v>2800</v>
      </c>
      <c r="F85" s="64">
        <f t="shared" ref="F85:H85" si="12">F86</f>
        <v>2900</v>
      </c>
      <c r="G85" s="64">
        <f t="shared" si="12"/>
        <v>0</v>
      </c>
      <c r="H85" s="64">
        <f t="shared" si="12"/>
        <v>0</v>
      </c>
    </row>
    <row r="86" spans="1:8" x14ac:dyDescent="0.25">
      <c r="A86" s="58" t="s">
        <v>99</v>
      </c>
      <c r="B86" s="59" t="s">
        <v>118</v>
      </c>
      <c r="C86" s="60"/>
      <c r="D86" s="60"/>
      <c r="E86" s="60">
        <v>2800</v>
      </c>
      <c r="F86" s="60">
        <v>2900</v>
      </c>
      <c r="G86" s="60"/>
      <c r="H86" s="60"/>
    </row>
    <row r="87" spans="1:8" x14ac:dyDescent="0.25">
      <c r="A87" s="67"/>
      <c r="B87" s="68"/>
      <c r="C87" s="69"/>
      <c r="D87" s="69"/>
      <c r="E87" s="69"/>
      <c r="F87" s="69"/>
      <c r="G87" s="69"/>
      <c r="H87" s="69"/>
    </row>
    <row r="88" spans="1:8" x14ac:dyDescent="0.25">
      <c r="A88" s="166"/>
      <c r="B88" s="164"/>
      <c r="C88" s="165"/>
      <c r="D88" s="165"/>
      <c r="E88" s="165"/>
      <c r="F88" s="165"/>
      <c r="G88" s="165"/>
      <c r="H88" s="165"/>
    </row>
    <row r="89" spans="1:8" ht="40.5" customHeight="1" x14ac:dyDescent="0.25">
      <c r="A89" s="70"/>
      <c r="B89" s="571" t="s">
        <v>1882</v>
      </c>
      <c r="C89" s="571"/>
      <c r="D89" s="571"/>
      <c r="E89" s="571"/>
      <c r="F89" s="571"/>
      <c r="G89" s="571"/>
      <c r="H89" s="571"/>
    </row>
    <row r="90" spans="1:8" x14ac:dyDescent="0.25">
      <c r="B90" s="7" t="s">
        <v>878</v>
      </c>
      <c r="C90" s="7"/>
      <c r="D90" s="7"/>
      <c r="E90" s="7"/>
      <c r="F90" s="7"/>
      <c r="G90" s="7"/>
      <c r="H90" s="7"/>
    </row>
    <row r="92" spans="1:8" x14ac:dyDescent="0.25">
      <c r="A92" s="568" t="s">
        <v>36</v>
      </c>
      <c r="B92" s="568"/>
      <c r="D92" s="568" t="s">
        <v>37</v>
      </c>
      <c r="E92" s="568"/>
      <c r="F92" s="568"/>
      <c r="G92" s="568"/>
      <c r="H92" s="568"/>
    </row>
  </sheetData>
  <mergeCells count="18">
    <mergeCell ref="C22:H22"/>
    <mergeCell ref="A1:H1"/>
    <mergeCell ref="B3:H3"/>
    <mergeCell ref="C6:H6"/>
    <mergeCell ref="C7:H7"/>
    <mergeCell ref="C8:H8"/>
    <mergeCell ref="C9:H9"/>
    <mergeCell ref="C10:H10"/>
    <mergeCell ref="C17:H17"/>
    <mergeCell ref="C20:H20"/>
    <mergeCell ref="C21:H21"/>
    <mergeCell ref="B89:H89"/>
    <mergeCell ref="A92:B92"/>
    <mergeCell ref="D92:H92"/>
    <mergeCell ref="C23:H23"/>
    <mergeCell ref="C24:H24"/>
    <mergeCell ref="C25:H25"/>
    <mergeCell ref="B26:H26"/>
  </mergeCells>
  <printOptions horizontalCentered="1"/>
  <pageMargins left="0.196850393700787" right="0.196850393700787" top="0.75" bottom="1" header="0.31496062992126" footer="0.31496062992126"/>
  <pageSetup paperSize="9" scale="88" orientation="portrait" r:id="rId1"/>
  <headerFooter>
    <oddFooter>&amp;C&amp;P/&amp;N</oddFooter>
  </headerFooter>
  <legacyDrawing r:id="rId2"/>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A1:H64"/>
  <sheetViews>
    <sheetView topLeftCell="A38" zoomScaleNormal="100" workbookViewId="0">
      <selection activeCell="B42" sqref="B42"/>
    </sheetView>
  </sheetViews>
  <sheetFormatPr defaultColWidth="9.140625" defaultRowHeight="18.75" x14ac:dyDescent="0.25"/>
  <cols>
    <col min="1" max="1" width="4.85546875" style="7" customWidth="1"/>
    <col min="2" max="2" width="43.28515625" style="7" customWidth="1"/>
    <col min="3" max="4" width="7.85546875" style="7" customWidth="1"/>
    <col min="5" max="8" width="11.7109375" style="7" customWidth="1"/>
    <col min="9" max="16384" width="9.140625" style="7"/>
  </cols>
  <sheetData>
    <row r="1" spans="1:8" ht="41.25" customHeight="1" x14ac:dyDescent="0.25">
      <c r="A1" s="549" t="s">
        <v>1074</v>
      </c>
      <c r="B1" s="555"/>
      <c r="C1" s="555"/>
      <c r="D1" s="555"/>
      <c r="E1" s="555"/>
      <c r="F1" s="555"/>
      <c r="G1" s="555"/>
      <c r="H1" s="555"/>
    </row>
    <row r="2" spans="1:8" ht="14.25" customHeight="1" x14ac:dyDescent="0.25">
      <c r="A2" s="146"/>
      <c r="B2" s="146"/>
      <c r="C2" s="146"/>
      <c r="D2" s="1"/>
      <c r="E2" s="1"/>
      <c r="F2" s="1"/>
      <c r="G2" s="1"/>
      <c r="H2" s="1"/>
    </row>
    <row r="3" spans="1:8" ht="40.5" customHeight="1" x14ac:dyDescent="0.25">
      <c r="B3" s="565" t="s">
        <v>1365</v>
      </c>
      <c r="C3" s="565"/>
      <c r="D3" s="565"/>
      <c r="E3" s="565"/>
      <c r="F3" s="565"/>
      <c r="G3" s="565"/>
      <c r="H3" s="565"/>
    </row>
    <row r="4" spans="1:8" x14ac:dyDescent="0.25">
      <c r="B4" s="7" t="s">
        <v>39</v>
      </c>
      <c r="D4" s="8"/>
      <c r="E4" s="8"/>
      <c r="F4" s="8"/>
      <c r="G4" s="8"/>
      <c r="H4" s="8"/>
    </row>
    <row r="5" spans="1:8" s="146" customFormat="1" x14ac:dyDescent="0.25">
      <c r="B5" s="3" t="s">
        <v>18</v>
      </c>
    </row>
    <row r="6" spans="1:8" x14ac:dyDescent="0.25">
      <c r="B6" s="2" t="s">
        <v>414</v>
      </c>
      <c r="C6" s="558" t="s">
        <v>49</v>
      </c>
      <c r="D6" s="558"/>
      <c r="E6" s="558"/>
      <c r="F6" s="558"/>
      <c r="G6" s="558"/>
      <c r="H6" s="558"/>
    </row>
    <row r="7" spans="1:8" x14ac:dyDescent="0.25">
      <c r="A7" s="2"/>
      <c r="B7" s="2" t="s">
        <v>19</v>
      </c>
      <c r="C7" s="558" t="s">
        <v>50</v>
      </c>
      <c r="D7" s="558"/>
      <c r="E7" s="558"/>
      <c r="F7" s="558"/>
      <c r="G7" s="558"/>
      <c r="H7" s="558"/>
    </row>
    <row r="8" spans="1:8" hidden="1" x14ac:dyDescent="0.25">
      <c r="A8" s="2"/>
      <c r="B8" s="2" t="s">
        <v>90</v>
      </c>
      <c r="C8" s="558" t="s">
        <v>60</v>
      </c>
      <c r="D8" s="558"/>
      <c r="E8" s="558"/>
      <c r="F8" s="558"/>
      <c r="G8" s="558"/>
      <c r="H8" s="558"/>
    </row>
    <row r="9" spans="1:8" x14ac:dyDescent="0.25">
      <c r="A9" s="2"/>
      <c r="B9" s="2" t="s">
        <v>59</v>
      </c>
      <c r="C9" s="558" t="s">
        <v>60</v>
      </c>
      <c r="D9" s="558"/>
      <c r="E9" s="558"/>
      <c r="F9" s="558"/>
      <c r="G9" s="558"/>
      <c r="H9" s="558"/>
    </row>
    <row r="10" spans="1:8" hidden="1" x14ac:dyDescent="0.25">
      <c r="A10" s="2"/>
      <c r="B10" s="2" t="s">
        <v>20</v>
      </c>
      <c r="C10" s="558" t="s">
        <v>86</v>
      </c>
      <c r="D10" s="558"/>
      <c r="E10" s="558"/>
      <c r="F10" s="558"/>
      <c r="G10" s="558"/>
      <c r="H10" s="558"/>
    </row>
    <row r="11" spans="1:8" hidden="1" x14ac:dyDescent="0.25">
      <c r="A11" s="2"/>
      <c r="B11" s="2" t="s">
        <v>21</v>
      </c>
      <c r="C11" s="266" t="s">
        <v>87</v>
      </c>
      <c r="D11" s="266"/>
      <c r="E11" s="266"/>
      <c r="F11" s="379"/>
      <c r="G11" s="266"/>
      <c r="H11" s="266"/>
    </row>
    <row r="12" spans="1:8" x14ac:dyDescent="0.25">
      <c r="A12" s="2"/>
      <c r="B12" s="2" t="s">
        <v>306</v>
      </c>
      <c r="C12" s="266" t="s">
        <v>88</v>
      </c>
      <c r="D12" s="266"/>
      <c r="E12" s="266"/>
      <c r="F12" s="379"/>
      <c r="G12" s="266"/>
      <c r="H12" s="266"/>
    </row>
    <row r="13" spans="1:8" x14ac:dyDescent="0.25">
      <c r="A13" s="2"/>
      <c r="B13" s="2" t="s">
        <v>94</v>
      </c>
      <c r="C13" s="266" t="s">
        <v>95</v>
      </c>
      <c r="D13" s="266"/>
      <c r="E13" s="266"/>
      <c r="F13" s="379"/>
      <c r="G13" s="266"/>
      <c r="H13" s="266"/>
    </row>
    <row r="14" spans="1:8" x14ac:dyDescent="0.25">
      <c r="A14" s="2"/>
      <c r="B14" s="2"/>
      <c r="C14" s="266"/>
      <c r="D14" s="266"/>
      <c r="E14" s="266"/>
      <c r="F14" s="379"/>
      <c r="G14" s="266"/>
      <c r="H14" s="266"/>
    </row>
    <row r="15" spans="1:8" hidden="1" x14ac:dyDescent="0.25">
      <c r="A15" s="2"/>
      <c r="B15" s="2" t="s">
        <v>21</v>
      </c>
      <c r="C15" s="558"/>
      <c r="D15" s="558"/>
      <c r="E15" s="558"/>
      <c r="F15" s="558"/>
      <c r="G15" s="558"/>
      <c r="H15" s="558"/>
    </row>
    <row r="16" spans="1:8" s="146" customFormat="1" x14ac:dyDescent="0.25">
      <c r="A16" s="3"/>
      <c r="B16" s="3" t="s">
        <v>374</v>
      </c>
      <c r="C16" s="3"/>
      <c r="D16" s="3"/>
      <c r="E16" s="3"/>
      <c r="F16" s="3"/>
      <c r="G16" s="3"/>
      <c r="H16" s="3"/>
    </row>
    <row r="17" spans="1:8" s="146" customFormat="1" x14ac:dyDescent="0.25">
      <c r="A17" s="3"/>
      <c r="B17" s="2" t="s">
        <v>1377</v>
      </c>
      <c r="C17" s="558" t="s">
        <v>377</v>
      </c>
      <c r="D17" s="558"/>
      <c r="E17" s="558"/>
      <c r="F17" s="558"/>
      <c r="G17" s="558"/>
      <c r="H17" s="558"/>
    </row>
    <row r="18" spans="1:8" s="146" customFormat="1" hidden="1" x14ac:dyDescent="0.25">
      <c r="A18" s="3"/>
      <c r="B18" s="2" t="s">
        <v>847</v>
      </c>
      <c r="C18" s="2" t="s">
        <v>80</v>
      </c>
      <c r="D18" s="3"/>
      <c r="E18" s="3"/>
      <c r="F18" s="3"/>
      <c r="G18" s="3"/>
      <c r="H18" s="3"/>
    </row>
    <row r="19" spans="1:8" hidden="1" x14ac:dyDescent="0.25">
      <c r="A19" s="2"/>
      <c r="B19" s="2" t="s">
        <v>376</v>
      </c>
      <c r="C19" s="558" t="s">
        <v>377</v>
      </c>
      <c r="D19" s="558"/>
      <c r="E19" s="558"/>
      <c r="F19" s="558"/>
      <c r="G19" s="558"/>
      <c r="H19" s="558"/>
    </row>
    <row r="20" spans="1:8" x14ac:dyDescent="0.25">
      <c r="A20" s="2"/>
      <c r="B20" s="2" t="s">
        <v>375</v>
      </c>
      <c r="C20" s="558" t="s">
        <v>334</v>
      </c>
      <c r="D20" s="558"/>
      <c r="E20" s="558"/>
      <c r="F20" s="558"/>
      <c r="G20" s="558"/>
      <c r="H20" s="558"/>
    </row>
    <row r="21" spans="1:8" hidden="1" x14ac:dyDescent="0.25">
      <c r="A21" s="2"/>
      <c r="B21" s="2" t="s">
        <v>855</v>
      </c>
      <c r="C21" s="266" t="s">
        <v>854</v>
      </c>
      <c r="D21" s="266"/>
      <c r="E21" s="266"/>
      <c r="F21" s="379"/>
      <c r="G21" s="266"/>
      <c r="H21" s="266"/>
    </row>
    <row r="22" spans="1:8" x14ac:dyDescent="0.25">
      <c r="A22" s="2"/>
      <c r="B22" s="556" t="s">
        <v>1073</v>
      </c>
      <c r="C22" s="556"/>
      <c r="D22" s="556"/>
      <c r="E22" s="556"/>
      <c r="F22" s="556"/>
      <c r="G22" s="556"/>
      <c r="H22" s="556"/>
    </row>
    <row r="23" spans="1:8" x14ac:dyDescent="0.25">
      <c r="A23" s="4"/>
      <c r="H23" s="4" t="s">
        <v>61</v>
      </c>
    </row>
    <row r="24" spans="1:8" s="377" customFormat="1" ht="75" x14ac:dyDescent="0.25">
      <c r="A24" s="378" t="s">
        <v>62</v>
      </c>
      <c r="B24" s="378" t="s">
        <v>2</v>
      </c>
      <c r="C24" s="378" t="s">
        <v>17</v>
      </c>
      <c r="D24" s="382" t="s">
        <v>464</v>
      </c>
      <c r="E24" s="382" t="s">
        <v>8</v>
      </c>
      <c r="F24" s="382" t="s">
        <v>9</v>
      </c>
      <c r="G24" s="382" t="s">
        <v>461</v>
      </c>
      <c r="H24" s="382" t="s">
        <v>1046</v>
      </c>
    </row>
    <row r="25" spans="1:8" s="146" customFormat="1" x14ac:dyDescent="0.25">
      <c r="A25" s="378"/>
      <c r="B25" s="378" t="s">
        <v>365</v>
      </c>
      <c r="C25" s="32"/>
      <c r="D25" s="32"/>
      <c r="E25" s="32">
        <f>E26+E52</f>
        <v>21387</v>
      </c>
      <c r="F25" s="32">
        <f t="shared" ref="F25:H25" si="0">F26+F52</f>
        <v>19146</v>
      </c>
      <c r="G25" s="32">
        <f t="shared" si="0"/>
        <v>13644</v>
      </c>
      <c r="H25" s="32">
        <f t="shared" si="0"/>
        <v>13820</v>
      </c>
    </row>
    <row r="26" spans="1:8" s="146" customFormat="1" x14ac:dyDescent="0.25">
      <c r="A26" s="9" t="s">
        <v>6</v>
      </c>
      <c r="B26" s="10" t="s">
        <v>852</v>
      </c>
      <c r="C26" s="20"/>
      <c r="D26" s="20"/>
      <c r="E26" s="20">
        <f>E27+E34</f>
        <v>20697</v>
      </c>
      <c r="F26" s="20">
        <f>F27+F34</f>
        <v>18456</v>
      </c>
      <c r="G26" s="20">
        <f t="shared" ref="G26:H26" si="1">G27+G34</f>
        <v>12954</v>
      </c>
      <c r="H26" s="20">
        <f t="shared" si="1"/>
        <v>13130</v>
      </c>
    </row>
    <row r="27" spans="1:8" s="146" customFormat="1" ht="21" customHeight="1" x14ac:dyDescent="0.25">
      <c r="A27" s="13" t="s">
        <v>51</v>
      </c>
      <c r="B27" s="14" t="s">
        <v>10</v>
      </c>
      <c r="C27" s="22"/>
      <c r="D27" s="22"/>
      <c r="E27" s="22">
        <f>E28+E32-E33</f>
        <v>7521</v>
      </c>
      <c r="F27" s="22">
        <f t="shared" ref="F27:H27" si="2">F28+F32-F33</f>
        <v>8194</v>
      </c>
      <c r="G27" s="22">
        <f t="shared" si="2"/>
        <v>8370</v>
      </c>
      <c r="H27" s="22">
        <f t="shared" si="2"/>
        <v>8546</v>
      </c>
    </row>
    <row r="28" spans="1:8" ht="56.25" x14ac:dyDescent="0.25">
      <c r="A28" s="11">
        <v>1</v>
      </c>
      <c r="B28" s="12" t="s">
        <v>1185</v>
      </c>
      <c r="C28" s="21"/>
      <c r="D28" s="21"/>
      <c r="E28" s="21">
        <v>6532</v>
      </c>
      <c r="F28" s="21">
        <f>SUM(F29:F31)</f>
        <v>7096</v>
      </c>
      <c r="G28" s="21">
        <f>ROUND(F28+20*8.8,0)</f>
        <v>7272</v>
      </c>
      <c r="H28" s="21">
        <f>ROUND(G28+20*8.8,0)</f>
        <v>7448</v>
      </c>
    </row>
    <row r="29" spans="1:8" x14ac:dyDescent="0.25">
      <c r="A29" s="11"/>
      <c r="B29" s="12" t="s">
        <v>1366</v>
      </c>
      <c r="C29" s="21">
        <v>61</v>
      </c>
      <c r="D29" s="36">
        <v>54</v>
      </c>
      <c r="E29" s="21"/>
      <c r="F29" s="21">
        <v>6256</v>
      </c>
      <c r="G29" s="21">
        <f>ROUND(F29+20*8.8,0)</f>
        <v>6432</v>
      </c>
      <c r="H29" s="21">
        <f>ROUND(G29+20*8.8,0)</f>
        <v>6608</v>
      </c>
    </row>
    <row r="30" spans="1:8" ht="37.5" x14ac:dyDescent="0.25">
      <c r="A30" s="11"/>
      <c r="B30" s="12" t="s">
        <v>1367</v>
      </c>
      <c r="C30" s="21"/>
      <c r="D30" s="36"/>
      <c r="E30" s="21"/>
      <c r="F30" s="21">
        <v>362</v>
      </c>
      <c r="G30" s="21">
        <f>F30</f>
        <v>362</v>
      </c>
      <c r="H30" s="21">
        <f>G30</f>
        <v>362</v>
      </c>
    </row>
    <row r="31" spans="1:8" ht="37.5" x14ac:dyDescent="0.25">
      <c r="A31" s="11"/>
      <c r="B31" s="12" t="s">
        <v>1368</v>
      </c>
      <c r="C31" s="21">
        <v>7</v>
      </c>
      <c r="D31" s="21">
        <v>6</v>
      </c>
      <c r="E31" s="21"/>
      <c r="F31" s="21">
        <v>478</v>
      </c>
      <c r="G31" s="21">
        <f>ROUND(F31+2*8.8,0)</f>
        <v>496</v>
      </c>
      <c r="H31" s="21">
        <f>ROUND(G31+2*8.8,0)</f>
        <v>514</v>
      </c>
    </row>
    <row r="32" spans="1:8" ht="37.5" x14ac:dyDescent="0.25">
      <c r="A32" s="11">
        <v>2</v>
      </c>
      <c r="B32" s="12" t="s">
        <v>1369</v>
      </c>
      <c r="C32" s="21">
        <v>61</v>
      </c>
      <c r="D32" s="21"/>
      <c r="E32" s="36">
        <v>1098</v>
      </c>
      <c r="F32" s="36">
        <f>C32*20</f>
        <v>1220</v>
      </c>
      <c r="G32" s="36">
        <f>C32*20</f>
        <v>1220</v>
      </c>
      <c r="H32" s="36">
        <f>G32</f>
        <v>1220</v>
      </c>
    </row>
    <row r="33" spans="1:8" ht="37.5" x14ac:dyDescent="0.25">
      <c r="A33" s="11">
        <v>3</v>
      </c>
      <c r="B33" s="12" t="s">
        <v>563</v>
      </c>
      <c r="C33" s="21"/>
      <c r="D33" s="21"/>
      <c r="E33" s="21">
        <v>109</v>
      </c>
      <c r="F33" s="21">
        <v>122</v>
      </c>
      <c r="G33" s="21">
        <v>122</v>
      </c>
      <c r="H33" s="21">
        <f>G33</f>
        <v>122</v>
      </c>
    </row>
    <row r="34" spans="1:8" s="50" customFormat="1" x14ac:dyDescent="0.25">
      <c r="A34" s="62" t="s">
        <v>52</v>
      </c>
      <c r="B34" s="63" t="s">
        <v>11</v>
      </c>
      <c r="C34" s="64"/>
      <c r="D34" s="64"/>
      <c r="E34" s="64">
        <f>SUM(E35:E51)</f>
        <v>13176</v>
      </c>
      <c r="F34" s="64">
        <f t="shared" ref="F34:H34" si="3">SUM(F35:F51)</f>
        <v>10262</v>
      </c>
      <c r="G34" s="64">
        <f t="shared" si="3"/>
        <v>4584</v>
      </c>
      <c r="H34" s="64">
        <f t="shared" si="3"/>
        <v>4584</v>
      </c>
    </row>
    <row r="35" spans="1:8" s="49" customFormat="1" x14ac:dyDescent="0.25">
      <c r="A35" s="58" t="s">
        <v>99</v>
      </c>
      <c r="B35" s="59" t="s">
        <v>1352</v>
      </c>
      <c r="C35" s="60"/>
      <c r="D35" s="60"/>
      <c r="E35" s="60">
        <v>30</v>
      </c>
      <c r="F35" s="60">
        <v>65</v>
      </c>
      <c r="G35" s="60">
        <f>E35</f>
        <v>30</v>
      </c>
      <c r="H35" s="60">
        <f>G35</f>
        <v>30</v>
      </c>
    </row>
    <row r="36" spans="1:8" s="49" customFormat="1" x14ac:dyDescent="0.25">
      <c r="A36" s="58" t="s">
        <v>99</v>
      </c>
      <c r="B36" s="59" t="s">
        <v>482</v>
      </c>
      <c r="C36" s="60"/>
      <c r="D36" s="60"/>
      <c r="E36" s="60">
        <v>15</v>
      </c>
      <c r="F36" s="60">
        <f>E36</f>
        <v>15</v>
      </c>
      <c r="G36" s="60">
        <f>E36</f>
        <v>15</v>
      </c>
      <c r="H36" s="60">
        <f>G36</f>
        <v>15</v>
      </c>
    </row>
    <row r="37" spans="1:8" s="49" customFormat="1" x14ac:dyDescent="0.3">
      <c r="A37" s="58" t="s">
        <v>99</v>
      </c>
      <c r="B37" s="33" t="s">
        <v>183</v>
      </c>
      <c r="C37" s="60"/>
      <c r="D37" s="60"/>
      <c r="E37" s="60">
        <v>80</v>
      </c>
      <c r="F37" s="60">
        <v>35</v>
      </c>
      <c r="G37" s="60">
        <f>E37</f>
        <v>80</v>
      </c>
      <c r="H37" s="60">
        <f t="shared" ref="H37:H42" si="4">G37</f>
        <v>80</v>
      </c>
    </row>
    <row r="38" spans="1:8" s="49" customFormat="1" ht="37.5" x14ac:dyDescent="0.25">
      <c r="A38" s="58" t="s">
        <v>99</v>
      </c>
      <c r="B38" s="59" t="s">
        <v>856</v>
      </c>
      <c r="C38" s="60"/>
      <c r="D38" s="60"/>
      <c r="E38" s="60">
        <v>400</v>
      </c>
      <c r="F38" s="60">
        <f>E38</f>
        <v>400</v>
      </c>
      <c r="G38" s="60">
        <f>E38</f>
        <v>400</v>
      </c>
      <c r="H38" s="60">
        <f t="shared" si="4"/>
        <v>400</v>
      </c>
    </row>
    <row r="39" spans="1:8" s="49" customFormat="1" ht="56.25" x14ac:dyDescent="0.25">
      <c r="A39" s="58" t="s">
        <v>99</v>
      </c>
      <c r="B39" s="59" t="s">
        <v>851</v>
      </c>
      <c r="C39" s="60"/>
      <c r="D39" s="60"/>
      <c r="E39" s="60">
        <v>200</v>
      </c>
      <c r="F39" s="60">
        <v>300</v>
      </c>
      <c r="G39" s="60">
        <f>F39</f>
        <v>300</v>
      </c>
      <c r="H39" s="60">
        <f t="shared" si="4"/>
        <v>300</v>
      </c>
    </row>
    <row r="40" spans="1:8" s="49" customFormat="1" ht="37.5" x14ac:dyDescent="0.25">
      <c r="A40" s="58" t="s">
        <v>99</v>
      </c>
      <c r="B40" s="59" t="s">
        <v>850</v>
      </c>
      <c r="C40" s="60"/>
      <c r="D40" s="60"/>
      <c r="E40" s="60">
        <v>150</v>
      </c>
      <c r="F40" s="60">
        <v>200</v>
      </c>
      <c r="G40" s="60">
        <f>F40</f>
        <v>200</v>
      </c>
      <c r="H40" s="60">
        <f t="shared" si="4"/>
        <v>200</v>
      </c>
    </row>
    <row r="41" spans="1:8" s="49" customFormat="1" ht="37.5" x14ac:dyDescent="0.25">
      <c r="A41" s="58" t="s">
        <v>99</v>
      </c>
      <c r="B41" s="59" t="s">
        <v>1378</v>
      </c>
      <c r="C41" s="60"/>
      <c r="D41" s="60"/>
      <c r="E41" s="60">
        <v>900</v>
      </c>
      <c r="F41" s="60">
        <v>500</v>
      </c>
      <c r="G41" s="60">
        <f>E41</f>
        <v>900</v>
      </c>
      <c r="H41" s="60">
        <f t="shared" si="4"/>
        <v>900</v>
      </c>
    </row>
    <row r="42" spans="1:8" s="49" customFormat="1" ht="75" x14ac:dyDescent="0.25">
      <c r="A42" s="58" t="s">
        <v>99</v>
      </c>
      <c r="B42" s="59" t="s">
        <v>378</v>
      </c>
      <c r="C42" s="60"/>
      <c r="D42" s="60"/>
      <c r="E42" s="60">
        <v>100</v>
      </c>
      <c r="F42" s="60">
        <f>E42</f>
        <v>100</v>
      </c>
      <c r="G42" s="60">
        <f>E42</f>
        <v>100</v>
      </c>
      <c r="H42" s="60">
        <f t="shared" si="4"/>
        <v>100</v>
      </c>
    </row>
    <row r="43" spans="1:8" s="49" customFormat="1" ht="37.5" x14ac:dyDescent="0.25">
      <c r="A43" s="58" t="s">
        <v>99</v>
      </c>
      <c r="B43" s="59" t="s">
        <v>849</v>
      </c>
      <c r="C43" s="60"/>
      <c r="D43" s="60"/>
      <c r="E43" s="60">
        <v>100</v>
      </c>
      <c r="F43" s="60">
        <f>E43</f>
        <v>100</v>
      </c>
      <c r="G43" s="60"/>
      <c r="H43" s="60"/>
    </row>
    <row r="44" spans="1:8" s="49" customFormat="1" x14ac:dyDescent="0.25">
      <c r="A44" s="58" t="s">
        <v>99</v>
      </c>
      <c r="B44" s="59" t="s">
        <v>848</v>
      </c>
      <c r="C44" s="60"/>
      <c r="D44" s="60"/>
      <c r="E44" s="121">
        <v>5000</v>
      </c>
      <c r="F44" s="121">
        <v>5000</v>
      </c>
      <c r="G44" s="60"/>
      <c r="H44" s="60"/>
    </row>
    <row r="45" spans="1:8" s="49" customFormat="1" ht="37.5" x14ac:dyDescent="0.25">
      <c r="A45" s="58" t="s">
        <v>99</v>
      </c>
      <c r="B45" s="59" t="s">
        <v>1885</v>
      </c>
      <c r="C45" s="60"/>
      <c r="D45" s="60"/>
      <c r="E45" s="60">
        <f>8*15+10*4+30*2+18*4</f>
        <v>292</v>
      </c>
      <c r="F45" s="60"/>
      <c r="G45" s="60"/>
      <c r="H45" s="60"/>
    </row>
    <row r="46" spans="1:8" s="49" customFormat="1" ht="37.5" x14ac:dyDescent="0.25">
      <c r="A46" s="58" t="s">
        <v>99</v>
      </c>
      <c r="B46" s="59" t="s">
        <v>1379</v>
      </c>
      <c r="C46" s="60"/>
      <c r="D46" s="60"/>
      <c r="E46" s="60"/>
      <c r="F46" s="60">
        <f>108+240</f>
        <v>348</v>
      </c>
      <c r="G46" s="60"/>
      <c r="H46" s="60"/>
    </row>
    <row r="47" spans="1:8" s="49" customFormat="1" ht="37.5" x14ac:dyDescent="0.25">
      <c r="A47" s="58" t="s">
        <v>99</v>
      </c>
      <c r="B47" s="59" t="s">
        <v>1370</v>
      </c>
      <c r="C47" s="60"/>
      <c r="D47" s="60"/>
      <c r="E47" s="60">
        <v>41</v>
      </c>
      <c r="F47" s="60">
        <v>59</v>
      </c>
      <c r="G47" s="60">
        <f>F47</f>
        <v>59</v>
      </c>
      <c r="H47" s="60">
        <f>G47</f>
        <v>59</v>
      </c>
    </row>
    <row r="48" spans="1:8" s="49" customFormat="1" x14ac:dyDescent="0.25">
      <c r="A48" s="58" t="s">
        <v>99</v>
      </c>
      <c r="B48" s="95" t="s">
        <v>504</v>
      </c>
      <c r="C48" s="60"/>
      <c r="D48" s="60"/>
      <c r="E48" s="60">
        <v>238</v>
      </c>
      <c r="F48" s="60"/>
      <c r="G48" s="60"/>
      <c r="H48" s="60"/>
    </row>
    <row r="49" spans="1:8" s="49" customFormat="1" x14ac:dyDescent="0.25">
      <c r="A49" s="58" t="s">
        <v>99</v>
      </c>
      <c r="B49" s="59" t="s">
        <v>1371</v>
      </c>
      <c r="C49" s="60"/>
      <c r="D49" s="60"/>
      <c r="E49" s="60">
        <v>436</v>
      </c>
      <c r="F49" s="60">
        <v>440</v>
      </c>
      <c r="G49" s="60"/>
      <c r="H49" s="60"/>
    </row>
    <row r="50" spans="1:8" s="49" customFormat="1" ht="37.5" x14ac:dyDescent="0.25">
      <c r="A50" s="58" t="s">
        <v>99</v>
      </c>
      <c r="B50" s="59" t="s">
        <v>1372</v>
      </c>
      <c r="C50" s="60"/>
      <c r="D50" s="60"/>
      <c r="E50" s="60">
        <v>194</v>
      </c>
      <c r="F50" s="60">
        <v>200</v>
      </c>
      <c r="G50" s="60"/>
      <c r="H50" s="60"/>
    </row>
    <row r="51" spans="1:8" s="49" customFormat="1" ht="56.25" x14ac:dyDescent="0.25">
      <c r="A51" s="58" t="s">
        <v>99</v>
      </c>
      <c r="B51" s="59" t="s">
        <v>1373</v>
      </c>
      <c r="C51" s="60"/>
      <c r="D51" s="60"/>
      <c r="E51" s="60">
        <v>5000</v>
      </c>
      <c r="F51" s="60">
        <v>2500</v>
      </c>
      <c r="G51" s="60">
        <f>F51</f>
        <v>2500</v>
      </c>
      <c r="H51" s="60">
        <f>G51</f>
        <v>2500</v>
      </c>
    </row>
    <row r="52" spans="1:8" s="50" customFormat="1" ht="37.5" x14ac:dyDescent="0.25">
      <c r="A52" s="62" t="s">
        <v>7</v>
      </c>
      <c r="B52" s="63" t="s">
        <v>853</v>
      </c>
      <c r="C52" s="64"/>
      <c r="D52" s="64"/>
      <c r="E52" s="64">
        <f>E57</f>
        <v>690</v>
      </c>
      <c r="F52" s="64">
        <f>E52</f>
        <v>690</v>
      </c>
      <c r="G52" s="64">
        <f>G57</f>
        <v>690</v>
      </c>
      <c r="H52" s="64">
        <f>H57</f>
        <v>690</v>
      </c>
    </row>
    <row r="53" spans="1:8" s="49" customFormat="1" x14ac:dyDescent="0.25">
      <c r="A53" s="58"/>
      <c r="B53" s="59" t="s">
        <v>1375</v>
      </c>
      <c r="C53" s="60"/>
      <c r="D53" s="60"/>
      <c r="E53" s="60">
        <v>3300</v>
      </c>
      <c r="F53" s="60">
        <v>3560</v>
      </c>
      <c r="G53" s="60">
        <f>E53</f>
        <v>3300</v>
      </c>
      <c r="H53" s="60">
        <f t="shared" ref="H53:H57" si="5">G53</f>
        <v>3300</v>
      </c>
    </row>
    <row r="54" spans="1:8" s="49" customFormat="1" ht="37.5" hidden="1" x14ac:dyDescent="0.25">
      <c r="A54" s="58">
        <v>2</v>
      </c>
      <c r="B54" s="59" t="s">
        <v>975</v>
      </c>
      <c r="C54" s="60"/>
      <c r="D54" s="60"/>
      <c r="E54" s="60">
        <v>2733</v>
      </c>
      <c r="F54" s="60"/>
      <c r="G54" s="36">
        <f>E54</f>
        <v>2733</v>
      </c>
      <c r="H54" s="36">
        <f t="shared" si="5"/>
        <v>2733</v>
      </c>
    </row>
    <row r="55" spans="1:8" s="49" customFormat="1" ht="37.5" hidden="1" x14ac:dyDescent="0.25">
      <c r="A55" s="58">
        <v>3</v>
      </c>
      <c r="B55" s="59" t="s">
        <v>977</v>
      </c>
      <c r="C55" s="60"/>
      <c r="D55" s="60"/>
      <c r="E55" s="60">
        <f>+E53-E54</f>
        <v>567</v>
      </c>
      <c r="F55" s="60"/>
      <c r="G55" s="36">
        <f>E55</f>
        <v>567</v>
      </c>
      <c r="H55" s="36">
        <f t="shared" si="5"/>
        <v>567</v>
      </c>
    </row>
    <row r="56" spans="1:8" s="49" customFormat="1" hidden="1" x14ac:dyDescent="0.25">
      <c r="A56" s="58">
        <v>4</v>
      </c>
      <c r="B56" s="59" t="s">
        <v>976</v>
      </c>
      <c r="C56" s="60"/>
      <c r="D56" s="60"/>
      <c r="E56" s="60">
        <v>1257</v>
      </c>
      <c r="F56" s="60"/>
      <c r="G56" s="36">
        <f>E56</f>
        <v>1257</v>
      </c>
      <c r="H56" s="36">
        <f t="shared" si="5"/>
        <v>1257</v>
      </c>
    </row>
    <row r="57" spans="1:8" s="76" customFormat="1" x14ac:dyDescent="0.25">
      <c r="A57" s="58"/>
      <c r="B57" s="12" t="s">
        <v>1376</v>
      </c>
      <c r="C57" s="75"/>
      <c r="D57" s="75"/>
      <c r="E57" s="36">
        <f>+E56-E55</f>
        <v>690</v>
      </c>
      <c r="F57" s="36">
        <v>690</v>
      </c>
      <c r="G57" s="36">
        <f>E57</f>
        <v>690</v>
      </c>
      <c r="H57" s="36">
        <f t="shared" si="5"/>
        <v>690</v>
      </c>
    </row>
    <row r="58" spans="1:8" s="49" customFormat="1" hidden="1" x14ac:dyDescent="0.25">
      <c r="A58" s="58" t="s">
        <v>99</v>
      </c>
      <c r="B58" s="59" t="s">
        <v>381</v>
      </c>
      <c r="C58" s="60"/>
      <c r="D58" s="60"/>
      <c r="E58" s="60"/>
      <c r="F58" s="60"/>
      <c r="G58" s="60"/>
      <c r="H58" s="60"/>
    </row>
    <row r="59" spans="1:8" s="49" customFormat="1" hidden="1" x14ac:dyDescent="0.25">
      <c r="A59" s="58" t="s">
        <v>99</v>
      </c>
      <c r="B59" s="59" t="s">
        <v>388</v>
      </c>
      <c r="C59" s="60"/>
      <c r="D59" s="60"/>
      <c r="E59" s="60"/>
      <c r="F59" s="60"/>
      <c r="G59" s="60"/>
      <c r="H59" s="60"/>
    </row>
    <row r="60" spans="1:8" s="49" customFormat="1" x14ac:dyDescent="0.25">
      <c r="A60" s="67"/>
      <c r="B60" s="68"/>
      <c r="C60" s="69"/>
      <c r="D60" s="69"/>
      <c r="E60" s="69"/>
      <c r="F60" s="69"/>
      <c r="G60" s="69"/>
      <c r="H60" s="69"/>
    </row>
    <row r="61" spans="1:8" s="49" customFormat="1" ht="43.5" customHeight="1" x14ac:dyDescent="0.25">
      <c r="A61" s="70"/>
      <c r="B61" s="567" t="s">
        <v>1380</v>
      </c>
      <c r="C61" s="567"/>
      <c r="D61" s="567"/>
      <c r="E61" s="567"/>
      <c r="F61" s="567"/>
      <c r="G61" s="567"/>
      <c r="H61" s="567"/>
    </row>
    <row r="62" spans="1:8" x14ac:dyDescent="0.25">
      <c r="A62" s="2"/>
      <c r="B62" s="7" t="s">
        <v>1374</v>
      </c>
    </row>
    <row r="63" spans="1:8" x14ac:dyDescent="0.25">
      <c r="A63" s="2"/>
    </row>
    <row r="64" spans="1:8" x14ac:dyDescent="0.25">
      <c r="A64" s="550" t="s">
        <v>36</v>
      </c>
      <c r="B64" s="550"/>
      <c r="D64" s="550" t="s">
        <v>37</v>
      </c>
      <c r="E64" s="550"/>
      <c r="F64" s="550"/>
      <c r="G64" s="550"/>
      <c r="H64" s="550"/>
    </row>
  </sheetData>
  <mergeCells count="15">
    <mergeCell ref="B61:H61"/>
    <mergeCell ref="A64:B64"/>
    <mergeCell ref="D64:H64"/>
    <mergeCell ref="C10:H10"/>
    <mergeCell ref="C15:H15"/>
    <mergeCell ref="C19:H19"/>
    <mergeCell ref="C20:H20"/>
    <mergeCell ref="B22:H22"/>
    <mergeCell ref="C9:H9"/>
    <mergeCell ref="C17:H17"/>
    <mergeCell ref="A1:H1"/>
    <mergeCell ref="B3:H3"/>
    <mergeCell ref="C6:H6"/>
    <mergeCell ref="C7:H7"/>
    <mergeCell ref="C8:H8"/>
  </mergeCells>
  <printOptions horizontalCentered="1"/>
  <pageMargins left="0" right="0" top="0.5" bottom="0.25" header="0.31496062992126" footer="0.31496062992126"/>
  <pageSetup paperSize="9" scale="89" orientation="portrait" r:id="rId1"/>
  <headerFooter>
    <oddFooter>&amp;C&amp;P/&amp;N</oddFooter>
  </headerFooter>
  <legacyDrawing r:id="rId2"/>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112"/>
  <sheetViews>
    <sheetView topLeftCell="A93" zoomScaleNormal="100" workbookViewId="0">
      <selection activeCell="F94" sqref="F94"/>
    </sheetView>
  </sheetViews>
  <sheetFormatPr defaultColWidth="9.140625" defaultRowHeight="18.75" x14ac:dyDescent="0.25"/>
  <cols>
    <col min="1" max="1" width="4.85546875" style="7" customWidth="1"/>
    <col min="2" max="2" width="45.140625" style="7" customWidth="1"/>
    <col min="3" max="4" width="7.85546875" style="7" customWidth="1"/>
    <col min="5" max="8" width="11.7109375" style="7" customWidth="1"/>
    <col min="9" max="16384" width="9.140625" style="7"/>
  </cols>
  <sheetData>
    <row r="1" spans="1:8" ht="41.25" customHeight="1" x14ac:dyDescent="0.25">
      <c r="A1" s="549" t="s">
        <v>1074</v>
      </c>
      <c r="B1" s="555"/>
      <c r="C1" s="555"/>
      <c r="D1" s="555"/>
      <c r="E1" s="555"/>
      <c r="F1" s="555"/>
      <c r="G1" s="555"/>
      <c r="H1" s="555"/>
    </row>
    <row r="2" spans="1:8" x14ac:dyDescent="0.25">
      <c r="A2" s="146"/>
      <c r="B2" s="146"/>
      <c r="C2" s="146"/>
      <c r="D2" s="1"/>
      <c r="E2" s="1"/>
      <c r="F2" s="1"/>
      <c r="G2" s="1"/>
      <c r="H2" s="1"/>
    </row>
    <row r="3" spans="1:8" ht="40.5" customHeight="1" x14ac:dyDescent="0.25">
      <c r="B3" s="565" t="s">
        <v>1400</v>
      </c>
      <c r="C3" s="565"/>
      <c r="D3" s="565"/>
      <c r="E3" s="565"/>
      <c r="F3" s="565"/>
      <c r="G3" s="565"/>
      <c r="H3" s="565"/>
    </row>
    <row r="4" spans="1:8" x14ac:dyDescent="0.25">
      <c r="B4" s="7" t="s">
        <v>39</v>
      </c>
      <c r="D4" s="8"/>
      <c r="E4" s="8"/>
      <c r="F4" s="8"/>
      <c r="G4" s="8"/>
      <c r="H4" s="8"/>
    </row>
    <row r="5" spans="1:8" s="146" customFormat="1" x14ac:dyDescent="0.25">
      <c r="B5" s="3" t="s">
        <v>18</v>
      </c>
    </row>
    <row r="6" spans="1:8" x14ac:dyDescent="0.25">
      <c r="B6" s="2" t="s">
        <v>23</v>
      </c>
      <c r="C6" s="558" t="s">
        <v>49</v>
      </c>
      <c r="D6" s="558"/>
      <c r="E6" s="558"/>
      <c r="F6" s="558"/>
      <c r="G6" s="558"/>
      <c r="H6" s="558"/>
    </row>
    <row r="7" spans="1:8" hidden="1" x14ac:dyDescent="0.25">
      <c r="A7" s="2"/>
      <c r="B7" s="2" t="s">
        <v>19</v>
      </c>
      <c r="C7" s="558" t="s">
        <v>50</v>
      </c>
      <c r="D7" s="558"/>
      <c r="E7" s="558"/>
      <c r="F7" s="558"/>
      <c r="G7" s="558"/>
      <c r="H7" s="558"/>
    </row>
    <row r="8" spans="1:8" hidden="1" x14ac:dyDescent="0.25">
      <c r="A8" s="2"/>
      <c r="B8" s="2" t="s">
        <v>90</v>
      </c>
      <c r="C8" s="558" t="s">
        <v>60</v>
      </c>
      <c r="D8" s="558"/>
      <c r="E8" s="558"/>
      <c r="F8" s="558"/>
      <c r="G8" s="558"/>
      <c r="H8" s="558"/>
    </row>
    <row r="9" spans="1:8" x14ac:dyDescent="0.25">
      <c r="A9" s="2"/>
      <c r="B9" s="2" t="s">
        <v>59</v>
      </c>
      <c r="C9" s="558" t="s">
        <v>60</v>
      </c>
      <c r="D9" s="558"/>
      <c r="E9" s="558"/>
      <c r="F9" s="558"/>
      <c r="G9" s="558"/>
      <c r="H9" s="558"/>
    </row>
    <row r="10" spans="1:8" hidden="1" x14ac:dyDescent="0.25">
      <c r="A10" s="2"/>
      <c r="B10" s="2" t="s">
        <v>20</v>
      </c>
      <c r="C10" s="558" t="s">
        <v>86</v>
      </c>
      <c r="D10" s="558"/>
      <c r="E10" s="558"/>
      <c r="F10" s="558"/>
      <c r="G10" s="558"/>
      <c r="H10" s="558"/>
    </row>
    <row r="11" spans="1:8" x14ac:dyDescent="0.25">
      <c r="A11" s="2"/>
      <c r="B11" s="2" t="s">
        <v>1205</v>
      </c>
      <c r="C11" s="264" t="s">
        <v>87</v>
      </c>
      <c r="D11" s="264"/>
      <c r="E11" s="264"/>
      <c r="F11" s="386"/>
      <c r="G11" s="264"/>
      <c r="H11" s="264"/>
    </row>
    <row r="12" spans="1:8" x14ac:dyDescent="0.25">
      <c r="A12" s="2"/>
      <c r="B12" s="2" t="s">
        <v>213</v>
      </c>
      <c r="C12" s="264" t="s">
        <v>88</v>
      </c>
      <c r="D12" s="264"/>
      <c r="E12" s="264"/>
      <c r="F12" s="386"/>
      <c r="G12" s="264"/>
      <c r="H12" s="264"/>
    </row>
    <row r="13" spans="1:8" hidden="1" x14ac:dyDescent="0.25">
      <c r="A13" s="2"/>
      <c r="B13" s="2" t="s">
        <v>94</v>
      </c>
      <c r="C13" s="264" t="s">
        <v>95</v>
      </c>
      <c r="D13" s="264"/>
      <c r="E13" s="264"/>
      <c r="F13" s="386"/>
      <c r="G13" s="264"/>
      <c r="H13" s="264"/>
    </row>
    <row r="14" spans="1:8" x14ac:dyDescent="0.25">
      <c r="A14" s="2"/>
      <c r="B14" s="2"/>
      <c r="C14" s="264"/>
      <c r="D14" s="264"/>
      <c r="E14" s="264"/>
      <c r="F14" s="386"/>
      <c r="G14" s="264"/>
      <c r="H14" s="264"/>
    </row>
    <row r="15" spans="1:8" hidden="1" x14ac:dyDescent="0.25">
      <c r="A15" s="2"/>
      <c r="B15" s="2" t="s">
        <v>21</v>
      </c>
      <c r="C15" s="558"/>
      <c r="D15" s="558"/>
      <c r="E15" s="558"/>
      <c r="F15" s="558"/>
      <c r="G15" s="558"/>
      <c r="H15" s="558"/>
    </row>
    <row r="16" spans="1:8" s="146" customFormat="1" x14ac:dyDescent="0.25">
      <c r="A16" s="3"/>
      <c r="B16" s="3" t="s">
        <v>288</v>
      </c>
      <c r="C16" s="3"/>
      <c r="D16" s="3"/>
      <c r="E16" s="3"/>
      <c r="F16" s="3"/>
      <c r="G16" s="3"/>
      <c r="H16" s="3"/>
    </row>
    <row r="17" spans="1:8" x14ac:dyDescent="0.25">
      <c r="A17" s="2"/>
      <c r="B17" s="2" t="s">
        <v>290</v>
      </c>
      <c r="C17" s="558" t="s">
        <v>212</v>
      </c>
      <c r="D17" s="558"/>
      <c r="E17" s="558"/>
      <c r="F17" s="558"/>
      <c r="G17" s="558"/>
      <c r="H17" s="558"/>
    </row>
    <row r="18" spans="1:8" x14ac:dyDescent="0.25">
      <c r="A18" s="2"/>
      <c r="B18" s="83" t="s">
        <v>289</v>
      </c>
      <c r="C18" s="558" t="s">
        <v>669</v>
      </c>
      <c r="D18" s="558"/>
      <c r="E18" s="558"/>
      <c r="F18" s="558"/>
      <c r="G18" s="558"/>
      <c r="H18" s="558"/>
    </row>
    <row r="19" spans="1:8" x14ac:dyDescent="0.25">
      <c r="A19" s="2"/>
      <c r="B19" s="2" t="s">
        <v>665</v>
      </c>
      <c r="C19" s="558" t="s">
        <v>108</v>
      </c>
      <c r="D19" s="558"/>
      <c r="E19" s="558"/>
      <c r="F19" s="558"/>
      <c r="G19" s="558"/>
      <c r="H19" s="558"/>
    </row>
    <row r="20" spans="1:8" x14ac:dyDescent="0.25">
      <c r="A20" s="2"/>
      <c r="B20" s="2" t="s">
        <v>1395</v>
      </c>
      <c r="C20" s="558" t="s">
        <v>108</v>
      </c>
      <c r="D20" s="558"/>
      <c r="E20" s="558"/>
      <c r="F20" s="558"/>
      <c r="G20" s="558"/>
      <c r="H20" s="558"/>
    </row>
    <row r="21" spans="1:8" x14ac:dyDescent="0.25">
      <c r="A21" s="2"/>
      <c r="B21" s="2" t="s">
        <v>666</v>
      </c>
      <c r="C21" s="558" t="s">
        <v>108</v>
      </c>
      <c r="D21" s="558"/>
      <c r="E21" s="558"/>
      <c r="F21" s="558"/>
      <c r="G21" s="558"/>
      <c r="H21" s="558"/>
    </row>
    <row r="22" spans="1:8" hidden="1" x14ac:dyDescent="0.25">
      <c r="A22" s="2"/>
      <c r="B22" s="2" t="s">
        <v>21</v>
      </c>
      <c r="C22" s="558" t="s">
        <v>108</v>
      </c>
      <c r="D22" s="558"/>
      <c r="E22" s="558"/>
      <c r="F22" s="558"/>
      <c r="G22" s="558"/>
      <c r="H22" s="558"/>
    </row>
    <row r="23" spans="1:8" hidden="1" x14ac:dyDescent="0.25">
      <c r="A23" s="2"/>
      <c r="B23" s="2" t="s">
        <v>21</v>
      </c>
      <c r="C23" s="558" t="s">
        <v>108</v>
      </c>
      <c r="D23" s="558"/>
      <c r="E23" s="558"/>
      <c r="F23" s="558"/>
      <c r="G23" s="558"/>
      <c r="H23" s="558"/>
    </row>
    <row r="24" spans="1:8" hidden="1" x14ac:dyDescent="0.25">
      <c r="A24" s="2"/>
      <c r="B24" s="2" t="s">
        <v>21</v>
      </c>
      <c r="C24" s="558"/>
      <c r="D24" s="558"/>
      <c r="E24" s="558"/>
      <c r="F24" s="558"/>
      <c r="G24" s="558"/>
      <c r="H24" s="558"/>
    </row>
    <row r="25" spans="1:8" ht="39.75" customHeight="1" x14ac:dyDescent="0.25">
      <c r="A25" s="2"/>
      <c r="B25" s="556" t="s">
        <v>1073</v>
      </c>
      <c r="C25" s="556"/>
      <c r="D25" s="556"/>
      <c r="E25" s="556"/>
      <c r="F25" s="556"/>
      <c r="G25" s="556"/>
      <c r="H25" s="556"/>
    </row>
    <row r="26" spans="1:8" x14ac:dyDescent="0.25">
      <c r="A26" s="4"/>
      <c r="H26" s="4" t="s">
        <v>61</v>
      </c>
    </row>
    <row r="27" spans="1:8" s="384" customFormat="1" ht="75" x14ac:dyDescent="0.25">
      <c r="A27" s="385" t="s">
        <v>62</v>
      </c>
      <c r="B27" s="385" t="s">
        <v>2</v>
      </c>
      <c r="C27" s="385" t="s">
        <v>17</v>
      </c>
      <c r="D27" s="387" t="s">
        <v>464</v>
      </c>
      <c r="E27" s="387" t="s">
        <v>8</v>
      </c>
      <c r="F27" s="387" t="s">
        <v>9</v>
      </c>
      <c r="G27" s="387" t="s">
        <v>461</v>
      </c>
      <c r="H27" s="387" t="s">
        <v>1046</v>
      </c>
    </row>
    <row r="28" spans="1:8" s="146" customFormat="1" x14ac:dyDescent="0.25">
      <c r="A28" s="385"/>
      <c r="B28" s="385" t="s">
        <v>97</v>
      </c>
      <c r="C28" s="32"/>
      <c r="D28" s="32"/>
      <c r="E28" s="32">
        <f>E29+E81+E99</f>
        <v>396880</v>
      </c>
      <c r="F28" s="32">
        <f t="shared" ref="F28:H28" si="0">F29+F81+F99</f>
        <v>413624</v>
      </c>
      <c r="G28" s="32">
        <f t="shared" si="0"/>
        <v>404269</v>
      </c>
      <c r="H28" s="32">
        <f t="shared" si="0"/>
        <v>411634</v>
      </c>
    </row>
    <row r="29" spans="1:8" x14ac:dyDescent="0.25">
      <c r="A29" s="9" t="s">
        <v>6</v>
      </c>
      <c r="B29" s="10" t="s">
        <v>662</v>
      </c>
      <c r="C29" s="20"/>
      <c r="D29" s="20"/>
      <c r="E29" s="20">
        <f>E30+E52+E69</f>
        <v>8996</v>
      </c>
      <c r="F29" s="20">
        <f t="shared" ref="F29:H29" si="1">F30+F52+F69</f>
        <v>9249</v>
      </c>
      <c r="G29" s="20">
        <f t="shared" si="1"/>
        <v>9222</v>
      </c>
      <c r="H29" s="20">
        <f t="shared" si="1"/>
        <v>9424</v>
      </c>
    </row>
    <row r="30" spans="1:8" x14ac:dyDescent="0.25">
      <c r="A30" s="13" t="s">
        <v>51</v>
      </c>
      <c r="B30" s="14" t="s">
        <v>179</v>
      </c>
      <c r="C30" s="22"/>
      <c r="D30" s="22"/>
      <c r="E30" s="22">
        <f>E34+E43</f>
        <v>5428</v>
      </c>
      <c r="F30" s="22">
        <f>F34+F43</f>
        <v>5639</v>
      </c>
      <c r="G30" s="22">
        <f t="shared" ref="G30:H30" si="2">G34+G43</f>
        <v>5676</v>
      </c>
      <c r="H30" s="22">
        <f t="shared" si="2"/>
        <v>5791</v>
      </c>
    </row>
    <row r="31" spans="1:8" x14ac:dyDescent="0.25">
      <c r="A31" s="11"/>
      <c r="B31" s="12" t="s">
        <v>626</v>
      </c>
      <c r="C31" s="21"/>
      <c r="D31" s="21"/>
      <c r="E31" s="21">
        <v>800</v>
      </c>
      <c r="F31" s="21">
        <v>1200</v>
      </c>
      <c r="G31" s="21">
        <f>F31</f>
        <v>1200</v>
      </c>
      <c r="H31" s="21">
        <f>G31</f>
        <v>1200</v>
      </c>
    </row>
    <row r="32" spans="1:8" ht="37.5" x14ac:dyDescent="0.25">
      <c r="A32" s="11"/>
      <c r="B32" s="12" t="s">
        <v>663</v>
      </c>
      <c r="C32" s="21"/>
      <c r="D32" s="21"/>
      <c r="E32" s="21">
        <v>160</v>
      </c>
      <c r="F32" s="21">
        <f>F31-F33</f>
        <v>400</v>
      </c>
      <c r="G32" s="21">
        <f>F32</f>
        <v>400</v>
      </c>
      <c r="H32" s="21">
        <f>G32</f>
        <v>400</v>
      </c>
    </row>
    <row r="33" spans="1:8" x14ac:dyDescent="0.25">
      <c r="A33" s="11"/>
      <c r="B33" s="12" t="s">
        <v>664</v>
      </c>
      <c r="C33" s="21"/>
      <c r="D33" s="21"/>
      <c r="E33" s="21">
        <f>+E31-E32</f>
        <v>640</v>
      </c>
      <c r="F33" s="21">
        <v>800</v>
      </c>
      <c r="G33" s="21">
        <f>+G31-G32</f>
        <v>800</v>
      </c>
      <c r="H33" s="21">
        <f>+H31-H32</f>
        <v>800</v>
      </c>
    </row>
    <row r="34" spans="1:8" x14ac:dyDescent="0.25">
      <c r="A34" s="13" t="s">
        <v>192</v>
      </c>
      <c r="B34" s="14" t="s">
        <v>1078</v>
      </c>
      <c r="C34" s="22"/>
      <c r="D34" s="22"/>
      <c r="E34" s="22">
        <f>E35+E39-E40</f>
        <v>5023</v>
      </c>
      <c r="F34" s="22">
        <f t="shared" ref="F34:H34" si="3">F35+F39-F40</f>
        <v>5111</v>
      </c>
      <c r="G34" s="22">
        <f t="shared" si="3"/>
        <v>5308</v>
      </c>
      <c r="H34" s="22">
        <f t="shared" si="3"/>
        <v>5423</v>
      </c>
    </row>
    <row r="35" spans="1:8" ht="37.5" x14ac:dyDescent="0.25">
      <c r="A35" s="11">
        <v>1</v>
      </c>
      <c r="B35" s="12" t="s">
        <v>1077</v>
      </c>
      <c r="C35" s="21"/>
      <c r="D35" s="21"/>
      <c r="E35" s="21">
        <f>E42+4267</f>
        <v>4523</v>
      </c>
      <c r="F35" s="21">
        <f>SUM(F36:F38)</f>
        <v>4693</v>
      </c>
      <c r="G35" s="21">
        <f t="shared" ref="G35:H35" si="4">SUM(G36:G38)</f>
        <v>4808</v>
      </c>
      <c r="H35" s="21">
        <f t="shared" si="4"/>
        <v>4923</v>
      </c>
    </row>
    <row r="36" spans="1:8" x14ac:dyDescent="0.25">
      <c r="A36" s="11"/>
      <c r="B36" s="12" t="s">
        <v>1381</v>
      </c>
      <c r="C36" s="21">
        <v>41</v>
      </c>
      <c r="D36" s="36">
        <v>36</v>
      </c>
      <c r="E36" s="21"/>
      <c r="F36" s="21">
        <v>4154</v>
      </c>
      <c r="G36" s="21">
        <f>ROUND(F36+11*8.8,0)</f>
        <v>4251</v>
      </c>
      <c r="H36" s="21">
        <f>ROUND(G36+11*8.8,0)</f>
        <v>4348</v>
      </c>
    </row>
    <row r="37" spans="1:8" ht="37.5" x14ac:dyDescent="0.25">
      <c r="A37" s="11"/>
      <c r="B37" s="12" t="s">
        <v>1382</v>
      </c>
      <c r="C37" s="21"/>
      <c r="D37" s="36"/>
      <c r="E37" s="21"/>
      <c r="F37" s="21">
        <v>258</v>
      </c>
      <c r="G37" s="21">
        <f>F37</f>
        <v>258</v>
      </c>
      <c r="H37" s="21">
        <f>G37</f>
        <v>258</v>
      </c>
    </row>
    <row r="38" spans="1:8" ht="37.5" x14ac:dyDescent="0.25">
      <c r="A38" s="11"/>
      <c r="B38" s="12" t="s">
        <v>1091</v>
      </c>
      <c r="C38" s="21">
        <v>6</v>
      </c>
      <c r="D38" s="21">
        <v>4</v>
      </c>
      <c r="E38" s="21"/>
      <c r="F38" s="21">
        <v>281</v>
      </c>
      <c r="G38" s="21">
        <f>ROUND(F38+2*8.8,0)</f>
        <v>299</v>
      </c>
      <c r="H38" s="21">
        <f>ROUND(G38+2*8.8,0)</f>
        <v>317</v>
      </c>
    </row>
    <row r="39" spans="1:8" ht="37.5" x14ac:dyDescent="0.25">
      <c r="A39" s="11">
        <v>2</v>
      </c>
      <c r="B39" s="59" t="s">
        <v>1383</v>
      </c>
      <c r="C39" s="21">
        <v>41</v>
      </c>
      <c r="D39" s="21"/>
      <c r="E39" s="36">
        <v>840</v>
      </c>
      <c r="F39" s="36">
        <f>C39*20</f>
        <v>820</v>
      </c>
      <c r="G39" s="36">
        <f>E39</f>
        <v>840</v>
      </c>
      <c r="H39" s="36">
        <f t="shared" ref="H39" si="5">G39</f>
        <v>840</v>
      </c>
    </row>
    <row r="40" spans="1:8" x14ac:dyDescent="0.25">
      <c r="A40" s="11">
        <v>3</v>
      </c>
      <c r="B40" s="59" t="s">
        <v>1092</v>
      </c>
      <c r="C40" s="21"/>
      <c r="D40" s="21"/>
      <c r="E40" s="36">
        <f>SUM(E41:E42)</f>
        <v>340</v>
      </c>
      <c r="F40" s="36">
        <f t="shared" ref="F40:H40" si="6">SUM(F41:F42)</f>
        <v>402</v>
      </c>
      <c r="G40" s="36">
        <f t="shared" si="6"/>
        <v>340</v>
      </c>
      <c r="H40" s="36">
        <f t="shared" si="6"/>
        <v>340</v>
      </c>
    </row>
    <row r="41" spans="1:8" x14ac:dyDescent="0.25">
      <c r="A41" s="11"/>
      <c r="B41" s="59" t="s">
        <v>969</v>
      </c>
      <c r="C41" s="21"/>
      <c r="D41" s="21"/>
      <c r="E41" s="21">
        <v>84</v>
      </c>
      <c r="F41" s="21">
        <v>82</v>
      </c>
      <c r="G41" s="21">
        <f>E41</f>
        <v>84</v>
      </c>
      <c r="H41" s="21">
        <f>G41</f>
        <v>84</v>
      </c>
    </row>
    <row r="42" spans="1:8" x14ac:dyDescent="0.25">
      <c r="A42" s="11"/>
      <c r="B42" s="59" t="s">
        <v>968</v>
      </c>
      <c r="C42" s="21"/>
      <c r="D42" s="21"/>
      <c r="E42" s="21">
        <v>256</v>
      </c>
      <c r="F42" s="21">
        <f>F33*0.4</f>
        <v>320</v>
      </c>
      <c r="G42" s="21">
        <f>E42</f>
        <v>256</v>
      </c>
      <c r="H42" s="21">
        <f>G42</f>
        <v>256</v>
      </c>
    </row>
    <row r="43" spans="1:8" s="146" customFormat="1" x14ac:dyDescent="0.25">
      <c r="A43" s="13" t="s">
        <v>192</v>
      </c>
      <c r="B43" s="63" t="s">
        <v>11</v>
      </c>
      <c r="C43" s="22"/>
      <c r="D43" s="22"/>
      <c r="E43" s="75">
        <f>SUM(E44:E51)</f>
        <v>405</v>
      </c>
      <c r="F43" s="75">
        <f t="shared" ref="F43:H43" si="7">SUM(F44:F51)</f>
        <v>528</v>
      </c>
      <c r="G43" s="75">
        <f t="shared" si="7"/>
        <v>368</v>
      </c>
      <c r="H43" s="75">
        <f t="shared" si="7"/>
        <v>368</v>
      </c>
    </row>
    <row r="44" spans="1:8" x14ac:dyDescent="0.25">
      <c r="A44" s="11"/>
      <c r="B44" s="59" t="s">
        <v>627</v>
      </c>
      <c r="C44" s="21"/>
      <c r="D44" s="21"/>
      <c r="E44" s="36">
        <v>15</v>
      </c>
      <c r="F44" s="36">
        <f>E44</f>
        <v>15</v>
      </c>
      <c r="G44" s="36">
        <f>E44</f>
        <v>15</v>
      </c>
      <c r="H44" s="36">
        <f t="shared" ref="H44:H48" si="8">G44</f>
        <v>15</v>
      </c>
    </row>
    <row r="45" spans="1:8" s="49" customFormat="1" x14ac:dyDescent="0.25">
      <c r="A45" s="58"/>
      <c r="B45" s="59" t="s">
        <v>297</v>
      </c>
      <c r="C45" s="60"/>
      <c r="D45" s="60"/>
      <c r="E45" s="60">
        <v>150</v>
      </c>
      <c r="F45" s="60">
        <v>200</v>
      </c>
      <c r="G45" s="60">
        <f>F45</f>
        <v>200</v>
      </c>
      <c r="H45" s="60">
        <f t="shared" si="8"/>
        <v>200</v>
      </c>
    </row>
    <row r="46" spans="1:8" s="49" customFormat="1" x14ac:dyDescent="0.25">
      <c r="A46" s="58"/>
      <c r="B46" s="59" t="s">
        <v>1394</v>
      </c>
      <c r="C46" s="60"/>
      <c r="D46" s="60"/>
      <c r="E46" s="60">
        <v>50</v>
      </c>
      <c r="F46" s="60">
        <f>E46+55</f>
        <v>105</v>
      </c>
      <c r="G46" s="60">
        <f>E46</f>
        <v>50</v>
      </c>
      <c r="H46" s="60">
        <f t="shared" si="8"/>
        <v>50</v>
      </c>
    </row>
    <row r="47" spans="1:8" s="49" customFormat="1" x14ac:dyDescent="0.25">
      <c r="A47" s="58"/>
      <c r="B47" s="59" t="s">
        <v>237</v>
      </c>
      <c r="C47" s="60"/>
      <c r="D47" s="60"/>
      <c r="E47" s="60">
        <v>40</v>
      </c>
      <c r="F47" s="60">
        <v>13</v>
      </c>
      <c r="G47" s="60">
        <f>F47</f>
        <v>13</v>
      </c>
      <c r="H47" s="60">
        <f t="shared" si="8"/>
        <v>13</v>
      </c>
    </row>
    <row r="48" spans="1:8" s="49" customFormat="1" x14ac:dyDescent="0.25">
      <c r="A48" s="58"/>
      <c r="B48" s="59" t="s">
        <v>298</v>
      </c>
      <c r="C48" s="60"/>
      <c r="D48" s="60"/>
      <c r="E48" s="60">
        <v>90</v>
      </c>
      <c r="F48" s="60">
        <f>E48</f>
        <v>90</v>
      </c>
      <c r="G48" s="60">
        <f>E48</f>
        <v>90</v>
      </c>
      <c r="H48" s="60">
        <f t="shared" si="8"/>
        <v>90</v>
      </c>
    </row>
    <row r="49" spans="1:8" s="49" customFormat="1" ht="56.25" x14ac:dyDescent="0.25">
      <c r="A49" s="58"/>
      <c r="B49" s="59" t="s">
        <v>1386</v>
      </c>
      <c r="C49" s="60"/>
      <c r="D49" s="60"/>
      <c r="E49" s="60">
        <v>60</v>
      </c>
      <c r="F49" s="60"/>
      <c r="G49" s="60"/>
      <c r="H49" s="60"/>
    </row>
    <row r="50" spans="1:8" s="49" customFormat="1" ht="93.75" x14ac:dyDescent="0.25">
      <c r="A50" s="58"/>
      <c r="B50" s="59" t="s">
        <v>1387</v>
      </c>
      <c r="C50" s="60"/>
      <c r="D50" s="60"/>
      <c r="E50" s="60"/>
      <c r="F50" s="60">
        <v>75</v>
      </c>
      <c r="G50" s="60"/>
      <c r="H50" s="60"/>
    </row>
    <row r="51" spans="1:8" s="49" customFormat="1" x14ac:dyDescent="0.25">
      <c r="A51" s="58"/>
      <c r="B51" s="59" t="s">
        <v>668</v>
      </c>
      <c r="C51" s="60"/>
      <c r="D51" s="60"/>
      <c r="E51" s="60"/>
      <c r="F51" s="60">
        <v>30</v>
      </c>
      <c r="G51" s="60"/>
      <c r="H51" s="60"/>
    </row>
    <row r="52" spans="1:8" s="114" customFormat="1" x14ac:dyDescent="0.25">
      <c r="A52" s="119" t="s">
        <v>52</v>
      </c>
      <c r="B52" s="112" t="s">
        <v>296</v>
      </c>
      <c r="C52" s="113"/>
      <c r="D52" s="113"/>
      <c r="E52" s="113">
        <f>E56+E65</f>
        <v>1667</v>
      </c>
      <c r="F52" s="113">
        <f t="shared" ref="F52:H52" si="9">F56+F65</f>
        <v>1917</v>
      </c>
      <c r="G52" s="113">
        <f t="shared" si="9"/>
        <v>1840</v>
      </c>
      <c r="H52" s="113">
        <f t="shared" si="9"/>
        <v>1884</v>
      </c>
    </row>
    <row r="53" spans="1:8" s="49" customFormat="1" x14ac:dyDescent="0.25">
      <c r="A53" s="58"/>
      <c r="B53" s="59" t="s">
        <v>667</v>
      </c>
      <c r="C53" s="60"/>
      <c r="D53" s="60"/>
      <c r="E53" s="60">
        <v>333</v>
      </c>
      <c r="F53" s="60">
        <v>109</v>
      </c>
      <c r="G53" s="60">
        <f>E53</f>
        <v>333</v>
      </c>
      <c r="H53" s="60">
        <f>G53</f>
        <v>333</v>
      </c>
    </row>
    <row r="54" spans="1:8" s="49" customFormat="1" x14ac:dyDescent="0.25">
      <c r="A54" s="58"/>
      <c r="B54" s="59" t="s">
        <v>610</v>
      </c>
      <c r="C54" s="60"/>
      <c r="D54" s="60"/>
      <c r="E54" s="60">
        <v>66</v>
      </c>
      <c r="F54" s="60">
        <f>F53-87</f>
        <v>22</v>
      </c>
      <c r="G54" s="60">
        <f>E54</f>
        <v>66</v>
      </c>
      <c r="H54" s="60">
        <f>G54</f>
        <v>66</v>
      </c>
    </row>
    <row r="55" spans="1:8" s="49" customFormat="1" x14ac:dyDescent="0.25">
      <c r="A55" s="58"/>
      <c r="B55" s="59" t="s">
        <v>611</v>
      </c>
      <c r="C55" s="60"/>
      <c r="D55" s="60"/>
      <c r="E55" s="60">
        <f>E53-E54</f>
        <v>267</v>
      </c>
      <c r="F55" s="60">
        <v>87</v>
      </c>
      <c r="G55" s="60">
        <f>G53-G54</f>
        <v>267</v>
      </c>
      <c r="H55" s="60">
        <f>H53-H54</f>
        <v>267</v>
      </c>
    </row>
    <row r="56" spans="1:8" s="76" customFormat="1" ht="21" customHeight="1" x14ac:dyDescent="0.25">
      <c r="A56" s="73" t="s">
        <v>192</v>
      </c>
      <c r="B56" s="14" t="s">
        <v>1078</v>
      </c>
      <c r="C56" s="75"/>
      <c r="D56" s="75"/>
      <c r="E56" s="75">
        <f>E57+E61-E62</f>
        <v>1637</v>
      </c>
      <c r="F56" s="75">
        <f t="shared" ref="F56:H56" si="10">F57+F61-F62</f>
        <v>1838</v>
      </c>
      <c r="G56" s="75">
        <f t="shared" si="10"/>
        <v>1810</v>
      </c>
      <c r="H56" s="75">
        <f t="shared" si="10"/>
        <v>1854</v>
      </c>
    </row>
    <row r="57" spans="1:8" s="76" customFormat="1" ht="56.25" x14ac:dyDescent="0.25">
      <c r="A57" s="77">
        <v>1</v>
      </c>
      <c r="B57" s="12" t="s">
        <v>1185</v>
      </c>
      <c r="C57" s="75"/>
      <c r="D57" s="75"/>
      <c r="E57" s="36">
        <f>E64+1397</f>
        <v>1503</v>
      </c>
      <c r="F57" s="36">
        <f>SUM(F58:F60)</f>
        <v>1632</v>
      </c>
      <c r="G57" s="36">
        <f t="shared" ref="G57:H57" si="11">SUM(G58:G60)</f>
        <v>1676</v>
      </c>
      <c r="H57" s="36">
        <f t="shared" si="11"/>
        <v>1720</v>
      </c>
    </row>
    <row r="58" spans="1:8" s="79" customFormat="1" x14ac:dyDescent="0.25">
      <c r="A58" s="77"/>
      <c r="B58" s="12" t="s">
        <v>1389</v>
      </c>
      <c r="C58" s="36">
        <v>14</v>
      </c>
      <c r="D58" s="36">
        <v>12</v>
      </c>
      <c r="E58" s="36"/>
      <c r="F58" s="36">
        <v>1367</v>
      </c>
      <c r="G58" s="21">
        <f>ROUND(F58+4*8.8,0)</f>
        <v>1402</v>
      </c>
      <c r="H58" s="21">
        <f>ROUND(G58+4*8.8,0)</f>
        <v>1437</v>
      </c>
    </row>
    <row r="59" spans="1:8" s="79" customFormat="1" ht="37.5" x14ac:dyDescent="0.25">
      <c r="A59" s="77"/>
      <c r="B59" s="12" t="s">
        <v>1390</v>
      </c>
      <c r="C59" s="36"/>
      <c r="D59" s="36"/>
      <c r="E59" s="36"/>
      <c r="F59" s="36">
        <v>103</v>
      </c>
      <c r="G59" s="21">
        <f>F59</f>
        <v>103</v>
      </c>
      <c r="H59" s="21">
        <f>G59</f>
        <v>103</v>
      </c>
    </row>
    <row r="60" spans="1:8" s="79" customFormat="1" ht="37.5" x14ac:dyDescent="0.25">
      <c r="A60" s="77"/>
      <c r="B60" s="59" t="s">
        <v>1388</v>
      </c>
      <c r="C60" s="36">
        <v>3</v>
      </c>
      <c r="D60" s="36">
        <v>2</v>
      </c>
      <c r="E60" s="36"/>
      <c r="F60" s="36">
        <v>162</v>
      </c>
      <c r="G60" s="21">
        <f>ROUND(F60+8.8,0)</f>
        <v>171</v>
      </c>
      <c r="H60" s="21">
        <f>ROUND(G60+8.8,0)</f>
        <v>180</v>
      </c>
    </row>
    <row r="61" spans="1:8" ht="37.5" x14ac:dyDescent="0.25">
      <c r="A61" s="11">
        <v>2</v>
      </c>
      <c r="B61" s="12" t="s">
        <v>299</v>
      </c>
      <c r="C61" s="21">
        <v>14</v>
      </c>
      <c r="D61" s="21"/>
      <c r="E61" s="21">
        <f>C61*19</f>
        <v>266</v>
      </c>
      <c r="F61" s="21">
        <f>C61*19</f>
        <v>266</v>
      </c>
      <c r="G61" s="21">
        <f>E61</f>
        <v>266</v>
      </c>
      <c r="H61" s="21">
        <f t="shared" ref="H61" si="12">G61</f>
        <v>266</v>
      </c>
    </row>
    <row r="62" spans="1:8" x14ac:dyDescent="0.25">
      <c r="A62" s="11">
        <v>3</v>
      </c>
      <c r="B62" s="59" t="s">
        <v>1092</v>
      </c>
      <c r="C62" s="21"/>
      <c r="D62" s="21"/>
      <c r="E62" s="21">
        <f>SUM(E63:E64)</f>
        <v>132</v>
      </c>
      <c r="F62" s="21">
        <f t="shared" ref="F62:H62" si="13">SUM(F63:F64)</f>
        <v>60</v>
      </c>
      <c r="G62" s="21">
        <f t="shared" si="13"/>
        <v>132</v>
      </c>
      <c r="H62" s="21">
        <f t="shared" si="13"/>
        <v>132</v>
      </c>
    </row>
    <row r="63" spans="1:8" s="79" customFormat="1" x14ac:dyDescent="0.25">
      <c r="A63" s="77"/>
      <c r="B63" s="59" t="s">
        <v>969</v>
      </c>
      <c r="C63" s="36"/>
      <c r="D63" s="36"/>
      <c r="E63" s="36">
        <v>26</v>
      </c>
      <c r="F63" s="36">
        <v>26</v>
      </c>
      <c r="G63" s="36">
        <f>E63</f>
        <v>26</v>
      </c>
      <c r="H63" s="36">
        <f>G63</f>
        <v>26</v>
      </c>
    </row>
    <row r="64" spans="1:8" s="79" customFormat="1" x14ac:dyDescent="0.25">
      <c r="A64" s="77"/>
      <c r="B64" s="59" t="s">
        <v>968</v>
      </c>
      <c r="C64" s="36"/>
      <c r="D64" s="36"/>
      <c r="E64" s="36">
        <v>106</v>
      </c>
      <c r="F64" s="36">
        <v>34</v>
      </c>
      <c r="G64" s="36">
        <f>E64</f>
        <v>106</v>
      </c>
      <c r="H64" s="36">
        <f>G64</f>
        <v>106</v>
      </c>
    </row>
    <row r="65" spans="1:8" s="146" customFormat="1" x14ac:dyDescent="0.25">
      <c r="A65" s="13" t="s">
        <v>192</v>
      </c>
      <c r="B65" s="14" t="s">
        <v>11</v>
      </c>
      <c r="C65" s="22"/>
      <c r="D65" s="22"/>
      <c r="E65" s="22">
        <f>SUM(E66:E68)</f>
        <v>30</v>
      </c>
      <c r="F65" s="22">
        <f>SUM(F66:F68)</f>
        <v>79</v>
      </c>
      <c r="G65" s="22">
        <f>SUM(G66:G68)</f>
        <v>30</v>
      </c>
      <c r="H65" s="22">
        <f>SUM(H66:H68)</f>
        <v>30</v>
      </c>
    </row>
    <row r="66" spans="1:8" x14ac:dyDescent="0.25">
      <c r="A66" s="11"/>
      <c r="B66" s="12" t="s">
        <v>627</v>
      </c>
      <c r="C66" s="21"/>
      <c r="D66" s="21"/>
      <c r="E66" s="21">
        <v>15</v>
      </c>
      <c r="F66" s="21">
        <f>E66</f>
        <v>15</v>
      </c>
      <c r="G66" s="36">
        <f>E66</f>
        <v>15</v>
      </c>
      <c r="H66" s="36">
        <f>G66</f>
        <v>15</v>
      </c>
    </row>
    <row r="67" spans="1:8" x14ac:dyDescent="0.25">
      <c r="A67" s="11"/>
      <c r="B67" s="12" t="s">
        <v>237</v>
      </c>
      <c r="C67" s="21"/>
      <c r="D67" s="21"/>
      <c r="E67" s="21">
        <v>15</v>
      </c>
      <c r="F67" s="21">
        <v>15</v>
      </c>
      <c r="G67" s="36">
        <f>E67</f>
        <v>15</v>
      </c>
      <c r="H67" s="36">
        <f>G67</f>
        <v>15</v>
      </c>
    </row>
    <row r="68" spans="1:8" x14ac:dyDescent="0.25">
      <c r="A68" s="11"/>
      <c r="B68" s="12" t="s">
        <v>1393</v>
      </c>
      <c r="C68" s="21"/>
      <c r="D68" s="21"/>
      <c r="E68" s="21"/>
      <c r="F68" s="21">
        <v>49</v>
      </c>
      <c r="G68" s="36"/>
      <c r="H68" s="36"/>
    </row>
    <row r="69" spans="1:8" s="76" customFormat="1" ht="21" customHeight="1" x14ac:dyDescent="0.25">
      <c r="A69" s="73" t="s">
        <v>147</v>
      </c>
      <c r="B69" s="14" t="s">
        <v>1385</v>
      </c>
      <c r="C69" s="75"/>
      <c r="D69" s="75"/>
      <c r="E69" s="75">
        <f>E70+E76</f>
        <v>1901</v>
      </c>
      <c r="F69" s="75">
        <f t="shared" ref="F69:H69" si="14">F70+F76</f>
        <v>1693</v>
      </c>
      <c r="G69" s="75">
        <f t="shared" si="14"/>
        <v>1706</v>
      </c>
      <c r="H69" s="75">
        <f t="shared" si="14"/>
        <v>1749</v>
      </c>
    </row>
    <row r="70" spans="1:8" s="76" customFormat="1" ht="21" customHeight="1" x14ac:dyDescent="0.25">
      <c r="A70" s="73" t="s">
        <v>192</v>
      </c>
      <c r="B70" s="14" t="s">
        <v>10</v>
      </c>
      <c r="C70" s="75"/>
      <c r="D70" s="75"/>
      <c r="E70" s="75">
        <f>E71+E74-E75</f>
        <v>1666</v>
      </c>
      <c r="F70" s="75">
        <f t="shared" ref="F70:H70" si="15">F71+F74-F75</f>
        <v>1648</v>
      </c>
      <c r="G70" s="75">
        <f t="shared" si="15"/>
        <v>1691</v>
      </c>
      <c r="H70" s="75">
        <f t="shared" si="15"/>
        <v>1734</v>
      </c>
    </row>
    <row r="71" spans="1:8" s="76" customFormat="1" ht="56.25" x14ac:dyDescent="0.25">
      <c r="A71" s="77">
        <v>1</v>
      </c>
      <c r="B71" s="12" t="s">
        <v>1185</v>
      </c>
      <c r="C71" s="75"/>
      <c r="D71" s="75"/>
      <c r="E71" s="36">
        <v>1460</v>
      </c>
      <c r="F71" s="36">
        <f>SUM(F72:F73)</f>
        <v>1459</v>
      </c>
      <c r="G71" s="36">
        <f t="shared" ref="G71:H71" si="16">SUM(G72:G73)</f>
        <v>1502</v>
      </c>
      <c r="H71" s="36">
        <f t="shared" si="16"/>
        <v>1545</v>
      </c>
    </row>
    <row r="72" spans="1:8" s="79" customFormat="1" x14ac:dyDescent="0.25">
      <c r="A72" s="77"/>
      <c r="B72" s="95" t="s">
        <v>1391</v>
      </c>
      <c r="C72" s="36">
        <v>11</v>
      </c>
      <c r="D72" s="36">
        <v>10</v>
      </c>
      <c r="E72" s="36"/>
      <c r="F72" s="36">
        <v>1238</v>
      </c>
      <c r="G72" s="36">
        <f>ROUND(F72+4*8.8,0)</f>
        <v>1273</v>
      </c>
      <c r="H72" s="36">
        <f>ROUND(G72+4*8.8,0)</f>
        <v>1308</v>
      </c>
    </row>
    <row r="73" spans="1:8" s="79" customFormat="1" ht="37.5" x14ac:dyDescent="0.25">
      <c r="A73" s="77"/>
      <c r="B73" s="59" t="s">
        <v>1384</v>
      </c>
      <c r="C73" s="36">
        <v>3</v>
      </c>
      <c r="D73" s="36">
        <v>2</v>
      </c>
      <c r="E73" s="36"/>
      <c r="F73" s="36">
        <v>221</v>
      </c>
      <c r="G73" s="36">
        <f>ROUND(F73+8.2,0)</f>
        <v>229</v>
      </c>
      <c r="H73" s="36">
        <f>ROUND(G73+8.2,0)</f>
        <v>237</v>
      </c>
    </row>
    <row r="74" spans="1:8" s="79" customFormat="1" ht="37.5" x14ac:dyDescent="0.25">
      <c r="A74" s="77">
        <v>2</v>
      </c>
      <c r="B74" s="78" t="s">
        <v>1392</v>
      </c>
      <c r="C74" s="36">
        <v>11</v>
      </c>
      <c r="D74" s="36"/>
      <c r="E74" s="36">
        <v>228</v>
      </c>
      <c r="F74" s="36">
        <f>C74*19</f>
        <v>209</v>
      </c>
      <c r="G74" s="36">
        <f>F74</f>
        <v>209</v>
      </c>
      <c r="H74" s="36">
        <f>G74</f>
        <v>209</v>
      </c>
    </row>
    <row r="75" spans="1:8" s="79" customFormat="1" ht="37.5" x14ac:dyDescent="0.25">
      <c r="A75" s="77">
        <v>3</v>
      </c>
      <c r="B75" s="78" t="s">
        <v>103</v>
      </c>
      <c r="C75" s="36"/>
      <c r="D75" s="36"/>
      <c r="E75" s="36">
        <v>22</v>
      </c>
      <c r="F75" s="36">
        <v>20</v>
      </c>
      <c r="G75" s="36">
        <f>F75</f>
        <v>20</v>
      </c>
      <c r="H75" s="36">
        <f>G75</f>
        <v>20</v>
      </c>
    </row>
    <row r="76" spans="1:8" s="50" customFormat="1" x14ac:dyDescent="0.25">
      <c r="A76" s="62" t="s">
        <v>192</v>
      </c>
      <c r="B76" s="63" t="s">
        <v>11</v>
      </c>
      <c r="C76" s="64"/>
      <c r="D76" s="64"/>
      <c r="E76" s="64">
        <f>SUM(E77:E80)</f>
        <v>235</v>
      </c>
      <c r="F76" s="64">
        <f t="shared" ref="F76:H76" si="17">SUM(F77:F80)</f>
        <v>45</v>
      </c>
      <c r="G76" s="64">
        <f t="shared" si="17"/>
        <v>15</v>
      </c>
      <c r="H76" s="64">
        <f t="shared" si="17"/>
        <v>15</v>
      </c>
    </row>
    <row r="77" spans="1:8" s="49" customFormat="1" x14ac:dyDescent="0.25">
      <c r="A77" s="58"/>
      <c r="B77" s="12" t="s">
        <v>627</v>
      </c>
      <c r="C77" s="60"/>
      <c r="D77" s="60"/>
      <c r="E77" s="60">
        <v>15</v>
      </c>
      <c r="F77" s="60">
        <f>E77</f>
        <v>15</v>
      </c>
      <c r="G77" s="60">
        <f>E77</f>
        <v>15</v>
      </c>
      <c r="H77" s="60">
        <f>G77</f>
        <v>15</v>
      </c>
    </row>
    <row r="78" spans="1:8" s="49" customFormat="1" x14ac:dyDescent="0.3">
      <c r="A78" s="58"/>
      <c r="B78" s="33" t="s">
        <v>668</v>
      </c>
      <c r="C78" s="60"/>
      <c r="D78" s="60"/>
      <c r="E78" s="60">
        <v>40</v>
      </c>
      <c r="F78" s="60"/>
      <c r="G78" s="60"/>
      <c r="H78" s="60"/>
    </row>
    <row r="79" spans="1:8" s="49" customFormat="1" x14ac:dyDescent="0.3">
      <c r="A79" s="58"/>
      <c r="B79" s="33" t="s">
        <v>670</v>
      </c>
      <c r="C79" s="60"/>
      <c r="D79" s="60"/>
      <c r="E79" s="60">
        <v>150</v>
      </c>
      <c r="F79" s="60"/>
      <c r="G79" s="60"/>
      <c r="H79" s="60"/>
    </row>
    <row r="80" spans="1:8" s="49" customFormat="1" x14ac:dyDescent="0.25">
      <c r="A80" s="58"/>
      <c r="B80" s="59" t="s">
        <v>300</v>
      </c>
      <c r="C80" s="60"/>
      <c r="D80" s="60"/>
      <c r="E80" s="60">
        <v>30</v>
      </c>
      <c r="F80" s="60">
        <v>30</v>
      </c>
      <c r="G80" s="60"/>
      <c r="H80" s="60"/>
    </row>
    <row r="81" spans="1:8" s="50" customFormat="1" x14ac:dyDescent="0.25">
      <c r="A81" s="62" t="s">
        <v>7</v>
      </c>
      <c r="B81" s="63" t="s">
        <v>671</v>
      </c>
      <c r="C81" s="64"/>
      <c r="D81" s="64"/>
      <c r="E81" s="64">
        <f>SUM(E82:E98)-E89</f>
        <v>370884</v>
      </c>
      <c r="F81" s="64">
        <f t="shared" ref="F81:H81" si="18">SUM(F82:F98)-F89</f>
        <v>387375</v>
      </c>
      <c r="G81" s="64">
        <f t="shared" si="18"/>
        <v>378047</v>
      </c>
      <c r="H81" s="64">
        <f t="shared" si="18"/>
        <v>385210</v>
      </c>
    </row>
    <row r="82" spans="1:8" s="49" customFormat="1" ht="37.5" x14ac:dyDescent="0.25">
      <c r="A82" s="58" t="s">
        <v>99</v>
      </c>
      <c r="B82" s="59" t="s">
        <v>303</v>
      </c>
      <c r="C82" s="60"/>
      <c r="D82" s="60"/>
      <c r="E82" s="388">
        <v>18803</v>
      </c>
      <c r="F82" s="388">
        <v>21311</v>
      </c>
      <c r="G82" s="60">
        <f t="shared" ref="G82:G89" si="19">E82</f>
        <v>18803</v>
      </c>
      <c r="H82" s="60">
        <f t="shared" ref="H82:H88" si="20">G82</f>
        <v>18803</v>
      </c>
    </row>
    <row r="83" spans="1:8" s="49" customFormat="1" ht="37.5" x14ac:dyDescent="0.25">
      <c r="A83" s="58" t="s">
        <v>99</v>
      </c>
      <c r="B83" s="59" t="s">
        <v>672</v>
      </c>
      <c r="C83" s="60"/>
      <c r="D83" s="60"/>
      <c r="E83" s="388">
        <v>11101</v>
      </c>
      <c r="F83" s="388">
        <v>16795</v>
      </c>
      <c r="G83" s="60">
        <f t="shared" si="19"/>
        <v>11101</v>
      </c>
      <c r="H83" s="60">
        <f t="shared" si="20"/>
        <v>11101</v>
      </c>
    </row>
    <row r="84" spans="1:8" s="49" customFormat="1" x14ac:dyDescent="0.25">
      <c r="A84" s="58" t="s">
        <v>99</v>
      </c>
      <c r="B84" s="59" t="s">
        <v>301</v>
      </c>
      <c r="C84" s="60"/>
      <c r="D84" s="60"/>
      <c r="E84" s="388">
        <v>9423</v>
      </c>
      <c r="F84" s="388">
        <v>9944</v>
      </c>
      <c r="G84" s="60">
        <f t="shared" si="19"/>
        <v>9423</v>
      </c>
      <c r="H84" s="60">
        <f t="shared" si="20"/>
        <v>9423</v>
      </c>
    </row>
    <row r="85" spans="1:8" s="49" customFormat="1" x14ac:dyDescent="0.25">
      <c r="A85" s="58" t="s">
        <v>99</v>
      </c>
      <c r="B85" s="59" t="s">
        <v>302</v>
      </c>
      <c r="C85" s="60"/>
      <c r="D85" s="60"/>
      <c r="E85" s="388">
        <v>650</v>
      </c>
      <c r="F85" s="388">
        <f>E85</f>
        <v>650</v>
      </c>
      <c r="G85" s="60">
        <f t="shared" si="19"/>
        <v>650</v>
      </c>
      <c r="H85" s="60">
        <f t="shared" si="20"/>
        <v>650</v>
      </c>
    </row>
    <row r="86" spans="1:8" s="49" customFormat="1" x14ac:dyDescent="0.25">
      <c r="A86" s="58" t="s">
        <v>99</v>
      </c>
      <c r="B86" s="59" t="s">
        <v>304</v>
      </c>
      <c r="C86" s="60"/>
      <c r="D86" s="60"/>
      <c r="E86" s="388">
        <v>11000</v>
      </c>
      <c r="F86" s="388">
        <v>9000</v>
      </c>
      <c r="G86" s="60">
        <f t="shared" si="19"/>
        <v>11000</v>
      </c>
      <c r="H86" s="60">
        <f t="shared" si="20"/>
        <v>11000</v>
      </c>
    </row>
    <row r="87" spans="1:8" s="49" customFormat="1" x14ac:dyDescent="0.25">
      <c r="A87" s="58" t="s">
        <v>99</v>
      </c>
      <c r="B87" s="59" t="s">
        <v>673</v>
      </c>
      <c r="C87" s="60"/>
      <c r="D87" s="60"/>
      <c r="E87" s="388">
        <v>8765</v>
      </c>
      <c r="F87" s="388"/>
      <c r="G87" s="60">
        <f t="shared" si="19"/>
        <v>8765</v>
      </c>
      <c r="H87" s="60">
        <f t="shared" si="20"/>
        <v>8765</v>
      </c>
    </row>
    <row r="88" spans="1:8" s="49" customFormat="1" ht="75" x14ac:dyDescent="0.25">
      <c r="A88" s="58" t="s">
        <v>99</v>
      </c>
      <c r="B88" s="59" t="s">
        <v>979</v>
      </c>
      <c r="C88" s="60"/>
      <c r="D88" s="60"/>
      <c r="E88" s="389">
        <f>(45*48)+(45*19)-85</f>
        <v>2930</v>
      </c>
      <c r="F88" s="389"/>
      <c r="G88" s="60">
        <f t="shared" si="19"/>
        <v>2930</v>
      </c>
      <c r="H88" s="60">
        <f t="shared" si="20"/>
        <v>2930</v>
      </c>
    </row>
    <row r="89" spans="1:8" s="49" customFormat="1" ht="75" x14ac:dyDescent="0.25">
      <c r="A89" s="58" t="s">
        <v>99</v>
      </c>
      <c r="B89" s="59" t="s">
        <v>1396</v>
      </c>
      <c r="C89" s="60"/>
      <c r="D89" s="60"/>
      <c r="E89" s="388">
        <f>SUM(E90:E93)</f>
        <v>21202</v>
      </c>
      <c r="F89" s="388">
        <f>SUM(F90:F93)</f>
        <v>22591</v>
      </c>
      <c r="G89" s="60">
        <f t="shared" si="19"/>
        <v>21202</v>
      </c>
      <c r="H89" s="60">
        <f>G89</f>
        <v>21202</v>
      </c>
    </row>
    <row r="90" spans="1:8" s="87" customFormat="1" x14ac:dyDescent="0.25">
      <c r="A90" s="84"/>
      <c r="B90" s="85" t="s">
        <v>678</v>
      </c>
      <c r="C90" s="86">
        <v>185</v>
      </c>
      <c r="D90" s="86">
        <v>163</v>
      </c>
      <c r="E90" s="86">
        <v>14641</v>
      </c>
      <c r="F90" s="86">
        <v>13783</v>
      </c>
      <c r="G90" s="196">
        <f>ROUND(E90+48*6.7,0)</f>
        <v>14963</v>
      </c>
      <c r="H90" s="196">
        <f>ROUND(G90+48*6.7,0)</f>
        <v>15285</v>
      </c>
    </row>
    <row r="91" spans="1:8" s="87" customFormat="1" x14ac:dyDescent="0.25">
      <c r="A91" s="84"/>
      <c r="B91" s="85" t="s">
        <v>675</v>
      </c>
      <c r="C91" s="86">
        <v>40</v>
      </c>
      <c r="D91" s="86">
        <v>31</v>
      </c>
      <c r="E91" s="86">
        <v>3080</v>
      </c>
      <c r="F91" s="86">
        <v>3864</v>
      </c>
      <c r="G91" s="86">
        <f>ROUND(E91+9*6.7,0)</f>
        <v>3140</v>
      </c>
      <c r="H91" s="86">
        <f>ROUND(G91+9*6.7,0)</f>
        <v>3200</v>
      </c>
    </row>
    <row r="92" spans="1:8" s="87" customFormat="1" x14ac:dyDescent="0.25">
      <c r="A92" s="84"/>
      <c r="B92" s="85" t="s">
        <v>676</v>
      </c>
      <c r="C92" s="86">
        <v>26</v>
      </c>
      <c r="D92" s="86">
        <v>18</v>
      </c>
      <c r="E92" s="86">
        <v>1798</v>
      </c>
      <c r="F92" s="86">
        <v>2481</v>
      </c>
      <c r="G92" s="86">
        <f>ROUND(E92+6*6.7,0)</f>
        <v>1838</v>
      </c>
      <c r="H92" s="86">
        <f>ROUND(G92+6*6.7,0)</f>
        <v>1878</v>
      </c>
    </row>
    <row r="93" spans="1:8" s="87" customFormat="1" x14ac:dyDescent="0.25">
      <c r="A93" s="197"/>
      <c r="B93" s="85" t="s">
        <v>677</v>
      </c>
      <c r="C93" s="86">
        <v>26</v>
      </c>
      <c r="D93" s="86">
        <v>17</v>
      </c>
      <c r="E93" s="86">
        <v>1683</v>
      </c>
      <c r="F93" s="86">
        <v>2463</v>
      </c>
      <c r="G93" s="86">
        <f>ROUND(E93+6*6.7,0)</f>
        <v>1723</v>
      </c>
      <c r="H93" s="86">
        <f>ROUND(G93+6*6.7,0)</f>
        <v>1763</v>
      </c>
    </row>
    <row r="94" spans="1:8" s="49" customFormat="1" ht="37.5" x14ac:dyDescent="0.25">
      <c r="A94" s="58" t="s">
        <v>99</v>
      </c>
      <c r="B94" s="59" t="s">
        <v>680</v>
      </c>
      <c r="C94" s="60"/>
      <c r="D94" s="60"/>
      <c r="E94" s="60">
        <v>105700</v>
      </c>
      <c r="F94" s="60">
        <v>89100</v>
      </c>
      <c r="G94" s="60">
        <f>E94</f>
        <v>105700</v>
      </c>
      <c r="H94" s="60">
        <f>G94</f>
        <v>105700</v>
      </c>
    </row>
    <row r="95" spans="1:8" s="49" customFormat="1" x14ac:dyDescent="0.25">
      <c r="A95" s="58" t="s">
        <v>99</v>
      </c>
      <c r="B95" s="59" t="s">
        <v>679</v>
      </c>
      <c r="C95" s="60">
        <v>1960</v>
      </c>
      <c r="D95" s="60">
        <v>634</v>
      </c>
      <c r="E95" s="60">
        <f>28500+500</f>
        <v>29000</v>
      </c>
      <c r="F95" s="60">
        <v>16000</v>
      </c>
      <c r="G95" s="36">
        <f>ROUND(E95+190*6.7,0)</f>
        <v>30273</v>
      </c>
      <c r="H95" s="36">
        <f>ROUND(G95+190*6.7,0)</f>
        <v>31546</v>
      </c>
    </row>
    <row r="96" spans="1:8" s="49" customFormat="1" ht="56.25" x14ac:dyDescent="0.25">
      <c r="A96" s="58" t="s">
        <v>99</v>
      </c>
      <c r="B96" s="59" t="s">
        <v>1397</v>
      </c>
      <c r="C96" s="60">
        <v>1365</v>
      </c>
      <c r="D96" s="60">
        <v>1352</v>
      </c>
      <c r="E96" s="60">
        <v>121620</v>
      </c>
      <c r="F96" s="60">
        <v>131984</v>
      </c>
      <c r="G96" s="36">
        <f>ROUND(E96+405*6.7,0)</f>
        <v>124334</v>
      </c>
      <c r="H96" s="36">
        <f>ROUND(G96+405*6.7,0)</f>
        <v>127048</v>
      </c>
    </row>
    <row r="97" spans="1:8" s="49" customFormat="1" x14ac:dyDescent="0.25">
      <c r="A97" s="58" t="s">
        <v>99</v>
      </c>
      <c r="B97" s="59" t="s">
        <v>681</v>
      </c>
      <c r="C97" s="60"/>
      <c r="D97" s="60"/>
      <c r="E97" s="389">
        <f>32915-500-1725</f>
        <v>30690</v>
      </c>
      <c r="F97" s="389">
        <v>40000</v>
      </c>
      <c r="G97" s="36">
        <f>ROUND(E97+405*6.7,0)</f>
        <v>33404</v>
      </c>
      <c r="H97" s="36">
        <f>ROUND(G97+405*6.7,0)</f>
        <v>36118</v>
      </c>
    </row>
    <row r="98" spans="1:8" s="49" customFormat="1" ht="37.5" x14ac:dyDescent="0.25">
      <c r="A98" s="58" t="s">
        <v>99</v>
      </c>
      <c r="B98" s="59" t="s">
        <v>1398</v>
      </c>
      <c r="C98" s="60"/>
      <c r="D98" s="60"/>
      <c r="E98" s="60"/>
      <c r="F98" s="60">
        <v>30000</v>
      </c>
      <c r="G98" s="36"/>
      <c r="H98" s="36"/>
    </row>
    <row r="99" spans="1:8" s="50" customFormat="1" x14ac:dyDescent="0.3">
      <c r="A99" s="62" t="s">
        <v>16</v>
      </c>
      <c r="B99" s="66" t="s">
        <v>348</v>
      </c>
      <c r="C99" s="64"/>
      <c r="D99" s="64"/>
      <c r="E99" s="64">
        <f>SUM(E100:E102)</f>
        <v>17000</v>
      </c>
      <c r="F99" s="64">
        <f t="shared" ref="F99:G99" si="21">SUM(F100:F102)</f>
        <v>17000</v>
      </c>
      <c r="G99" s="64">
        <f t="shared" si="21"/>
        <v>17000</v>
      </c>
      <c r="H99" s="64">
        <f>SUM(H100:H102)</f>
        <v>17000</v>
      </c>
    </row>
    <row r="100" spans="1:8" s="49" customFormat="1" ht="37.5" x14ac:dyDescent="0.25">
      <c r="A100" s="58" t="s">
        <v>99</v>
      </c>
      <c r="B100" s="59" t="s">
        <v>116</v>
      </c>
      <c r="C100" s="60"/>
      <c r="D100" s="60"/>
      <c r="E100" s="60">
        <v>17000</v>
      </c>
      <c r="F100" s="60">
        <f>E100</f>
        <v>17000</v>
      </c>
      <c r="G100" s="60">
        <f>E100</f>
        <v>17000</v>
      </c>
      <c r="H100" s="60">
        <f>G100</f>
        <v>17000</v>
      </c>
    </row>
    <row r="101" spans="1:8" s="49" customFormat="1" hidden="1" x14ac:dyDescent="0.25">
      <c r="A101" s="58" t="s">
        <v>99</v>
      </c>
      <c r="B101" s="59"/>
      <c r="C101" s="60"/>
      <c r="D101" s="60"/>
      <c r="E101" s="60"/>
      <c r="F101" s="60"/>
      <c r="G101" s="60"/>
      <c r="H101" s="60"/>
    </row>
    <row r="102" spans="1:8" s="49" customFormat="1" hidden="1" x14ac:dyDescent="0.25">
      <c r="A102" s="58" t="s">
        <v>99</v>
      </c>
      <c r="B102" s="59"/>
      <c r="C102" s="60"/>
      <c r="D102" s="60"/>
      <c r="E102" s="60"/>
      <c r="F102" s="60"/>
      <c r="G102" s="60"/>
      <c r="H102" s="60"/>
    </row>
    <row r="103" spans="1:8" s="49" customFormat="1" hidden="1" x14ac:dyDescent="0.25">
      <c r="A103" s="58"/>
      <c r="B103" s="59"/>
      <c r="C103" s="60"/>
      <c r="D103" s="60"/>
      <c r="E103" s="60"/>
      <c r="F103" s="60"/>
      <c r="G103" s="60"/>
      <c r="H103" s="60"/>
    </row>
    <row r="104" spans="1:8" s="49" customFormat="1" hidden="1" x14ac:dyDescent="0.25">
      <c r="A104" s="58"/>
      <c r="B104" s="59"/>
      <c r="C104" s="60"/>
      <c r="D104" s="60"/>
      <c r="E104" s="60"/>
      <c r="F104" s="60"/>
      <c r="G104" s="60"/>
      <c r="H104" s="60"/>
    </row>
    <row r="105" spans="1:8" s="49" customFormat="1" hidden="1" x14ac:dyDescent="0.25">
      <c r="A105" s="58"/>
      <c r="B105" s="59"/>
      <c r="C105" s="60"/>
      <c r="D105" s="60"/>
      <c r="E105" s="60"/>
      <c r="F105" s="60"/>
      <c r="G105" s="60"/>
      <c r="H105" s="60"/>
    </row>
    <row r="106" spans="1:8" s="50" customFormat="1" hidden="1" x14ac:dyDescent="0.25">
      <c r="A106" s="62">
        <v>5</v>
      </c>
      <c r="B106" s="63" t="s">
        <v>287</v>
      </c>
      <c r="C106" s="64"/>
      <c r="D106" s="64"/>
      <c r="E106" s="64">
        <f>E107</f>
        <v>0</v>
      </c>
      <c r="F106" s="64"/>
      <c r="G106" s="64">
        <f>G107</f>
        <v>0</v>
      </c>
      <c r="H106" s="64">
        <f>H107</f>
        <v>0</v>
      </c>
    </row>
    <row r="107" spans="1:8" s="49" customFormat="1" hidden="1" x14ac:dyDescent="0.25">
      <c r="A107" s="58" t="s">
        <v>99</v>
      </c>
      <c r="B107" s="59"/>
      <c r="C107" s="60"/>
      <c r="D107" s="60"/>
      <c r="E107" s="60"/>
      <c r="F107" s="60"/>
      <c r="G107" s="60">
        <f>E107</f>
        <v>0</v>
      </c>
      <c r="H107" s="60">
        <f>G107</f>
        <v>0</v>
      </c>
    </row>
    <row r="108" spans="1:8" s="49" customFormat="1" x14ac:dyDescent="0.25">
      <c r="A108" s="67"/>
      <c r="B108" s="68"/>
      <c r="C108" s="69"/>
      <c r="D108" s="69"/>
      <c r="E108" s="69"/>
      <c r="F108" s="69"/>
      <c r="G108" s="69"/>
      <c r="H108" s="69"/>
    </row>
    <row r="109" spans="1:8" s="49" customFormat="1" ht="43.5" customHeight="1" x14ac:dyDescent="0.25">
      <c r="A109" s="70"/>
      <c r="B109" s="567" t="s">
        <v>1399</v>
      </c>
      <c r="C109" s="567"/>
      <c r="D109" s="567"/>
      <c r="E109" s="567"/>
      <c r="F109" s="567"/>
      <c r="G109" s="567"/>
      <c r="H109" s="567"/>
    </row>
    <row r="110" spans="1:8" x14ac:dyDescent="0.25">
      <c r="A110" s="2"/>
      <c r="B110" s="7" t="s">
        <v>865</v>
      </c>
    </row>
    <row r="111" spans="1:8" x14ac:dyDescent="0.25">
      <c r="A111" s="2"/>
    </row>
    <row r="112" spans="1:8" x14ac:dyDescent="0.25">
      <c r="A112" s="550" t="s">
        <v>36</v>
      </c>
      <c r="B112" s="550"/>
      <c r="D112" s="550" t="s">
        <v>37</v>
      </c>
      <c r="E112" s="550"/>
      <c r="F112" s="550"/>
      <c r="G112" s="550"/>
      <c r="H112" s="550"/>
    </row>
  </sheetData>
  <mergeCells count="20">
    <mergeCell ref="B109:H109"/>
    <mergeCell ref="A112:B112"/>
    <mergeCell ref="D112:H112"/>
    <mergeCell ref="C22:H22"/>
    <mergeCell ref="C23:H23"/>
    <mergeCell ref="C24:H24"/>
    <mergeCell ref="B25:H25"/>
    <mergeCell ref="C21:H21"/>
    <mergeCell ref="A1:H1"/>
    <mergeCell ref="B3:H3"/>
    <mergeCell ref="C6:H6"/>
    <mergeCell ref="C7:H7"/>
    <mergeCell ref="C8:H8"/>
    <mergeCell ref="C9:H9"/>
    <mergeCell ref="C10:H10"/>
    <mergeCell ref="C15:H15"/>
    <mergeCell ref="C17:H17"/>
    <mergeCell ref="C18:H18"/>
    <mergeCell ref="C20:H20"/>
    <mergeCell ref="C19:H19"/>
  </mergeCells>
  <printOptions horizontalCentered="1"/>
  <pageMargins left="0" right="0" top="0.75" bottom="0.5" header="0.31496062992126" footer="0.31496062992126"/>
  <pageSetup paperSize="9" scale="88" orientation="portrait" r:id="rId1"/>
  <headerFooter>
    <oddFooter>&amp;C&amp;P/&amp;N</oddFooter>
  </headerFooter>
  <legacyDrawing r:id="rId2"/>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112"/>
  <sheetViews>
    <sheetView tabSelected="1" topLeftCell="A91" zoomScaleNormal="100" workbookViewId="0">
      <selection activeCell="I111" sqref="I111"/>
    </sheetView>
  </sheetViews>
  <sheetFormatPr defaultColWidth="9.140625" defaultRowHeight="18.75" x14ac:dyDescent="0.25"/>
  <cols>
    <col min="1" max="1" width="4.85546875" style="418" customWidth="1"/>
    <col min="2" max="2" width="45.140625" style="418" customWidth="1"/>
    <col min="3" max="4" width="7.85546875" style="418" customWidth="1"/>
    <col min="5" max="8" width="11.7109375" style="418" customWidth="1"/>
    <col min="9" max="16384" width="9.140625" style="418"/>
  </cols>
  <sheetData>
    <row r="1" spans="1:8" ht="41.25" customHeight="1" x14ac:dyDescent="0.25">
      <c r="A1" s="549" t="s">
        <v>1074</v>
      </c>
      <c r="B1" s="555"/>
      <c r="C1" s="555"/>
      <c r="D1" s="555"/>
      <c r="E1" s="555"/>
      <c r="F1" s="555"/>
      <c r="G1" s="555"/>
      <c r="H1" s="555"/>
    </row>
    <row r="2" spans="1:8" x14ac:dyDescent="0.25">
      <c r="A2" s="417"/>
      <c r="B2" s="417"/>
      <c r="C2" s="417"/>
      <c r="D2" s="413"/>
      <c r="E2" s="413"/>
      <c r="F2" s="413"/>
      <c r="G2" s="413"/>
      <c r="H2" s="413"/>
    </row>
    <row r="3" spans="1:8" ht="40.5" customHeight="1" x14ac:dyDescent="0.25">
      <c r="B3" s="565" t="s">
        <v>1400</v>
      </c>
      <c r="C3" s="565"/>
      <c r="D3" s="565"/>
      <c r="E3" s="565"/>
      <c r="F3" s="565"/>
      <c r="G3" s="565"/>
      <c r="H3" s="565"/>
    </row>
    <row r="4" spans="1:8" x14ac:dyDescent="0.25">
      <c r="B4" s="418" t="s">
        <v>39</v>
      </c>
      <c r="D4" s="419"/>
      <c r="E4" s="419"/>
      <c r="F4" s="419"/>
      <c r="G4" s="419"/>
      <c r="H4" s="419"/>
    </row>
    <row r="5" spans="1:8" s="417" customFormat="1" x14ac:dyDescent="0.25">
      <c r="B5" s="415" t="s">
        <v>18</v>
      </c>
    </row>
    <row r="6" spans="1:8" x14ac:dyDescent="0.25">
      <c r="B6" s="414" t="s">
        <v>23</v>
      </c>
      <c r="C6" s="558" t="s">
        <v>49</v>
      </c>
      <c r="D6" s="558"/>
      <c r="E6" s="558"/>
      <c r="F6" s="558"/>
      <c r="G6" s="558"/>
      <c r="H6" s="558"/>
    </row>
    <row r="7" spans="1:8" hidden="1" x14ac:dyDescent="0.25">
      <c r="A7" s="414"/>
      <c r="B7" s="414" t="s">
        <v>19</v>
      </c>
      <c r="C7" s="558" t="s">
        <v>50</v>
      </c>
      <c r="D7" s="558"/>
      <c r="E7" s="558"/>
      <c r="F7" s="558"/>
      <c r="G7" s="558"/>
      <c r="H7" s="558"/>
    </row>
    <row r="8" spans="1:8" hidden="1" x14ac:dyDescent="0.25">
      <c r="A8" s="414"/>
      <c r="B8" s="414" t="s">
        <v>90</v>
      </c>
      <c r="C8" s="558" t="s">
        <v>60</v>
      </c>
      <c r="D8" s="558"/>
      <c r="E8" s="558"/>
      <c r="F8" s="558"/>
      <c r="G8" s="558"/>
      <c r="H8" s="558"/>
    </row>
    <row r="9" spans="1:8" x14ac:dyDescent="0.25">
      <c r="A9" s="414"/>
      <c r="B9" s="414" t="s">
        <v>59</v>
      </c>
      <c r="C9" s="558" t="s">
        <v>60</v>
      </c>
      <c r="D9" s="558"/>
      <c r="E9" s="558"/>
      <c r="F9" s="558"/>
      <c r="G9" s="558"/>
      <c r="H9" s="558"/>
    </row>
    <row r="10" spans="1:8" hidden="1" x14ac:dyDescent="0.25">
      <c r="A10" s="414"/>
      <c r="B10" s="414" t="s">
        <v>20</v>
      </c>
      <c r="C10" s="558" t="s">
        <v>86</v>
      </c>
      <c r="D10" s="558"/>
      <c r="E10" s="558"/>
      <c r="F10" s="558"/>
      <c r="G10" s="558"/>
      <c r="H10" s="558"/>
    </row>
    <row r="11" spans="1:8" x14ac:dyDescent="0.25">
      <c r="A11" s="414"/>
      <c r="B11" s="414" t="s">
        <v>1205</v>
      </c>
      <c r="C11" s="544" t="s">
        <v>87</v>
      </c>
      <c r="D11" s="544"/>
      <c r="E11" s="544"/>
      <c r="F11" s="544"/>
      <c r="G11" s="544"/>
      <c r="H11" s="544"/>
    </row>
    <row r="12" spans="1:8" x14ac:dyDescent="0.25">
      <c r="A12" s="414"/>
      <c r="B12" s="414" t="s">
        <v>213</v>
      </c>
      <c r="C12" s="544" t="s">
        <v>88</v>
      </c>
      <c r="D12" s="544"/>
      <c r="E12" s="544"/>
      <c r="F12" s="544"/>
      <c r="G12" s="544"/>
      <c r="H12" s="544"/>
    </row>
    <row r="13" spans="1:8" hidden="1" x14ac:dyDescent="0.25">
      <c r="A13" s="414"/>
      <c r="B13" s="414" t="s">
        <v>94</v>
      </c>
      <c r="C13" s="544" t="s">
        <v>95</v>
      </c>
      <c r="D13" s="544"/>
      <c r="E13" s="544"/>
      <c r="F13" s="544"/>
      <c r="G13" s="544"/>
      <c r="H13" s="544"/>
    </row>
    <row r="14" spans="1:8" x14ac:dyDescent="0.25">
      <c r="A14" s="414"/>
      <c r="B14" s="414"/>
      <c r="C14" s="544"/>
      <c r="D14" s="544"/>
      <c r="E14" s="544"/>
      <c r="F14" s="544"/>
      <c r="G14" s="544"/>
      <c r="H14" s="544"/>
    </row>
    <row r="15" spans="1:8" hidden="1" x14ac:dyDescent="0.25">
      <c r="A15" s="414"/>
      <c r="B15" s="414" t="s">
        <v>21</v>
      </c>
      <c r="C15" s="558"/>
      <c r="D15" s="558"/>
      <c r="E15" s="558"/>
      <c r="F15" s="558"/>
      <c r="G15" s="558"/>
      <c r="H15" s="558"/>
    </row>
    <row r="16" spans="1:8" s="417" customFormat="1" x14ac:dyDescent="0.25">
      <c r="A16" s="415"/>
      <c r="B16" s="415" t="s">
        <v>288</v>
      </c>
      <c r="C16" s="415"/>
      <c r="D16" s="415"/>
      <c r="E16" s="415"/>
      <c r="F16" s="415"/>
      <c r="G16" s="415"/>
      <c r="H16" s="415"/>
    </row>
    <row r="17" spans="1:8" x14ac:dyDescent="0.25">
      <c r="A17" s="414"/>
      <c r="B17" s="414" t="s">
        <v>290</v>
      </c>
      <c r="C17" s="558" t="s">
        <v>212</v>
      </c>
      <c r="D17" s="558"/>
      <c r="E17" s="558"/>
      <c r="F17" s="558"/>
      <c r="G17" s="558"/>
      <c r="H17" s="558"/>
    </row>
    <row r="18" spans="1:8" x14ac:dyDescent="0.25">
      <c r="A18" s="414"/>
      <c r="B18" s="83" t="s">
        <v>289</v>
      </c>
      <c r="C18" s="558" t="s">
        <v>669</v>
      </c>
      <c r="D18" s="558"/>
      <c r="E18" s="558"/>
      <c r="F18" s="558"/>
      <c r="G18" s="558"/>
      <c r="H18" s="558"/>
    </row>
    <row r="19" spans="1:8" x14ac:dyDescent="0.25">
      <c r="A19" s="414"/>
      <c r="B19" s="414" t="s">
        <v>665</v>
      </c>
      <c r="C19" s="558" t="s">
        <v>108</v>
      </c>
      <c r="D19" s="558"/>
      <c r="E19" s="558"/>
      <c r="F19" s="558"/>
      <c r="G19" s="558"/>
      <c r="H19" s="558"/>
    </row>
    <row r="20" spans="1:8" x14ac:dyDescent="0.25">
      <c r="A20" s="414"/>
      <c r="B20" s="414" t="s">
        <v>1395</v>
      </c>
      <c r="C20" s="558" t="s">
        <v>108</v>
      </c>
      <c r="D20" s="558"/>
      <c r="E20" s="558"/>
      <c r="F20" s="558"/>
      <c r="G20" s="558"/>
      <c r="H20" s="558"/>
    </row>
    <row r="21" spans="1:8" x14ac:dyDescent="0.25">
      <c r="A21" s="414"/>
      <c r="B21" s="414" t="s">
        <v>666</v>
      </c>
      <c r="C21" s="558" t="s">
        <v>108</v>
      </c>
      <c r="D21" s="558"/>
      <c r="E21" s="558"/>
      <c r="F21" s="558"/>
      <c r="G21" s="558"/>
      <c r="H21" s="558"/>
    </row>
    <row r="22" spans="1:8" hidden="1" x14ac:dyDescent="0.25">
      <c r="A22" s="414"/>
      <c r="B22" s="414" t="s">
        <v>21</v>
      </c>
      <c r="C22" s="558" t="s">
        <v>108</v>
      </c>
      <c r="D22" s="558"/>
      <c r="E22" s="558"/>
      <c r="F22" s="558"/>
      <c r="G22" s="558"/>
      <c r="H22" s="558"/>
    </row>
    <row r="23" spans="1:8" hidden="1" x14ac:dyDescent="0.25">
      <c r="A23" s="414"/>
      <c r="B23" s="414" t="s">
        <v>21</v>
      </c>
      <c r="C23" s="558" t="s">
        <v>108</v>
      </c>
      <c r="D23" s="558"/>
      <c r="E23" s="558"/>
      <c r="F23" s="558"/>
      <c r="G23" s="558"/>
      <c r="H23" s="558"/>
    </row>
    <row r="24" spans="1:8" hidden="1" x14ac:dyDescent="0.25">
      <c r="A24" s="414"/>
      <c r="B24" s="414" t="s">
        <v>21</v>
      </c>
      <c r="C24" s="558"/>
      <c r="D24" s="558"/>
      <c r="E24" s="558"/>
      <c r="F24" s="558"/>
      <c r="G24" s="558"/>
      <c r="H24" s="558"/>
    </row>
    <row r="25" spans="1:8" ht="39.75" customHeight="1" x14ac:dyDescent="0.25">
      <c r="A25" s="414"/>
      <c r="B25" s="556" t="s">
        <v>1073</v>
      </c>
      <c r="C25" s="556"/>
      <c r="D25" s="556"/>
      <c r="E25" s="556"/>
      <c r="F25" s="556"/>
      <c r="G25" s="556"/>
      <c r="H25" s="556"/>
    </row>
    <row r="26" spans="1:8" x14ac:dyDescent="0.25">
      <c r="A26" s="416"/>
      <c r="H26" s="416" t="s">
        <v>61</v>
      </c>
    </row>
    <row r="27" spans="1:8" s="542" customFormat="1" ht="75" x14ac:dyDescent="0.25">
      <c r="A27" s="543" t="s">
        <v>62</v>
      </c>
      <c r="B27" s="543" t="s">
        <v>2</v>
      </c>
      <c r="C27" s="543" t="s">
        <v>17</v>
      </c>
      <c r="D27" s="546" t="s">
        <v>464</v>
      </c>
      <c r="E27" s="546" t="s">
        <v>8</v>
      </c>
      <c r="F27" s="546" t="s">
        <v>9</v>
      </c>
      <c r="G27" s="546" t="s">
        <v>461</v>
      </c>
      <c r="H27" s="546" t="s">
        <v>1046</v>
      </c>
    </row>
    <row r="28" spans="1:8" s="417" customFormat="1" x14ac:dyDescent="0.25">
      <c r="A28" s="543"/>
      <c r="B28" s="543" t="s">
        <v>97</v>
      </c>
      <c r="C28" s="431"/>
      <c r="D28" s="431"/>
      <c r="E28" s="431">
        <f>E29+E81+E99</f>
        <v>396880</v>
      </c>
      <c r="F28" s="431">
        <f t="shared" ref="F28:H28" si="0">F29+F81+F99</f>
        <v>413624</v>
      </c>
      <c r="G28" s="431">
        <f t="shared" si="0"/>
        <v>404269</v>
      </c>
      <c r="H28" s="431">
        <f t="shared" si="0"/>
        <v>411634</v>
      </c>
    </row>
    <row r="29" spans="1:8" x14ac:dyDescent="0.25">
      <c r="A29" s="420" t="s">
        <v>6</v>
      </c>
      <c r="B29" s="421" t="s">
        <v>662</v>
      </c>
      <c r="C29" s="427"/>
      <c r="D29" s="427"/>
      <c r="E29" s="427">
        <f>E30+E52+E69</f>
        <v>8996</v>
      </c>
      <c r="F29" s="427">
        <f t="shared" ref="F29:H29" si="1">F30+F52+F69</f>
        <v>9249</v>
      </c>
      <c r="G29" s="427">
        <f t="shared" si="1"/>
        <v>9222</v>
      </c>
      <c r="H29" s="427">
        <f t="shared" si="1"/>
        <v>9424</v>
      </c>
    </row>
    <row r="30" spans="1:8" x14ac:dyDescent="0.25">
      <c r="A30" s="424" t="s">
        <v>51</v>
      </c>
      <c r="B30" s="425" t="s">
        <v>179</v>
      </c>
      <c r="C30" s="429"/>
      <c r="D30" s="429"/>
      <c r="E30" s="429">
        <f>E34+E43</f>
        <v>5428</v>
      </c>
      <c r="F30" s="429">
        <f>F34+F43</f>
        <v>5639</v>
      </c>
      <c r="G30" s="429">
        <f t="shared" ref="G30:H30" si="2">G34+G43</f>
        <v>5676</v>
      </c>
      <c r="H30" s="429">
        <f t="shared" si="2"/>
        <v>5791</v>
      </c>
    </row>
    <row r="31" spans="1:8" x14ac:dyDescent="0.25">
      <c r="A31" s="422"/>
      <c r="B31" s="423" t="s">
        <v>626</v>
      </c>
      <c r="C31" s="428"/>
      <c r="D31" s="428"/>
      <c r="E31" s="428">
        <v>800</v>
      </c>
      <c r="F31" s="428">
        <v>1200</v>
      </c>
      <c r="G31" s="428">
        <f>F31</f>
        <v>1200</v>
      </c>
      <c r="H31" s="428">
        <f>G31</f>
        <v>1200</v>
      </c>
    </row>
    <row r="32" spans="1:8" ht="37.5" x14ac:dyDescent="0.25">
      <c r="A32" s="422"/>
      <c r="B32" s="423" t="s">
        <v>663</v>
      </c>
      <c r="C32" s="428"/>
      <c r="D32" s="428"/>
      <c r="E32" s="428">
        <v>160</v>
      </c>
      <c r="F32" s="428">
        <f>F31-F33</f>
        <v>400</v>
      </c>
      <c r="G32" s="428">
        <f>F32</f>
        <v>400</v>
      </c>
      <c r="H32" s="428">
        <f>G32</f>
        <v>400</v>
      </c>
    </row>
    <row r="33" spans="1:8" x14ac:dyDescent="0.25">
      <c r="A33" s="422"/>
      <c r="B33" s="423" t="s">
        <v>664</v>
      </c>
      <c r="C33" s="428"/>
      <c r="D33" s="428"/>
      <c r="E33" s="428">
        <f>+E31-E32</f>
        <v>640</v>
      </c>
      <c r="F33" s="428">
        <v>800</v>
      </c>
      <c r="G33" s="428">
        <f>+G31-G32</f>
        <v>800</v>
      </c>
      <c r="H33" s="428">
        <f>+H31-H32</f>
        <v>800</v>
      </c>
    </row>
    <row r="34" spans="1:8" x14ac:dyDescent="0.25">
      <c r="A34" s="424" t="s">
        <v>192</v>
      </c>
      <c r="B34" s="425" t="s">
        <v>1078</v>
      </c>
      <c r="C34" s="429"/>
      <c r="D34" s="429"/>
      <c r="E34" s="429">
        <f>E35+E39-E40</f>
        <v>5023</v>
      </c>
      <c r="F34" s="429">
        <f t="shared" ref="F34:H34" si="3">F35+F39-F40</f>
        <v>5111</v>
      </c>
      <c r="G34" s="429">
        <f t="shared" si="3"/>
        <v>5308</v>
      </c>
      <c r="H34" s="429">
        <f t="shared" si="3"/>
        <v>5423</v>
      </c>
    </row>
    <row r="35" spans="1:8" ht="37.5" x14ac:dyDescent="0.25">
      <c r="A35" s="422">
        <v>1</v>
      </c>
      <c r="B35" s="423" t="s">
        <v>1077</v>
      </c>
      <c r="C35" s="428"/>
      <c r="D35" s="428"/>
      <c r="E35" s="428">
        <f>E42+4267</f>
        <v>4523</v>
      </c>
      <c r="F35" s="428">
        <f>SUM(F36:F38)</f>
        <v>4693</v>
      </c>
      <c r="G35" s="428">
        <f t="shared" ref="G35:H35" si="4">SUM(G36:G38)</f>
        <v>4808</v>
      </c>
      <c r="H35" s="428">
        <f t="shared" si="4"/>
        <v>4923</v>
      </c>
    </row>
    <row r="36" spans="1:8" x14ac:dyDescent="0.25">
      <c r="A36" s="422"/>
      <c r="B36" s="423" t="s">
        <v>1381</v>
      </c>
      <c r="C36" s="428">
        <v>41</v>
      </c>
      <c r="D36" s="433">
        <v>36</v>
      </c>
      <c r="E36" s="428"/>
      <c r="F36" s="428">
        <v>4154</v>
      </c>
      <c r="G36" s="428">
        <f>ROUND(F36+11*8.8,0)</f>
        <v>4251</v>
      </c>
      <c r="H36" s="428">
        <f>ROUND(G36+11*8.8,0)</f>
        <v>4348</v>
      </c>
    </row>
    <row r="37" spans="1:8" ht="37.5" x14ac:dyDescent="0.25">
      <c r="A37" s="422"/>
      <c r="B37" s="423" t="s">
        <v>1382</v>
      </c>
      <c r="C37" s="428"/>
      <c r="D37" s="433"/>
      <c r="E37" s="428"/>
      <c r="F37" s="428">
        <v>258</v>
      </c>
      <c r="G37" s="428">
        <f>F37</f>
        <v>258</v>
      </c>
      <c r="H37" s="428">
        <f>G37</f>
        <v>258</v>
      </c>
    </row>
    <row r="38" spans="1:8" ht="37.5" x14ac:dyDescent="0.25">
      <c r="A38" s="422"/>
      <c r="B38" s="423" t="s">
        <v>1091</v>
      </c>
      <c r="C38" s="428">
        <v>6</v>
      </c>
      <c r="D38" s="428">
        <v>4</v>
      </c>
      <c r="E38" s="428"/>
      <c r="F38" s="428">
        <v>281</v>
      </c>
      <c r="G38" s="428">
        <f>ROUND(F38+2*8.8,0)</f>
        <v>299</v>
      </c>
      <c r="H38" s="428">
        <f>ROUND(G38+2*8.8,0)</f>
        <v>317</v>
      </c>
    </row>
    <row r="39" spans="1:8" ht="37.5" x14ac:dyDescent="0.25">
      <c r="A39" s="422">
        <v>2</v>
      </c>
      <c r="B39" s="438" t="s">
        <v>1383</v>
      </c>
      <c r="C39" s="428">
        <v>41</v>
      </c>
      <c r="D39" s="428"/>
      <c r="E39" s="433">
        <v>840</v>
      </c>
      <c r="F39" s="433">
        <f>C39*20</f>
        <v>820</v>
      </c>
      <c r="G39" s="433">
        <f>E39</f>
        <v>840</v>
      </c>
      <c r="H39" s="433">
        <f t="shared" ref="H39" si="5">G39</f>
        <v>840</v>
      </c>
    </row>
    <row r="40" spans="1:8" x14ac:dyDescent="0.25">
      <c r="A40" s="422">
        <v>3</v>
      </c>
      <c r="B40" s="438" t="s">
        <v>1092</v>
      </c>
      <c r="C40" s="428"/>
      <c r="D40" s="428"/>
      <c r="E40" s="433">
        <f>SUM(E41:E42)</f>
        <v>340</v>
      </c>
      <c r="F40" s="433">
        <f t="shared" ref="F40:H40" si="6">SUM(F41:F42)</f>
        <v>402</v>
      </c>
      <c r="G40" s="433">
        <f t="shared" si="6"/>
        <v>340</v>
      </c>
      <c r="H40" s="433">
        <f t="shared" si="6"/>
        <v>340</v>
      </c>
    </row>
    <row r="41" spans="1:8" x14ac:dyDescent="0.25">
      <c r="A41" s="422"/>
      <c r="B41" s="438" t="s">
        <v>969</v>
      </c>
      <c r="C41" s="428"/>
      <c r="D41" s="428"/>
      <c r="E41" s="428">
        <v>84</v>
      </c>
      <c r="F41" s="428">
        <v>82</v>
      </c>
      <c r="G41" s="428">
        <f>E41</f>
        <v>84</v>
      </c>
      <c r="H41" s="428">
        <f>G41</f>
        <v>84</v>
      </c>
    </row>
    <row r="42" spans="1:8" x14ac:dyDescent="0.25">
      <c r="A42" s="422"/>
      <c r="B42" s="438" t="s">
        <v>968</v>
      </c>
      <c r="C42" s="428"/>
      <c r="D42" s="428"/>
      <c r="E42" s="428">
        <v>256</v>
      </c>
      <c r="F42" s="428">
        <f>F33*0.4</f>
        <v>320</v>
      </c>
      <c r="G42" s="428">
        <f>E42</f>
        <v>256</v>
      </c>
      <c r="H42" s="428">
        <f>G42</f>
        <v>256</v>
      </c>
    </row>
    <row r="43" spans="1:8" s="417" customFormat="1" x14ac:dyDescent="0.25">
      <c r="A43" s="424" t="s">
        <v>192</v>
      </c>
      <c r="B43" s="442" t="s">
        <v>11</v>
      </c>
      <c r="C43" s="429"/>
      <c r="D43" s="429"/>
      <c r="E43" s="75">
        <f>SUM(E44:E51)</f>
        <v>405</v>
      </c>
      <c r="F43" s="75">
        <f t="shared" ref="F43:H43" si="7">SUM(F44:F51)</f>
        <v>528</v>
      </c>
      <c r="G43" s="75">
        <f t="shared" si="7"/>
        <v>368</v>
      </c>
      <c r="H43" s="75">
        <f t="shared" si="7"/>
        <v>368</v>
      </c>
    </row>
    <row r="44" spans="1:8" x14ac:dyDescent="0.25">
      <c r="A44" s="422"/>
      <c r="B44" s="438" t="s">
        <v>627</v>
      </c>
      <c r="C44" s="428"/>
      <c r="D44" s="428"/>
      <c r="E44" s="433">
        <v>15</v>
      </c>
      <c r="F44" s="433">
        <f>E44</f>
        <v>15</v>
      </c>
      <c r="G44" s="433">
        <f>E44</f>
        <v>15</v>
      </c>
      <c r="H44" s="433">
        <f t="shared" ref="H44:H48" si="8">G44</f>
        <v>15</v>
      </c>
    </row>
    <row r="45" spans="1:8" s="434" customFormat="1" x14ac:dyDescent="0.25">
      <c r="A45" s="437"/>
      <c r="B45" s="438" t="s">
        <v>297</v>
      </c>
      <c r="C45" s="545"/>
      <c r="D45" s="545"/>
      <c r="E45" s="545">
        <v>150</v>
      </c>
      <c r="F45" s="545">
        <v>200</v>
      </c>
      <c r="G45" s="545">
        <f>F45</f>
        <v>200</v>
      </c>
      <c r="H45" s="545">
        <f t="shared" si="8"/>
        <v>200</v>
      </c>
    </row>
    <row r="46" spans="1:8" s="434" customFormat="1" x14ac:dyDescent="0.25">
      <c r="A46" s="437"/>
      <c r="B46" s="438" t="s">
        <v>1394</v>
      </c>
      <c r="C46" s="545"/>
      <c r="D46" s="545"/>
      <c r="E46" s="545">
        <v>50</v>
      </c>
      <c r="F46" s="545">
        <f>E46+55</f>
        <v>105</v>
      </c>
      <c r="G46" s="545">
        <f>E46</f>
        <v>50</v>
      </c>
      <c r="H46" s="545">
        <f t="shared" si="8"/>
        <v>50</v>
      </c>
    </row>
    <row r="47" spans="1:8" s="434" customFormat="1" x14ac:dyDescent="0.25">
      <c r="A47" s="437"/>
      <c r="B47" s="438" t="s">
        <v>237</v>
      </c>
      <c r="C47" s="545"/>
      <c r="D47" s="545"/>
      <c r="E47" s="545">
        <v>40</v>
      </c>
      <c r="F47" s="545">
        <v>13</v>
      </c>
      <c r="G47" s="545">
        <f>F47</f>
        <v>13</v>
      </c>
      <c r="H47" s="545">
        <f t="shared" si="8"/>
        <v>13</v>
      </c>
    </row>
    <row r="48" spans="1:8" s="434" customFormat="1" x14ac:dyDescent="0.25">
      <c r="A48" s="437"/>
      <c r="B48" s="438" t="s">
        <v>298</v>
      </c>
      <c r="C48" s="545"/>
      <c r="D48" s="545"/>
      <c r="E48" s="545">
        <v>90</v>
      </c>
      <c r="F48" s="545">
        <f>E48</f>
        <v>90</v>
      </c>
      <c r="G48" s="545">
        <f>E48</f>
        <v>90</v>
      </c>
      <c r="H48" s="545">
        <f t="shared" si="8"/>
        <v>90</v>
      </c>
    </row>
    <row r="49" spans="1:8" s="434" customFormat="1" ht="56.25" x14ac:dyDescent="0.25">
      <c r="A49" s="437"/>
      <c r="B49" s="438" t="s">
        <v>1386</v>
      </c>
      <c r="C49" s="545"/>
      <c r="D49" s="545"/>
      <c r="E49" s="545">
        <v>60</v>
      </c>
      <c r="F49" s="545"/>
      <c r="G49" s="545"/>
      <c r="H49" s="545"/>
    </row>
    <row r="50" spans="1:8" s="434" customFormat="1" ht="93.75" x14ac:dyDescent="0.25">
      <c r="A50" s="437"/>
      <c r="B50" s="438" t="s">
        <v>1387</v>
      </c>
      <c r="C50" s="545"/>
      <c r="D50" s="545"/>
      <c r="E50" s="545"/>
      <c r="F50" s="545">
        <v>75</v>
      </c>
      <c r="G50" s="545"/>
      <c r="H50" s="545"/>
    </row>
    <row r="51" spans="1:8" s="434" customFormat="1" x14ac:dyDescent="0.25">
      <c r="A51" s="437"/>
      <c r="B51" s="438" t="s">
        <v>668</v>
      </c>
      <c r="C51" s="545"/>
      <c r="D51" s="545"/>
      <c r="E51" s="545"/>
      <c r="F51" s="545">
        <v>30</v>
      </c>
      <c r="G51" s="545"/>
      <c r="H51" s="545"/>
    </row>
    <row r="52" spans="1:8" s="454" customFormat="1" x14ac:dyDescent="0.25">
      <c r="A52" s="455" t="s">
        <v>52</v>
      </c>
      <c r="B52" s="452" t="s">
        <v>296</v>
      </c>
      <c r="C52" s="453"/>
      <c r="D52" s="453"/>
      <c r="E52" s="453">
        <f>E56+E65</f>
        <v>1667</v>
      </c>
      <c r="F52" s="453">
        <f t="shared" ref="F52:H52" si="9">F56+F65</f>
        <v>1917</v>
      </c>
      <c r="G52" s="453">
        <f t="shared" si="9"/>
        <v>1840</v>
      </c>
      <c r="H52" s="453">
        <f t="shared" si="9"/>
        <v>1884</v>
      </c>
    </row>
    <row r="53" spans="1:8" s="434" customFormat="1" x14ac:dyDescent="0.25">
      <c r="A53" s="437"/>
      <c r="B53" s="438" t="s">
        <v>667</v>
      </c>
      <c r="C53" s="545"/>
      <c r="D53" s="545"/>
      <c r="E53" s="545">
        <v>333</v>
      </c>
      <c r="F53" s="545">
        <v>109</v>
      </c>
      <c r="G53" s="545">
        <f>E53</f>
        <v>333</v>
      </c>
      <c r="H53" s="545">
        <f>G53</f>
        <v>333</v>
      </c>
    </row>
    <row r="54" spans="1:8" s="434" customFormat="1" x14ac:dyDescent="0.25">
      <c r="A54" s="437"/>
      <c r="B54" s="438" t="s">
        <v>610</v>
      </c>
      <c r="C54" s="545"/>
      <c r="D54" s="545"/>
      <c r="E54" s="545">
        <v>66</v>
      </c>
      <c r="F54" s="545">
        <f>F53-87</f>
        <v>22</v>
      </c>
      <c r="G54" s="545">
        <f>E54</f>
        <v>66</v>
      </c>
      <c r="H54" s="545">
        <f>G54</f>
        <v>66</v>
      </c>
    </row>
    <row r="55" spans="1:8" s="434" customFormat="1" x14ac:dyDescent="0.25">
      <c r="A55" s="437"/>
      <c r="B55" s="438" t="s">
        <v>611</v>
      </c>
      <c r="C55" s="545"/>
      <c r="D55" s="545"/>
      <c r="E55" s="545">
        <f>E53-E54</f>
        <v>267</v>
      </c>
      <c r="F55" s="545">
        <v>87</v>
      </c>
      <c r="G55" s="545">
        <f>G53-G54</f>
        <v>267</v>
      </c>
      <c r="H55" s="545">
        <f>H53-H54</f>
        <v>267</v>
      </c>
    </row>
    <row r="56" spans="1:8" s="76" customFormat="1" ht="21" customHeight="1" x14ac:dyDescent="0.25">
      <c r="A56" s="73" t="s">
        <v>192</v>
      </c>
      <c r="B56" s="425" t="s">
        <v>1078</v>
      </c>
      <c r="C56" s="75"/>
      <c r="D56" s="75"/>
      <c r="E56" s="75">
        <f>E57+E61-E62</f>
        <v>1637</v>
      </c>
      <c r="F56" s="75">
        <f t="shared" ref="F56:H56" si="10">F57+F61-F62</f>
        <v>1838</v>
      </c>
      <c r="G56" s="75">
        <f t="shared" si="10"/>
        <v>1810</v>
      </c>
      <c r="H56" s="75">
        <f t="shared" si="10"/>
        <v>1854</v>
      </c>
    </row>
    <row r="57" spans="1:8" s="76" customFormat="1" ht="56.25" x14ac:dyDescent="0.25">
      <c r="A57" s="448">
        <v>1</v>
      </c>
      <c r="B57" s="423" t="s">
        <v>1185</v>
      </c>
      <c r="C57" s="75"/>
      <c r="D57" s="75"/>
      <c r="E57" s="433">
        <f>E64+1397</f>
        <v>1503</v>
      </c>
      <c r="F57" s="433">
        <f>SUM(F58:F60)</f>
        <v>1632</v>
      </c>
      <c r="G57" s="433">
        <f t="shared" ref="G57:H57" si="11">SUM(G58:G60)</f>
        <v>1676</v>
      </c>
      <c r="H57" s="433">
        <f t="shared" si="11"/>
        <v>1720</v>
      </c>
    </row>
    <row r="58" spans="1:8" s="450" customFormat="1" x14ac:dyDescent="0.25">
      <c r="A58" s="448"/>
      <c r="B58" s="423" t="s">
        <v>1389</v>
      </c>
      <c r="C58" s="433">
        <v>14</v>
      </c>
      <c r="D58" s="433">
        <v>12</v>
      </c>
      <c r="E58" s="433"/>
      <c r="F58" s="433">
        <v>1367</v>
      </c>
      <c r="G58" s="428">
        <f>ROUND(F58+4*8.8,0)</f>
        <v>1402</v>
      </c>
      <c r="H58" s="428">
        <f>ROUND(G58+4*8.8,0)</f>
        <v>1437</v>
      </c>
    </row>
    <row r="59" spans="1:8" s="450" customFormat="1" ht="37.5" x14ac:dyDescent="0.25">
      <c r="A59" s="448"/>
      <c r="B59" s="423" t="s">
        <v>1390</v>
      </c>
      <c r="C59" s="433"/>
      <c r="D59" s="433"/>
      <c r="E59" s="433"/>
      <c r="F59" s="433">
        <v>103</v>
      </c>
      <c r="G59" s="428">
        <f>F59</f>
        <v>103</v>
      </c>
      <c r="H59" s="428">
        <f>G59</f>
        <v>103</v>
      </c>
    </row>
    <row r="60" spans="1:8" s="450" customFormat="1" ht="37.5" x14ac:dyDescent="0.25">
      <c r="A60" s="448"/>
      <c r="B60" s="438" t="s">
        <v>1388</v>
      </c>
      <c r="C60" s="433">
        <v>3</v>
      </c>
      <c r="D60" s="433">
        <v>2</v>
      </c>
      <c r="E60" s="433"/>
      <c r="F60" s="433">
        <v>162</v>
      </c>
      <c r="G60" s="428">
        <f>ROUND(F60+8.8,0)</f>
        <v>171</v>
      </c>
      <c r="H60" s="428">
        <f>ROUND(G60+8.8,0)</f>
        <v>180</v>
      </c>
    </row>
    <row r="61" spans="1:8" ht="37.5" x14ac:dyDescent="0.25">
      <c r="A61" s="422">
        <v>2</v>
      </c>
      <c r="B61" s="423" t="s">
        <v>299</v>
      </c>
      <c r="C61" s="428">
        <v>14</v>
      </c>
      <c r="D61" s="428"/>
      <c r="E61" s="428">
        <f>C61*19</f>
        <v>266</v>
      </c>
      <c r="F61" s="428">
        <f>C61*19</f>
        <v>266</v>
      </c>
      <c r="G61" s="428">
        <f>E61</f>
        <v>266</v>
      </c>
      <c r="H61" s="428">
        <f t="shared" ref="H61" si="12">G61</f>
        <v>266</v>
      </c>
    </row>
    <row r="62" spans="1:8" x14ac:dyDescent="0.25">
      <c r="A62" s="422">
        <v>3</v>
      </c>
      <c r="B62" s="438" t="s">
        <v>1092</v>
      </c>
      <c r="C62" s="428"/>
      <c r="D62" s="428"/>
      <c r="E62" s="428">
        <f>SUM(E63:E64)</f>
        <v>132</v>
      </c>
      <c r="F62" s="428">
        <f t="shared" ref="F62:H62" si="13">SUM(F63:F64)</f>
        <v>60</v>
      </c>
      <c r="G62" s="428">
        <f t="shared" si="13"/>
        <v>132</v>
      </c>
      <c r="H62" s="428">
        <f t="shared" si="13"/>
        <v>132</v>
      </c>
    </row>
    <row r="63" spans="1:8" s="450" customFormat="1" x14ac:dyDescent="0.25">
      <c r="A63" s="448"/>
      <c r="B63" s="438" t="s">
        <v>969</v>
      </c>
      <c r="C63" s="433"/>
      <c r="D63" s="433"/>
      <c r="E63" s="433">
        <v>26</v>
      </c>
      <c r="F63" s="433">
        <v>26</v>
      </c>
      <c r="G63" s="433">
        <f>E63</f>
        <v>26</v>
      </c>
      <c r="H63" s="433">
        <f>G63</f>
        <v>26</v>
      </c>
    </row>
    <row r="64" spans="1:8" s="450" customFormat="1" x14ac:dyDescent="0.25">
      <c r="A64" s="448"/>
      <c r="B64" s="438" t="s">
        <v>968</v>
      </c>
      <c r="C64" s="433"/>
      <c r="D64" s="433"/>
      <c r="E64" s="433">
        <v>106</v>
      </c>
      <c r="F64" s="433">
        <v>34</v>
      </c>
      <c r="G64" s="433">
        <f>E64</f>
        <v>106</v>
      </c>
      <c r="H64" s="433">
        <f>G64</f>
        <v>106</v>
      </c>
    </row>
    <row r="65" spans="1:8" s="417" customFormat="1" x14ac:dyDescent="0.25">
      <c r="A65" s="424" t="s">
        <v>192</v>
      </c>
      <c r="B65" s="425" t="s">
        <v>11</v>
      </c>
      <c r="C65" s="429"/>
      <c r="D65" s="429"/>
      <c r="E65" s="429">
        <f>SUM(E66:E68)</f>
        <v>30</v>
      </c>
      <c r="F65" s="429">
        <f>SUM(F66:F68)</f>
        <v>79</v>
      </c>
      <c r="G65" s="429">
        <f>SUM(G66:G68)</f>
        <v>30</v>
      </c>
      <c r="H65" s="429">
        <f>SUM(H66:H68)</f>
        <v>30</v>
      </c>
    </row>
    <row r="66" spans="1:8" x14ac:dyDescent="0.25">
      <c r="A66" s="422"/>
      <c r="B66" s="423" t="s">
        <v>627</v>
      </c>
      <c r="C66" s="428"/>
      <c r="D66" s="428"/>
      <c r="E66" s="428">
        <v>15</v>
      </c>
      <c r="F66" s="428">
        <f>E66</f>
        <v>15</v>
      </c>
      <c r="G66" s="433">
        <f>E66</f>
        <v>15</v>
      </c>
      <c r="H66" s="433">
        <f>G66</f>
        <v>15</v>
      </c>
    </row>
    <row r="67" spans="1:8" x14ac:dyDescent="0.25">
      <c r="A67" s="422"/>
      <c r="B67" s="423" t="s">
        <v>237</v>
      </c>
      <c r="C67" s="428"/>
      <c r="D67" s="428"/>
      <c r="E67" s="428">
        <v>15</v>
      </c>
      <c r="F67" s="428">
        <v>15</v>
      </c>
      <c r="G67" s="433">
        <f>E67</f>
        <v>15</v>
      </c>
      <c r="H67" s="433">
        <f>G67</f>
        <v>15</v>
      </c>
    </row>
    <row r="68" spans="1:8" x14ac:dyDescent="0.25">
      <c r="A68" s="422"/>
      <c r="B68" s="423" t="s">
        <v>1393</v>
      </c>
      <c r="C68" s="428"/>
      <c r="D68" s="428"/>
      <c r="E68" s="428"/>
      <c r="F68" s="428">
        <v>49</v>
      </c>
      <c r="G68" s="433"/>
      <c r="H68" s="433"/>
    </row>
    <row r="69" spans="1:8" s="76" customFormat="1" ht="21" customHeight="1" x14ac:dyDescent="0.25">
      <c r="A69" s="73" t="s">
        <v>147</v>
      </c>
      <c r="B69" s="425" t="s">
        <v>1385</v>
      </c>
      <c r="C69" s="75"/>
      <c r="D69" s="75"/>
      <c r="E69" s="75">
        <f>E70+E76</f>
        <v>1901</v>
      </c>
      <c r="F69" s="75">
        <f t="shared" ref="F69:H69" si="14">F70+F76</f>
        <v>1693</v>
      </c>
      <c r="G69" s="75">
        <f t="shared" si="14"/>
        <v>1706</v>
      </c>
      <c r="H69" s="75">
        <f t="shared" si="14"/>
        <v>1749</v>
      </c>
    </row>
    <row r="70" spans="1:8" s="76" customFormat="1" ht="21" customHeight="1" x14ac:dyDescent="0.25">
      <c r="A70" s="73" t="s">
        <v>192</v>
      </c>
      <c r="B70" s="425" t="s">
        <v>10</v>
      </c>
      <c r="C70" s="75"/>
      <c r="D70" s="75"/>
      <c r="E70" s="75">
        <f>E71+E74-E75</f>
        <v>1666</v>
      </c>
      <c r="F70" s="75">
        <f t="shared" ref="F70:H70" si="15">F71+F74-F75</f>
        <v>1648</v>
      </c>
      <c r="G70" s="75">
        <f t="shared" si="15"/>
        <v>1691</v>
      </c>
      <c r="H70" s="75">
        <f t="shared" si="15"/>
        <v>1734</v>
      </c>
    </row>
    <row r="71" spans="1:8" s="76" customFormat="1" ht="56.25" x14ac:dyDescent="0.25">
      <c r="A71" s="448">
        <v>1</v>
      </c>
      <c r="B71" s="423" t="s">
        <v>1185</v>
      </c>
      <c r="C71" s="75"/>
      <c r="D71" s="75"/>
      <c r="E71" s="433">
        <v>1460</v>
      </c>
      <c r="F71" s="433">
        <f>SUM(F72:F73)</f>
        <v>1459</v>
      </c>
      <c r="G71" s="433">
        <f t="shared" ref="G71:H71" si="16">SUM(G72:G73)</f>
        <v>1502</v>
      </c>
      <c r="H71" s="433">
        <f t="shared" si="16"/>
        <v>1545</v>
      </c>
    </row>
    <row r="72" spans="1:8" s="450" customFormat="1" x14ac:dyDescent="0.25">
      <c r="A72" s="448"/>
      <c r="B72" s="451" t="s">
        <v>1391</v>
      </c>
      <c r="C72" s="433">
        <v>11</v>
      </c>
      <c r="D72" s="433">
        <v>10</v>
      </c>
      <c r="E72" s="433"/>
      <c r="F72" s="433">
        <v>1238</v>
      </c>
      <c r="G72" s="433">
        <f>ROUND(F72+4*8.8,0)</f>
        <v>1273</v>
      </c>
      <c r="H72" s="433">
        <f>ROUND(G72+4*8.8,0)</f>
        <v>1308</v>
      </c>
    </row>
    <row r="73" spans="1:8" s="450" customFormat="1" ht="37.5" x14ac:dyDescent="0.25">
      <c r="A73" s="448"/>
      <c r="B73" s="438" t="s">
        <v>1384</v>
      </c>
      <c r="C73" s="433">
        <v>3</v>
      </c>
      <c r="D73" s="433">
        <v>2</v>
      </c>
      <c r="E73" s="433"/>
      <c r="F73" s="433">
        <v>221</v>
      </c>
      <c r="G73" s="433">
        <f>ROUND(F73+8.2,0)</f>
        <v>229</v>
      </c>
      <c r="H73" s="433">
        <f>ROUND(G73+8.2,0)</f>
        <v>237</v>
      </c>
    </row>
    <row r="74" spans="1:8" s="450" customFormat="1" ht="37.5" x14ac:dyDescent="0.25">
      <c r="A74" s="448">
        <v>2</v>
      </c>
      <c r="B74" s="449" t="s">
        <v>1392</v>
      </c>
      <c r="C74" s="433">
        <v>11</v>
      </c>
      <c r="D74" s="433"/>
      <c r="E74" s="433">
        <v>228</v>
      </c>
      <c r="F74" s="433">
        <f>C74*19</f>
        <v>209</v>
      </c>
      <c r="G74" s="433">
        <f>F74</f>
        <v>209</v>
      </c>
      <c r="H74" s="433">
        <f>G74</f>
        <v>209</v>
      </c>
    </row>
    <row r="75" spans="1:8" s="450" customFormat="1" ht="37.5" x14ac:dyDescent="0.25">
      <c r="A75" s="448">
        <v>3</v>
      </c>
      <c r="B75" s="449" t="s">
        <v>103</v>
      </c>
      <c r="C75" s="433"/>
      <c r="D75" s="433"/>
      <c r="E75" s="433">
        <v>22</v>
      </c>
      <c r="F75" s="433">
        <v>20</v>
      </c>
      <c r="G75" s="433">
        <f>F75</f>
        <v>20</v>
      </c>
      <c r="H75" s="433">
        <f>G75</f>
        <v>20</v>
      </c>
    </row>
    <row r="76" spans="1:8" s="50" customFormat="1" x14ac:dyDescent="0.25">
      <c r="A76" s="441" t="s">
        <v>192</v>
      </c>
      <c r="B76" s="442" t="s">
        <v>11</v>
      </c>
      <c r="C76" s="443"/>
      <c r="D76" s="443"/>
      <c r="E76" s="443">
        <f>SUM(E77:E80)</f>
        <v>235</v>
      </c>
      <c r="F76" s="443">
        <f t="shared" ref="F76:H76" si="17">SUM(F77:F80)</f>
        <v>45</v>
      </c>
      <c r="G76" s="443">
        <f t="shared" si="17"/>
        <v>15</v>
      </c>
      <c r="H76" s="443">
        <f t="shared" si="17"/>
        <v>15</v>
      </c>
    </row>
    <row r="77" spans="1:8" s="434" customFormat="1" x14ac:dyDescent="0.25">
      <c r="A77" s="437"/>
      <c r="B77" s="423" t="s">
        <v>627</v>
      </c>
      <c r="C77" s="545"/>
      <c r="D77" s="545"/>
      <c r="E77" s="545">
        <v>15</v>
      </c>
      <c r="F77" s="545">
        <f>E77</f>
        <v>15</v>
      </c>
      <c r="G77" s="545">
        <f>E77</f>
        <v>15</v>
      </c>
      <c r="H77" s="545">
        <f>G77</f>
        <v>15</v>
      </c>
    </row>
    <row r="78" spans="1:8" s="434" customFormat="1" x14ac:dyDescent="0.3">
      <c r="A78" s="437"/>
      <c r="B78" s="432" t="s">
        <v>668</v>
      </c>
      <c r="C78" s="545"/>
      <c r="D78" s="545"/>
      <c r="E78" s="545">
        <v>40</v>
      </c>
      <c r="F78" s="545"/>
      <c r="G78" s="545"/>
      <c r="H78" s="545"/>
    </row>
    <row r="79" spans="1:8" s="434" customFormat="1" x14ac:dyDescent="0.3">
      <c r="A79" s="437"/>
      <c r="B79" s="432" t="s">
        <v>670</v>
      </c>
      <c r="C79" s="545"/>
      <c r="D79" s="545"/>
      <c r="E79" s="545">
        <v>150</v>
      </c>
      <c r="F79" s="545"/>
      <c r="G79" s="545"/>
      <c r="H79" s="545"/>
    </row>
    <row r="80" spans="1:8" s="434" customFormat="1" x14ac:dyDescent="0.25">
      <c r="A80" s="437"/>
      <c r="B80" s="438" t="s">
        <v>300</v>
      </c>
      <c r="C80" s="545"/>
      <c r="D80" s="545"/>
      <c r="E80" s="545">
        <v>30</v>
      </c>
      <c r="F80" s="545">
        <v>30</v>
      </c>
      <c r="G80" s="545"/>
      <c r="H80" s="545"/>
    </row>
    <row r="81" spans="1:8" s="50" customFormat="1" x14ac:dyDescent="0.25">
      <c r="A81" s="441" t="s">
        <v>7</v>
      </c>
      <c r="B81" s="442" t="s">
        <v>671</v>
      </c>
      <c r="C81" s="443"/>
      <c r="D81" s="443"/>
      <c r="E81" s="443">
        <f>SUM(E82:E98)-E89</f>
        <v>370884</v>
      </c>
      <c r="F81" s="443">
        <f t="shared" ref="F81:H81" si="18">SUM(F82:F98)-F89</f>
        <v>387375</v>
      </c>
      <c r="G81" s="443">
        <f t="shared" si="18"/>
        <v>378047</v>
      </c>
      <c r="H81" s="443">
        <f t="shared" si="18"/>
        <v>385210</v>
      </c>
    </row>
    <row r="82" spans="1:8" s="434" customFormat="1" ht="56.25" x14ac:dyDescent="0.25">
      <c r="A82" s="437" t="s">
        <v>99</v>
      </c>
      <c r="B82" s="438" t="s">
        <v>1884</v>
      </c>
      <c r="C82" s="545"/>
      <c r="D82" s="545"/>
      <c r="E82" s="388">
        <v>18803</v>
      </c>
      <c r="F82" s="388">
        <f>21311+15000</f>
        <v>36311</v>
      </c>
      <c r="G82" s="545">
        <f t="shared" ref="G82:G89" si="19">E82</f>
        <v>18803</v>
      </c>
      <c r="H82" s="545">
        <f t="shared" ref="H82:H88" si="20">G82</f>
        <v>18803</v>
      </c>
    </row>
    <row r="83" spans="1:8" s="434" customFormat="1" ht="37.5" x14ac:dyDescent="0.25">
      <c r="A83" s="437" t="s">
        <v>99</v>
      </c>
      <c r="B83" s="438" t="s">
        <v>672</v>
      </c>
      <c r="C83" s="545"/>
      <c r="D83" s="545"/>
      <c r="E83" s="388">
        <v>11101</v>
      </c>
      <c r="F83" s="388">
        <v>16795</v>
      </c>
      <c r="G83" s="545">
        <f t="shared" si="19"/>
        <v>11101</v>
      </c>
      <c r="H83" s="545">
        <f t="shared" si="20"/>
        <v>11101</v>
      </c>
    </row>
    <row r="84" spans="1:8" s="434" customFormat="1" x14ac:dyDescent="0.25">
      <c r="A84" s="437" t="s">
        <v>99</v>
      </c>
      <c r="B84" s="438" t="s">
        <v>301</v>
      </c>
      <c r="C84" s="545"/>
      <c r="D84" s="545"/>
      <c r="E84" s="388">
        <v>9423</v>
      </c>
      <c r="F84" s="388">
        <v>9944</v>
      </c>
      <c r="G84" s="545">
        <f t="shared" si="19"/>
        <v>9423</v>
      </c>
      <c r="H84" s="545">
        <f t="shared" si="20"/>
        <v>9423</v>
      </c>
    </row>
    <row r="85" spans="1:8" s="434" customFormat="1" x14ac:dyDescent="0.25">
      <c r="A85" s="437" t="s">
        <v>99</v>
      </c>
      <c r="B85" s="438" t="s">
        <v>302</v>
      </c>
      <c r="C85" s="545"/>
      <c r="D85" s="545"/>
      <c r="E85" s="388">
        <v>650</v>
      </c>
      <c r="F85" s="388">
        <f>E85</f>
        <v>650</v>
      </c>
      <c r="G85" s="545">
        <f t="shared" si="19"/>
        <v>650</v>
      </c>
      <c r="H85" s="545">
        <f t="shared" si="20"/>
        <v>650</v>
      </c>
    </row>
    <row r="86" spans="1:8" s="434" customFormat="1" x14ac:dyDescent="0.25">
      <c r="A86" s="437" t="s">
        <v>99</v>
      </c>
      <c r="B86" s="438" t="s">
        <v>304</v>
      </c>
      <c r="C86" s="545"/>
      <c r="D86" s="545"/>
      <c r="E86" s="388">
        <v>11000</v>
      </c>
      <c r="F86" s="388">
        <v>9000</v>
      </c>
      <c r="G86" s="545">
        <f t="shared" si="19"/>
        <v>11000</v>
      </c>
      <c r="H86" s="545">
        <f t="shared" si="20"/>
        <v>11000</v>
      </c>
    </row>
    <row r="87" spans="1:8" s="434" customFormat="1" x14ac:dyDescent="0.25">
      <c r="A87" s="437" t="s">
        <v>99</v>
      </c>
      <c r="B87" s="438" t="s">
        <v>673</v>
      </c>
      <c r="C87" s="545"/>
      <c r="D87" s="545"/>
      <c r="E87" s="388">
        <v>8765</v>
      </c>
      <c r="F87" s="388"/>
      <c r="G87" s="545">
        <f t="shared" si="19"/>
        <v>8765</v>
      </c>
      <c r="H87" s="545">
        <f t="shared" si="20"/>
        <v>8765</v>
      </c>
    </row>
    <row r="88" spans="1:8" s="434" customFormat="1" ht="75" x14ac:dyDescent="0.25">
      <c r="A88" s="437" t="s">
        <v>99</v>
      </c>
      <c r="B88" s="438" t="s">
        <v>979</v>
      </c>
      <c r="C88" s="545"/>
      <c r="D88" s="545"/>
      <c r="E88" s="389">
        <f>(45*48)+(45*19)-85</f>
        <v>2930</v>
      </c>
      <c r="F88" s="389"/>
      <c r="G88" s="545">
        <f t="shared" si="19"/>
        <v>2930</v>
      </c>
      <c r="H88" s="545">
        <f t="shared" si="20"/>
        <v>2930</v>
      </c>
    </row>
    <row r="89" spans="1:8" s="434" customFormat="1" ht="75" x14ac:dyDescent="0.25">
      <c r="A89" s="437" t="s">
        <v>99</v>
      </c>
      <c r="B89" s="438" t="s">
        <v>1396</v>
      </c>
      <c r="C89" s="545"/>
      <c r="D89" s="545"/>
      <c r="E89" s="388">
        <f>SUM(E90:E93)</f>
        <v>21202</v>
      </c>
      <c r="F89" s="388">
        <f>SUM(F90:F93)</f>
        <v>22591</v>
      </c>
      <c r="G89" s="545">
        <f t="shared" si="19"/>
        <v>21202</v>
      </c>
      <c r="H89" s="545">
        <f>G89</f>
        <v>21202</v>
      </c>
    </row>
    <row r="90" spans="1:8" s="87" customFormat="1" x14ac:dyDescent="0.25">
      <c r="A90" s="84"/>
      <c r="B90" s="85" t="s">
        <v>678</v>
      </c>
      <c r="C90" s="86">
        <v>185</v>
      </c>
      <c r="D90" s="86">
        <v>163</v>
      </c>
      <c r="E90" s="86">
        <v>14641</v>
      </c>
      <c r="F90" s="86">
        <v>13783</v>
      </c>
      <c r="G90" s="196">
        <f>ROUND(E90+48*6.7,0)</f>
        <v>14963</v>
      </c>
      <c r="H90" s="196">
        <f>ROUND(G90+48*6.7,0)</f>
        <v>15285</v>
      </c>
    </row>
    <row r="91" spans="1:8" s="87" customFormat="1" x14ac:dyDescent="0.25">
      <c r="A91" s="84"/>
      <c r="B91" s="85" t="s">
        <v>675</v>
      </c>
      <c r="C91" s="86">
        <v>40</v>
      </c>
      <c r="D91" s="86">
        <v>31</v>
      </c>
      <c r="E91" s="86">
        <v>3080</v>
      </c>
      <c r="F91" s="86">
        <v>3864</v>
      </c>
      <c r="G91" s="86">
        <f>ROUND(E91+9*6.7,0)</f>
        <v>3140</v>
      </c>
      <c r="H91" s="86">
        <f>ROUND(G91+9*6.7,0)</f>
        <v>3200</v>
      </c>
    </row>
    <row r="92" spans="1:8" s="87" customFormat="1" x14ac:dyDescent="0.25">
      <c r="A92" s="84"/>
      <c r="B92" s="85" t="s">
        <v>676</v>
      </c>
      <c r="C92" s="86">
        <v>26</v>
      </c>
      <c r="D92" s="86">
        <v>18</v>
      </c>
      <c r="E92" s="86">
        <v>1798</v>
      </c>
      <c r="F92" s="86">
        <v>2481</v>
      </c>
      <c r="G92" s="86">
        <f>ROUND(E92+6*6.7,0)</f>
        <v>1838</v>
      </c>
      <c r="H92" s="86">
        <f>ROUND(G92+6*6.7,0)</f>
        <v>1878</v>
      </c>
    </row>
    <row r="93" spans="1:8" s="87" customFormat="1" x14ac:dyDescent="0.25">
      <c r="A93" s="197"/>
      <c r="B93" s="85" t="s">
        <v>677</v>
      </c>
      <c r="C93" s="86">
        <v>26</v>
      </c>
      <c r="D93" s="86">
        <v>17</v>
      </c>
      <c r="E93" s="86">
        <v>1683</v>
      </c>
      <c r="F93" s="86">
        <v>2463</v>
      </c>
      <c r="G93" s="86">
        <f>ROUND(E93+6*6.7,0)</f>
        <v>1723</v>
      </c>
      <c r="H93" s="86">
        <f>ROUND(G93+6*6.7,0)</f>
        <v>1763</v>
      </c>
    </row>
    <row r="94" spans="1:8" s="434" customFormat="1" ht="37.5" x14ac:dyDescent="0.25">
      <c r="A94" s="437" t="s">
        <v>99</v>
      </c>
      <c r="B94" s="438" t="s">
        <v>680</v>
      </c>
      <c r="C94" s="545"/>
      <c r="D94" s="545"/>
      <c r="E94" s="545">
        <v>105700</v>
      </c>
      <c r="F94" s="545">
        <f>89100+3000</f>
        <v>92100</v>
      </c>
      <c r="G94" s="545">
        <f>E94</f>
        <v>105700</v>
      </c>
      <c r="H94" s="545">
        <f>G94</f>
        <v>105700</v>
      </c>
    </row>
    <row r="95" spans="1:8" s="434" customFormat="1" x14ac:dyDescent="0.25">
      <c r="A95" s="437" t="s">
        <v>99</v>
      </c>
      <c r="B95" s="438" t="s">
        <v>679</v>
      </c>
      <c r="C95" s="545">
        <v>1960</v>
      </c>
      <c r="D95" s="545">
        <v>634</v>
      </c>
      <c r="E95" s="545">
        <f>28500+500</f>
        <v>29000</v>
      </c>
      <c r="F95" s="545">
        <f>16000+2000</f>
        <v>18000</v>
      </c>
      <c r="G95" s="433">
        <f>ROUND(E95+190*6.7,0)</f>
        <v>30273</v>
      </c>
      <c r="H95" s="433">
        <f>ROUND(G95+190*6.7,0)</f>
        <v>31546</v>
      </c>
    </row>
    <row r="96" spans="1:8" s="434" customFormat="1" ht="56.25" x14ac:dyDescent="0.25">
      <c r="A96" s="437" t="s">
        <v>99</v>
      </c>
      <c r="B96" s="438" t="s">
        <v>1397</v>
      </c>
      <c r="C96" s="545">
        <v>1365</v>
      </c>
      <c r="D96" s="545">
        <v>1352</v>
      </c>
      <c r="E96" s="545">
        <v>121620</v>
      </c>
      <c r="F96" s="545">
        <v>131984</v>
      </c>
      <c r="G96" s="433">
        <f>ROUND(E96+405*6.7,0)</f>
        <v>124334</v>
      </c>
      <c r="H96" s="433">
        <f>ROUND(G96+405*6.7,0)</f>
        <v>127048</v>
      </c>
    </row>
    <row r="97" spans="1:8" s="434" customFormat="1" x14ac:dyDescent="0.25">
      <c r="A97" s="437" t="s">
        <v>99</v>
      </c>
      <c r="B97" s="438" t="s">
        <v>681</v>
      </c>
      <c r="C97" s="545"/>
      <c r="D97" s="545"/>
      <c r="E97" s="389">
        <f>32915-500-1725</f>
        <v>30690</v>
      </c>
      <c r="F97" s="389">
        <f>40000+20000-5000-15000</f>
        <v>40000</v>
      </c>
      <c r="G97" s="433">
        <f>ROUND(E97+405*6.7,0)</f>
        <v>33404</v>
      </c>
      <c r="H97" s="433">
        <f>ROUND(G97+405*6.7,0)</f>
        <v>36118</v>
      </c>
    </row>
    <row r="98" spans="1:8" s="434" customFormat="1" ht="37.5" x14ac:dyDescent="0.25">
      <c r="A98" s="437" t="s">
        <v>99</v>
      </c>
      <c r="B98" s="438" t="s">
        <v>1398</v>
      </c>
      <c r="C98" s="545"/>
      <c r="D98" s="545"/>
      <c r="E98" s="545"/>
      <c r="F98" s="545">
        <f>30000-20000</f>
        <v>10000</v>
      </c>
      <c r="G98" s="433"/>
      <c r="H98" s="433"/>
    </row>
    <row r="99" spans="1:8" s="50" customFormat="1" x14ac:dyDescent="0.3">
      <c r="A99" s="441" t="s">
        <v>16</v>
      </c>
      <c r="B99" s="66" t="s">
        <v>348</v>
      </c>
      <c r="C99" s="443"/>
      <c r="D99" s="443"/>
      <c r="E99" s="443">
        <f>SUM(E100:E102)</f>
        <v>17000</v>
      </c>
      <c r="F99" s="443">
        <f t="shared" ref="F99:G99" si="21">SUM(F100:F102)</f>
        <v>17000</v>
      </c>
      <c r="G99" s="443">
        <f t="shared" si="21"/>
        <v>17000</v>
      </c>
      <c r="H99" s="443">
        <f>SUM(H100:H102)</f>
        <v>17000</v>
      </c>
    </row>
    <row r="100" spans="1:8" s="434" customFormat="1" ht="37.5" x14ac:dyDescent="0.25">
      <c r="A100" s="437" t="s">
        <v>99</v>
      </c>
      <c r="B100" s="438" t="s">
        <v>116</v>
      </c>
      <c r="C100" s="545"/>
      <c r="D100" s="545"/>
      <c r="E100" s="545">
        <v>17000</v>
      </c>
      <c r="F100" s="545">
        <f>E100</f>
        <v>17000</v>
      </c>
      <c r="G100" s="545">
        <f>E100</f>
        <v>17000</v>
      </c>
      <c r="H100" s="545">
        <f>G100</f>
        <v>17000</v>
      </c>
    </row>
    <row r="101" spans="1:8" s="434" customFormat="1" hidden="1" x14ac:dyDescent="0.25">
      <c r="A101" s="437" t="s">
        <v>99</v>
      </c>
      <c r="B101" s="438"/>
      <c r="C101" s="545"/>
      <c r="D101" s="545"/>
      <c r="E101" s="545"/>
      <c r="F101" s="545"/>
      <c r="G101" s="545"/>
      <c r="H101" s="545"/>
    </row>
    <row r="102" spans="1:8" s="434" customFormat="1" hidden="1" x14ac:dyDescent="0.25">
      <c r="A102" s="437" t="s">
        <v>99</v>
      </c>
      <c r="B102" s="438"/>
      <c r="C102" s="545"/>
      <c r="D102" s="545"/>
      <c r="E102" s="545"/>
      <c r="F102" s="545"/>
      <c r="G102" s="545"/>
      <c r="H102" s="545"/>
    </row>
    <row r="103" spans="1:8" s="434" customFormat="1" hidden="1" x14ac:dyDescent="0.25">
      <c r="A103" s="437"/>
      <c r="B103" s="438"/>
      <c r="C103" s="545"/>
      <c r="D103" s="545"/>
      <c r="E103" s="545"/>
      <c r="F103" s="545"/>
      <c r="G103" s="545"/>
      <c r="H103" s="545"/>
    </row>
    <row r="104" spans="1:8" s="434" customFormat="1" hidden="1" x14ac:dyDescent="0.25">
      <c r="A104" s="437"/>
      <c r="B104" s="438"/>
      <c r="C104" s="545"/>
      <c r="D104" s="545"/>
      <c r="E104" s="545"/>
      <c r="F104" s="545"/>
      <c r="G104" s="545"/>
      <c r="H104" s="545"/>
    </row>
    <row r="105" spans="1:8" s="434" customFormat="1" hidden="1" x14ac:dyDescent="0.25">
      <c r="A105" s="437"/>
      <c r="B105" s="438"/>
      <c r="C105" s="545"/>
      <c r="D105" s="545"/>
      <c r="E105" s="545"/>
      <c r="F105" s="545"/>
      <c r="G105" s="545"/>
      <c r="H105" s="545"/>
    </row>
    <row r="106" spans="1:8" s="50" customFormat="1" hidden="1" x14ac:dyDescent="0.25">
      <c r="A106" s="441">
        <v>5</v>
      </c>
      <c r="B106" s="442" t="s">
        <v>287</v>
      </c>
      <c r="C106" s="443"/>
      <c r="D106" s="443"/>
      <c r="E106" s="443">
        <f>E107</f>
        <v>0</v>
      </c>
      <c r="F106" s="443"/>
      <c r="G106" s="443">
        <f>G107</f>
        <v>0</v>
      </c>
      <c r="H106" s="443">
        <f>H107</f>
        <v>0</v>
      </c>
    </row>
    <row r="107" spans="1:8" s="434" customFormat="1" hidden="1" x14ac:dyDescent="0.25">
      <c r="A107" s="437" t="s">
        <v>99</v>
      </c>
      <c r="B107" s="438"/>
      <c r="C107" s="545"/>
      <c r="D107" s="545"/>
      <c r="E107" s="545"/>
      <c r="F107" s="545"/>
      <c r="G107" s="545">
        <f>E107</f>
        <v>0</v>
      </c>
      <c r="H107" s="545">
        <f>G107</f>
        <v>0</v>
      </c>
    </row>
    <row r="108" spans="1:8" s="434" customFormat="1" x14ac:dyDescent="0.25">
      <c r="A108" s="444"/>
      <c r="B108" s="445"/>
      <c r="C108" s="446"/>
      <c r="D108" s="446"/>
      <c r="E108" s="446"/>
      <c r="F108" s="446"/>
      <c r="G108" s="446"/>
      <c r="H108" s="446"/>
    </row>
    <row r="109" spans="1:8" s="434" customFormat="1" ht="43.5" customHeight="1" x14ac:dyDescent="0.25">
      <c r="A109" s="447"/>
      <c r="B109" s="567" t="s">
        <v>1399</v>
      </c>
      <c r="C109" s="567"/>
      <c r="D109" s="567"/>
      <c r="E109" s="567"/>
      <c r="F109" s="567"/>
      <c r="G109" s="567"/>
      <c r="H109" s="567"/>
    </row>
    <row r="110" spans="1:8" x14ac:dyDescent="0.25">
      <c r="A110" s="414"/>
      <c r="B110" s="418" t="s">
        <v>865</v>
      </c>
    </row>
    <row r="111" spans="1:8" x14ac:dyDescent="0.25">
      <c r="A111" s="414"/>
    </row>
    <row r="112" spans="1:8" x14ac:dyDescent="0.25">
      <c r="A112" s="550" t="s">
        <v>36</v>
      </c>
      <c r="B112" s="550"/>
      <c r="D112" s="550" t="s">
        <v>37</v>
      </c>
      <c r="E112" s="550"/>
      <c r="F112" s="550"/>
      <c r="G112" s="550"/>
      <c r="H112" s="550"/>
    </row>
  </sheetData>
  <mergeCells count="20">
    <mergeCell ref="C20:H20"/>
    <mergeCell ref="A1:H1"/>
    <mergeCell ref="B3:H3"/>
    <mergeCell ref="C6:H6"/>
    <mergeCell ref="C7:H7"/>
    <mergeCell ref="C8:H8"/>
    <mergeCell ref="C9:H9"/>
    <mergeCell ref="C10:H10"/>
    <mergeCell ref="C15:H15"/>
    <mergeCell ref="C17:H17"/>
    <mergeCell ref="C18:H18"/>
    <mergeCell ref="C19:H19"/>
    <mergeCell ref="A112:B112"/>
    <mergeCell ref="D112:H112"/>
    <mergeCell ref="C21:H21"/>
    <mergeCell ref="C22:H22"/>
    <mergeCell ref="C23:H23"/>
    <mergeCell ref="C24:H24"/>
    <mergeCell ref="B25:H25"/>
    <mergeCell ref="B109:H109"/>
  </mergeCells>
  <printOptions horizontalCentered="1"/>
  <pageMargins left="0" right="0" top="0.75" bottom="0.5" header="0.31496062992126" footer="0.31496062992126"/>
  <pageSetup paperSize="9" scale="88" orientation="portrait" r:id="rId1"/>
  <headerFooter>
    <oddFooter>&amp;C&amp;P/&amp;N</oddFooter>
  </headerFooter>
  <legacy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H122"/>
  <sheetViews>
    <sheetView topLeftCell="A90" zoomScaleNormal="100" workbookViewId="0">
      <selection activeCell="J93" sqref="J93"/>
    </sheetView>
  </sheetViews>
  <sheetFormatPr defaultRowHeight="18.75" x14ac:dyDescent="0.25"/>
  <cols>
    <col min="1" max="1" width="4.85546875" style="434" customWidth="1"/>
    <col min="2" max="2" width="42.85546875" style="434" customWidth="1"/>
    <col min="3" max="3" width="7.140625" style="434" customWidth="1"/>
    <col min="4" max="4" width="6.7109375" style="434" customWidth="1"/>
    <col min="5" max="8" width="11.7109375" style="434" customWidth="1"/>
    <col min="9" max="16384" width="9.140625" style="434"/>
  </cols>
  <sheetData>
    <row r="1" spans="1:8" ht="41.25" customHeight="1" x14ac:dyDescent="0.25">
      <c r="A1" s="569" t="s">
        <v>1074</v>
      </c>
      <c r="B1" s="570"/>
      <c r="C1" s="570"/>
      <c r="D1" s="570"/>
      <c r="E1" s="570"/>
      <c r="F1" s="570"/>
      <c r="G1" s="570"/>
      <c r="H1" s="570"/>
    </row>
    <row r="2" spans="1:8" x14ac:dyDescent="0.25">
      <c r="A2" s="50"/>
      <c r="B2" s="50"/>
      <c r="C2" s="50"/>
      <c r="D2" s="51"/>
      <c r="E2" s="51"/>
      <c r="F2" s="51"/>
      <c r="G2" s="51"/>
      <c r="H2" s="51"/>
    </row>
    <row r="3" spans="1:8" ht="40.5" customHeight="1" x14ac:dyDescent="0.25">
      <c r="B3" s="565" t="s">
        <v>1401</v>
      </c>
      <c r="C3" s="565"/>
      <c r="D3" s="565"/>
      <c r="E3" s="565"/>
      <c r="F3" s="565"/>
      <c r="G3" s="565"/>
      <c r="H3" s="565"/>
    </row>
    <row r="4" spans="1:8" x14ac:dyDescent="0.25">
      <c r="B4" s="434" t="s">
        <v>39</v>
      </c>
      <c r="D4" s="52"/>
      <c r="E4" s="52"/>
      <c r="F4" s="52"/>
      <c r="G4" s="52"/>
      <c r="H4" s="52"/>
    </row>
    <row r="5" spans="1:8" s="50" customFormat="1" x14ac:dyDescent="0.25">
      <c r="B5" s="50" t="s">
        <v>18</v>
      </c>
    </row>
    <row r="6" spans="1:8" x14ac:dyDescent="0.25">
      <c r="B6" s="434" t="s">
        <v>23</v>
      </c>
      <c r="C6" s="566" t="s">
        <v>49</v>
      </c>
      <c r="D6" s="566"/>
      <c r="E6" s="566"/>
      <c r="F6" s="566"/>
      <c r="G6" s="566"/>
      <c r="H6" s="566"/>
    </row>
    <row r="7" spans="1:8" x14ac:dyDescent="0.25">
      <c r="B7" s="434" t="s">
        <v>19</v>
      </c>
      <c r="C7" s="566" t="s">
        <v>50</v>
      </c>
      <c r="D7" s="566"/>
      <c r="E7" s="566"/>
      <c r="F7" s="566"/>
      <c r="G7" s="566"/>
      <c r="H7" s="566"/>
    </row>
    <row r="8" spans="1:8" hidden="1" x14ac:dyDescent="0.25">
      <c r="B8" s="434" t="s">
        <v>90</v>
      </c>
      <c r="C8" s="566" t="s">
        <v>60</v>
      </c>
      <c r="D8" s="566"/>
      <c r="E8" s="566"/>
      <c r="F8" s="566"/>
      <c r="G8" s="566"/>
      <c r="H8" s="566"/>
    </row>
    <row r="9" spans="1:8" x14ac:dyDescent="0.25">
      <c r="B9" s="434" t="s">
        <v>59</v>
      </c>
      <c r="C9" s="566" t="s">
        <v>60</v>
      </c>
      <c r="D9" s="566"/>
      <c r="E9" s="566"/>
      <c r="F9" s="566"/>
      <c r="G9" s="566"/>
      <c r="H9" s="566"/>
    </row>
    <row r="10" spans="1:8" hidden="1" x14ac:dyDescent="0.25">
      <c r="B10" s="434" t="s">
        <v>20</v>
      </c>
      <c r="C10" s="566" t="s">
        <v>86</v>
      </c>
      <c r="D10" s="566"/>
      <c r="E10" s="566"/>
      <c r="F10" s="566"/>
      <c r="G10" s="566"/>
      <c r="H10" s="566"/>
    </row>
    <row r="11" spans="1:8" x14ac:dyDescent="0.25">
      <c r="B11" s="434" t="s">
        <v>1205</v>
      </c>
      <c r="C11" s="535" t="s">
        <v>87</v>
      </c>
      <c r="D11" s="535"/>
      <c r="E11" s="535"/>
      <c r="F11" s="535"/>
      <c r="G11" s="535"/>
      <c r="H11" s="535"/>
    </row>
    <row r="12" spans="1:8" x14ac:dyDescent="0.25">
      <c r="B12" s="434" t="s">
        <v>316</v>
      </c>
      <c r="C12" s="535" t="s">
        <v>88</v>
      </c>
      <c r="D12" s="535"/>
      <c r="E12" s="535"/>
      <c r="F12" s="535"/>
      <c r="G12" s="535"/>
      <c r="H12" s="535"/>
    </row>
    <row r="13" spans="1:8" hidden="1" x14ac:dyDescent="0.25">
      <c r="B13" s="434" t="s">
        <v>94</v>
      </c>
      <c r="C13" s="535" t="s">
        <v>95</v>
      </c>
      <c r="D13" s="535"/>
      <c r="E13" s="535"/>
      <c r="F13" s="535"/>
      <c r="G13" s="535"/>
      <c r="H13" s="535"/>
    </row>
    <row r="14" spans="1:8" x14ac:dyDescent="0.25">
      <c r="C14" s="535"/>
      <c r="D14" s="535"/>
      <c r="E14" s="535"/>
      <c r="F14" s="535"/>
      <c r="G14" s="535"/>
      <c r="H14" s="535"/>
    </row>
    <row r="15" spans="1:8" hidden="1" x14ac:dyDescent="0.25">
      <c r="B15" s="434" t="s">
        <v>21</v>
      </c>
      <c r="C15" s="566"/>
      <c r="D15" s="566"/>
      <c r="E15" s="566"/>
      <c r="F15" s="566"/>
      <c r="G15" s="566"/>
      <c r="H15" s="566"/>
    </row>
    <row r="16" spans="1:8" s="50" customFormat="1" x14ac:dyDescent="0.25">
      <c r="B16" s="50" t="s">
        <v>1427</v>
      </c>
    </row>
    <row r="17" spans="1:8" hidden="1" x14ac:dyDescent="0.25">
      <c r="B17" s="434" t="s">
        <v>683</v>
      </c>
      <c r="C17" s="566" t="s">
        <v>176</v>
      </c>
      <c r="D17" s="566"/>
      <c r="E17" s="566"/>
      <c r="F17" s="566"/>
      <c r="G17" s="566"/>
      <c r="H17" s="566"/>
    </row>
    <row r="18" spans="1:8" x14ac:dyDescent="0.25">
      <c r="B18" s="434" t="s">
        <v>1407</v>
      </c>
      <c r="C18" s="566" t="s">
        <v>212</v>
      </c>
      <c r="D18" s="566"/>
      <c r="E18" s="566"/>
      <c r="F18" s="566"/>
      <c r="G18" s="566"/>
      <c r="H18" s="566"/>
    </row>
    <row r="19" spans="1:8" x14ac:dyDescent="0.25">
      <c r="B19" s="434" t="s">
        <v>1422</v>
      </c>
      <c r="C19" s="535" t="s">
        <v>420</v>
      </c>
      <c r="D19" s="535"/>
      <c r="E19" s="535"/>
      <c r="F19" s="535"/>
      <c r="G19" s="535"/>
      <c r="H19" s="535"/>
    </row>
    <row r="20" spans="1:8" x14ac:dyDescent="0.25">
      <c r="B20" s="434" t="s">
        <v>686</v>
      </c>
      <c r="C20" s="566" t="s">
        <v>1425</v>
      </c>
      <c r="D20" s="566"/>
      <c r="E20" s="566"/>
      <c r="F20" s="566"/>
      <c r="G20" s="566"/>
      <c r="H20" s="566"/>
    </row>
    <row r="21" spans="1:8" x14ac:dyDescent="0.25">
      <c r="B21" s="434" t="s">
        <v>684</v>
      </c>
      <c r="C21" s="566" t="s">
        <v>1426</v>
      </c>
      <c r="D21" s="566"/>
      <c r="E21" s="566"/>
      <c r="F21" s="566"/>
      <c r="G21" s="566"/>
      <c r="H21" s="566"/>
    </row>
    <row r="22" spans="1:8" x14ac:dyDescent="0.25">
      <c r="B22" s="434" t="s">
        <v>685</v>
      </c>
      <c r="C22" s="566" t="s">
        <v>1424</v>
      </c>
      <c r="D22" s="566"/>
      <c r="E22" s="566"/>
      <c r="F22" s="566"/>
      <c r="G22" s="566"/>
      <c r="H22" s="566"/>
    </row>
    <row r="23" spans="1:8" x14ac:dyDescent="0.25">
      <c r="B23" s="434" t="s">
        <v>608</v>
      </c>
      <c r="C23" s="566" t="s">
        <v>1409</v>
      </c>
      <c r="D23" s="566"/>
      <c r="E23" s="566"/>
      <c r="F23" s="566"/>
      <c r="G23" s="566"/>
      <c r="H23" s="566"/>
    </row>
    <row r="24" spans="1:8" x14ac:dyDescent="0.25">
      <c r="B24" s="434" t="s">
        <v>1408</v>
      </c>
      <c r="C24" s="535" t="s">
        <v>1410</v>
      </c>
      <c r="D24" s="535"/>
      <c r="E24" s="535"/>
      <c r="F24" s="535"/>
      <c r="G24" s="535"/>
      <c r="H24" s="535"/>
    </row>
    <row r="25" spans="1:8" x14ac:dyDescent="0.25">
      <c r="B25" s="434" t="s">
        <v>690</v>
      </c>
      <c r="C25" s="566" t="s">
        <v>108</v>
      </c>
      <c r="D25" s="566"/>
      <c r="E25" s="566"/>
      <c r="F25" s="566"/>
      <c r="G25" s="566"/>
      <c r="H25" s="566"/>
    </row>
    <row r="26" spans="1:8" x14ac:dyDescent="0.25">
      <c r="B26" s="434" t="s">
        <v>1423</v>
      </c>
      <c r="C26" s="566" t="s">
        <v>108</v>
      </c>
      <c r="D26" s="566"/>
      <c r="E26" s="566"/>
      <c r="F26" s="566"/>
      <c r="G26" s="566"/>
      <c r="H26" s="566"/>
    </row>
    <row r="27" spans="1:8" x14ac:dyDescent="0.25">
      <c r="B27" s="434" t="s">
        <v>692</v>
      </c>
      <c r="C27" s="566" t="s">
        <v>108</v>
      </c>
      <c r="D27" s="566"/>
      <c r="E27" s="566"/>
      <c r="F27" s="566"/>
      <c r="G27" s="566"/>
      <c r="H27" s="566"/>
    </row>
    <row r="28" spans="1:8" ht="39.75" customHeight="1" x14ac:dyDescent="0.25">
      <c r="B28" s="565" t="s">
        <v>1073</v>
      </c>
      <c r="C28" s="565"/>
      <c r="D28" s="565"/>
      <c r="E28" s="565"/>
      <c r="F28" s="565"/>
      <c r="G28" s="565"/>
      <c r="H28" s="565"/>
    </row>
    <row r="29" spans="1:8" x14ac:dyDescent="0.25">
      <c r="A29" s="54"/>
      <c r="H29" s="54" t="s">
        <v>61</v>
      </c>
    </row>
    <row r="30" spans="1:8" s="536" customFormat="1" ht="75" x14ac:dyDescent="0.25">
      <c r="A30" s="540" t="s">
        <v>62</v>
      </c>
      <c r="B30" s="540" t="s">
        <v>2</v>
      </c>
      <c r="C30" s="540" t="s">
        <v>17</v>
      </c>
      <c r="D30" s="540" t="s">
        <v>5</v>
      </c>
      <c r="E30" s="540" t="s">
        <v>1099</v>
      </c>
      <c r="F30" s="540" t="s">
        <v>9</v>
      </c>
      <c r="G30" s="540" t="s">
        <v>461</v>
      </c>
      <c r="H30" s="540" t="s">
        <v>1046</v>
      </c>
    </row>
    <row r="31" spans="1:8" s="50" customFormat="1" x14ac:dyDescent="0.25">
      <c r="A31" s="540"/>
      <c r="B31" s="540" t="s">
        <v>97</v>
      </c>
      <c r="C31" s="57"/>
      <c r="D31" s="57"/>
      <c r="E31" s="57">
        <f>E32+E84+E99</f>
        <v>113124</v>
      </c>
      <c r="F31" s="57">
        <f>F32+F84+F99</f>
        <v>129649</v>
      </c>
      <c r="G31" s="57">
        <f>G32+G84+G99</f>
        <v>48419</v>
      </c>
      <c r="H31" s="57">
        <f>H32+H84+H99</f>
        <v>48473</v>
      </c>
    </row>
    <row r="32" spans="1:8" s="50" customFormat="1" ht="37.5" x14ac:dyDescent="0.25">
      <c r="A32" s="96" t="s">
        <v>6</v>
      </c>
      <c r="B32" s="97" t="s">
        <v>1406</v>
      </c>
      <c r="C32" s="98"/>
      <c r="D32" s="98"/>
      <c r="E32" s="98">
        <f>E33+E54+E69</f>
        <v>8868</v>
      </c>
      <c r="F32" s="98">
        <f>F33+F54+F69</f>
        <v>9870</v>
      </c>
      <c r="G32" s="98">
        <f>G33+G54+G69</f>
        <v>8919</v>
      </c>
      <c r="H32" s="98">
        <f>H33+H54+H69</f>
        <v>8973</v>
      </c>
    </row>
    <row r="33" spans="1:8" s="50" customFormat="1" ht="21" customHeight="1" x14ac:dyDescent="0.25">
      <c r="A33" s="441" t="s">
        <v>51</v>
      </c>
      <c r="B33" s="442" t="s">
        <v>179</v>
      </c>
      <c r="C33" s="443"/>
      <c r="D33" s="443"/>
      <c r="E33" s="443">
        <f>E37+E43</f>
        <v>5892</v>
      </c>
      <c r="F33" s="443">
        <f>F37+F43</f>
        <v>6480</v>
      </c>
      <c r="G33" s="443">
        <f>G37+G43</f>
        <v>5489</v>
      </c>
      <c r="H33" s="443">
        <f>H37+H43</f>
        <v>5516</v>
      </c>
    </row>
    <row r="34" spans="1:8" x14ac:dyDescent="0.25">
      <c r="A34" s="437"/>
      <c r="B34" s="438" t="s">
        <v>667</v>
      </c>
      <c r="C34" s="439"/>
      <c r="D34" s="439"/>
      <c r="E34" s="439">
        <v>300</v>
      </c>
      <c r="F34" s="439">
        <v>260</v>
      </c>
      <c r="G34" s="439">
        <f>+F34</f>
        <v>260</v>
      </c>
      <c r="H34" s="439">
        <f>G34</f>
        <v>260</v>
      </c>
    </row>
    <row r="35" spans="1:8" x14ac:dyDescent="0.25">
      <c r="A35" s="437"/>
      <c r="B35" s="438" t="s">
        <v>693</v>
      </c>
      <c r="C35" s="439"/>
      <c r="D35" s="439"/>
      <c r="E35" s="439">
        <v>294</v>
      </c>
      <c r="F35" s="439">
        <v>254</v>
      </c>
      <c r="G35" s="439">
        <f>+F35</f>
        <v>254</v>
      </c>
      <c r="H35" s="439">
        <f>G35</f>
        <v>254</v>
      </c>
    </row>
    <row r="36" spans="1:8" x14ac:dyDescent="0.25">
      <c r="A36" s="437"/>
      <c r="B36" s="438" t="s">
        <v>664</v>
      </c>
      <c r="C36" s="439"/>
      <c r="D36" s="439"/>
      <c r="E36" s="439">
        <f>E34-E35</f>
        <v>6</v>
      </c>
      <c r="F36" s="439">
        <v>6</v>
      </c>
      <c r="G36" s="439">
        <f>G34-G35</f>
        <v>6</v>
      </c>
      <c r="H36" s="439">
        <f>H34-H35</f>
        <v>6</v>
      </c>
    </row>
    <row r="37" spans="1:8" s="454" customFormat="1" ht="21" customHeight="1" x14ac:dyDescent="0.25">
      <c r="A37" s="455" t="s">
        <v>192</v>
      </c>
      <c r="B37" s="452" t="s">
        <v>1078</v>
      </c>
      <c r="C37" s="453"/>
      <c r="D37" s="453"/>
      <c r="E37" s="453">
        <f>+E38+E41-E42</f>
        <v>4676</v>
      </c>
      <c r="F37" s="453">
        <f t="shared" ref="F37:H37" si="0">+F38+F41-F42</f>
        <v>4431</v>
      </c>
      <c r="G37" s="453">
        <f t="shared" si="0"/>
        <v>4458</v>
      </c>
      <c r="H37" s="453">
        <f t="shared" si="0"/>
        <v>4485</v>
      </c>
    </row>
    <row r="38" spans="1:8" ht="56.25" x14ac:dyDescent="0.25">
      <c r="A38" s="437">
        <v>1</v>
      </c>
      <c r="B38" s="438" t="s">
        <v>1185</v>
      </c>
      <c r="C38" s="439"/>
      <c r="D38" s="439"/>
      <c r="E38" s="439">
        <f>SUM(E39:E40)</f>
        <v>4118</v>
      </c>
      <c r="F38" s="439">
        <f>SUM(F39:F40)</f>
        <v>3901</v>
      </c>
      <c r="G38" s="439">
        <f>SUM(G39:G40)</f>
        <v>3928</v>
      </c>
      <c r="H38" s="439">
        <f>SUM(H39:H40)</f>
        <v>3955</v>
      </c>
    </row>
    <row r="39" spans="1:8" x14ac:dyDescent="0.25">
      <c r="A39" s="437"/>
      <c r="B39" s="438" t="s">
        <v>1402</v>
      </c>
      <c r="C39" s="439">
        <v>28</v>
      </c>
      <c r="D39" s="539">
        <v>28</v>
      </c>
      <c r="E39" s="439">
        <v>3912</v>
      </c>
      <c r="F39" s="439">
        <v>3677</v>
      </c>
      <c r="G39" s="439">
        <f>ROUND(F39+C39*0.3+8.8,0)</f>
        <v>3694</v>
      </c>
      <c r="H39" s="439">
        <f>ROUND(G39+C39*0.3+8.8,0)</f>
        <v>3711</v>
      </c>
    </row>
    <row r="40" spans="1:8" ht="37.5" x14ac:dyDescent="0.25">
      <c r="A40" s="437"/>
      <c r="B40" s="438" t="s">
        <v>1108</v>
      </c>
      <c r="C40" s="439">
        <v>4</v>
      </c>
      <c r="D40" s="439">
        <v>4</v>
      </c>
      <c r="E40" s="439">
        <v>206</v>
      </c>
      <c r="F40" s="439">
        <v>224</v>
      </c>
      <c r="G40" s="439">
        <f>ROUND(F40+C40*0.3+8.8,0)</f>
        <v>234</v>
      </c>
      <c r="H40" s="439">
        <f>ROUND(G40+C40*0.3+8.8,0)</f>
        <v>244</v>
      </c>
    </row>
    <row r="41" spans="1:8" ht="37.5" x14ac:dyDescent="0.25">
      <c r="A41" s="437">
        <v>2</v>
      </c>
      <c r="B41" s="438" t="s">
        <v>1403</v>
      </c>
      <c r="C41" s="439">
        <v>28</v>
      </c>
      <c r="D41" s="439"/>
      <c r="E41" s="439">
        <v>620</v>
      </c>
      <c r="F41" s="439">
        <f>C41*21</f>
        <v>588</v>
      </c>
      <c r="G41" s="439">
        <f>F41</f>
        <v>588</v>
      </c>
      <c r="H41" s="439">
        <f>G41</f>
        <v>588</v>
      </c>
    </row>
    <row r="42" spans="1:8" ht="37.5" x14ac:dyDescent="0.25">
      <c r="A42" s="437">
        <v>3</v>
      </c>
      <c r="B42" s="438" t="s">
        <v>103</v>
      </c>
      <c r="C42" s="439"/>
      <c r="D42" s="439"/>
      <c r="E42" s="439">
        <v>62</v>
      </c>
      <c r="F42" s="439">
        <v>58</v>
      </c>
      <c r="G42" s="439">
        <f>F42</f>
        <v>58</v>
      </c>
      <c r="H42" s="439">
        <f>G42</f>
        <v>58</v>
      </c>
    </row>
    <row r="43" spans="1:8" s="50" customFormat="1" x14ac:dyDescent="0.25">
      <c r="A43" s="441" t="s">
        <v>192</v>
      </c>
      <c r="B43" s="442" t="s">
        <v>11</v>
      </c>
      <c r="C43" s="443"/>
      <c r="D43" s="443"/>
      <c r="E43" s="443">
        <f>SUM(E44:E52)</f>
        <v>1216</v>
      </c>
      <c r="F43" s="443">
        <f>SUM(F44:F53)</f>
        <v>2049</v>
      </c>
      <c r="G43" s="443">
        <f>SUM(G44:G52)</f>
        <v>1031</v>
      </c>
      <c r="H43" s="443">
        <f>SUM(H44:H52)</f>
        <v>1031</v>
      </c>
    </row>
    <row r="44" spans="1:8" x14ac:dyDescent="0.25">
      <c r="A44" s="437" t="s">
        <v>99</v>
      </c>
      <c r="B44" s="438" t="s">
        <v>482</v>
      </c>
      <c r="C44" s="439"/>
      <c r="D44" s="439"/>
      <c r="E44" s="439">
        <v>15</v>
      </c>
      <c r="F44" s="439">
        <f>E44</f>
        <v>15</v>
      </c>
      <c r="G44" s="439">
        <f>E44</f>
        <v>15</v>
      </c>
      <c r="H44" s="439">
        <f>G44</f>
        <v>15</v>
      </c>
    </row>
    <row r="45" spans="1:8" ht="112.5" x14ac:dyDescent="0.25">
      <c r="A45" s="437" t="s">
        <v>99</v>
      </c>
      <c r="B45" s="438" t="s">
        <v>1415</v>
      </c>
      <c r="C45" s="439"/>
      <c r="D45" s="439"/>
      <c r="E45" s="439">
        <f>200+85+50</f>
        <v>335</v>
      </c>
      <c r="F45" s="439">
        <f>100+735</f>
        <v>835</v>
      </c>
      <c r="G45" s="439">
        <f>F45</f>
        <v>835</v>
      </c>
      <c r="H45" s="439">
        <f>G45</f>
        <v>835</v>
      </c>
    </row>
    <row r="46" spans="1:8" ht="37.5" x14ac:dyDescent="0.25">
      <c r="A46" s="437"/>
      <c r="B46" s="438" t="s">
        <v>1413</v>
      </c>
      <c r="C46" s="439"/>
      <c r="D46" s="439"/>
      <c r="E46" s="439"/>
      <c r="F46" s="439">
        <v>100</v>
      </c>
      <c r="G46" s="439">
        <f>F46</f>
        <v>100</v>
      </c>
      <c r="H46" s="439">
        <f>G46</f>
        <v>100</v>
      </c>
    </row>
    <row r="47" spans="1:8" ht="75" x14ac:dyDescent="0.25">
      <c r="A47" s="437" t="s">
        <v>99</v>
      </c>
      <c r="B47" s="438" t="s">
        <v>694</v>
      </c>
      <c r="C47" s="439"/>
      <c r="D47" s="439"/>
      <c r="E47" s="439">
        <v>30</v>
      </c>
      <c r="F47" s="439"/>
      <c r="G47" s="439"/>
      <c r="H47" s="439"/>
    </row>
    <row r="48" spans="1:8" x14ac:dyDescent="0.3">
      <c r="A48" s="437" t="s">
        <v>99</v>
      </c>
      <c r="B48" s="65" t="s">
        <v>1411</v>
      </c>
      <c r="C48" s="439"/>
      <c r="D48" s="439"/>
      <c r="E48" s="439">
        <v>56</v>
      </c>
      <c r="F48" s="439">
        <v>90</v>
      </c>
      <c r="G48" s="439">
        <v>56</v>
      </c>
      <c r="H48" s="439">
        <v>56</v>
      </c>
    </row>
    <row r="49" spans="1:8" x14ac:dyDescent="0.25">
      <c r="A49" s="437" t="s">
        <v>99</v>
      </c>
      <c r="B49" s="438" t="s">
        <v>183</v>
      </c>
      <c r="C49" s="439"/>
      <c r="D49" s="439"/>
      <c r="E49" s="439">
        <v>25</v>
      </c>
      <c r="F49" s="439">
        <v>48</v>
      </c>
      <c r="G49" s="439">
        <f>E49</f>
        <v>25</v>
      </c>
      <c r="H49" s="439">
        <f>G49</f>
        <v>25</v>
      </c>
    </row>
    <row r="50" spans="1:8" x14ac:dyDescent="0.25">
      <c r="A50" s="437" t="s">
        <v>99</v>
      </c>
      <c r="B50" s="438" t="s">
        <v>1412</v>
      </c>
      <c r="C50" s="439"/>
      <c r="D50" s="439"/>
      <c r="E50" s="439">
        <v>500</v>
      </c>
      <c r="F50" s="439">
        <v>836</v>
      </c>
      <c r="G50" s="439"/>
      <c r="H50" s="439"/>
    </row>
    <row r="51" spans="1:8" x14ac:dyDescent="0.25">
      <c r="A51" s="437" t="s">
        <v>99</v>
      </c>
      <c r="B51" s="438" t="s">
        <v>114</v>
      </c>
      <c r="C51" s="439"/>
      <c r="D51" s="439"/>
      <c r="E51" s="439">
        <v>30</v>
      </c>
      <c r="F51" s="439">
        <v>30</v>
      </c>
      <c r="G51" s="439"/>
      <c r="H51" s="439"/>
    </row>
    <row r="52" spans="1:8" ht="75" x14ac:dyDescent="0.25">
      <c r="A52" s="437" t="s">
        <v>99</v>
      </c>
      <c r="B52" s="438" t="s">
        <v>695</v>
      </c>
      <c r="C52" s="439"/>
      <c r="D52" s="439"/>
      <c r="E52" s="439">
        <f>45+70+60+30+15+5</f>
        <v>225</v>
      </c>
      <c r="F52" s="439"/>
      <c r="G52" s="439"/>
      <c r="H52" s="439"/>
    </row>
    <row r="53" spans="1:8" ht="93.75" x14ac:dyDescent="0.25">
      <c r="A53" s="437" t="s">
        <v>99</v>
      </c>
      <c r="B53" s="438" t="s">
        <v>1414</v>
      </c>
      <c r="C53" s="439"/>
      <c r="D53" s="439"/>
      <c r="E53" s="439"/>
      <c r="F53" s="439">
        <f>20+30+10+25+10</f>
        <v>95</v>
      </c>
      <c r="G53" s="439"/>
      <c r="H53" s="439"/>
    </row>
    <row r="54" spans="1:8" ht="37.5" x14ac:dyDescent="0.25">
      <c r="A54" s="441" t="s">
        <v>52</v>
      </c>
      <c r="B54" s="442" t="s">
        <v>1404</v>
      </c>
      <c r="C54" s="439"/>
      <c r="D54" s="439"/>
      <c r="E54" s="443">
        <f>E58+E66</f>
        <v>1376</v>
      </c>
      <c r="F54" s="443">
        <f>F58+F66</f>
        <v>1329</v>
      </c>
      <c r="G54" s="443">
        <f>G58+G66</f>
        <v>1342</v>
      </c>
      <c r="H54" s="443">
        <f>H58+H66</f>
        <v>1355</v>
      </c>
    </row>
    <row r="55" spans="1:8" x14ac:dyDescent="0.25">
      <c r="A55" s="437"/>
      <c r="B55" s="438" t="s">
        <v>667</v>
      </c>
      <c r="C55" s="439"/>
      <c r="D55" s="439"/>
      <c r="E55" s="439">
        <v>2202</v>
      </c>
      <c r="F55" s="439">
        <v>2203</v>
      </c>
      <c r="G55" s="439">
        <f>+F55</f>
        <v>2203</v>
      </c>
      <c r="H55" s="439">
        <f>G55</f>
        <v>2203</v>
      </c>
    </row>
    <row r="56" spans="1:8" x14ac:dyDescent="0.25">
      <c r="A56" s="437"/>
      <c r="B56" s="438" t="s">
        <v>693</v>
      </c>
      <c r="C56" s="439"/>
      <c r="D56" s="439"/>
      <c r="E56" s="439">
        <f>E55-E57</f>
        <v>1494</v>
      </c>
      <c r="F56" s="439">
        <f>F55-F57</f>
        <v>1495</v>
      </c>
      <c r="G56" s="439">
        <f>+F56</f>
        <v>1495</v>
      </c>
      <c r="H56" s="439">
        <f>G56</f>
        <v>1495</v>
      </c>
    </row>
    <row r="57" spans="1:8" x14ac:dyDescent="0.25">
      <c r="A57" s="437"/>
      <c r="B57" s="438" t="s">
        <v>664</v>
      </c>
      <c r="C57" s="439"/>
      <c r="D57" s="439"/>
      <c r="E57" s="439">
        <v>708</v>
      </c>
      <c r="F57" s="439">
        <v>708</v>
      </c>
      <c r="G57" s="439">
        <f>G55-G56</f>
        <v>708</v>
      </c>
      <c r="H57" s="439">
        <f>H55-H56</f>
        <v>708</v>
      </c>
    </row>
    <row r="58" spans="1:8" s="50" customFormat="1" ht="21" customHeight="1" x14ac:dyDescent="0.25">
      <c r="A58" s="441" t="s">
        <v>192</v>
      </c>
      <c r="B58" s="442" t="s">
        <v>10</v>
      </c>
      <c r="C58" s="443"/>
      <c r="D58" s="443"/>
      <c r="E58" s="443">
        <f>+E59+E62-E63</f>
        <v>1361</v>
      </c>
      <c r="F58" s="443">
        <f>+F59+F62-F63</f>
        <v>1314</v>
      </c>
      <c r="G58" s="443">
        <f>+G59+G62-G63</f>
        <v>1327</v>
      </c>
      <c r="H58" s="443">
        <f>+H59+H62-H63</f>
        <v>1340</v>
      </c>
    </row>
    <row r="59" spans="1:8" ht="56.25" x14ac:dyDescent="0.25">
      <c r="A59" s="437">
        <v>1</v>
      </c>
      <c r="B59" s="438" t="s">
        <v>1185</v>
      </c>
      <c r="C59" s="439"/>
      <c r="D59" s="439"/>
      <c r="E59" s="439">
        <f>SUM(E60:E61)</f>
        <v>1269</v>
      </c>
      <c r="F59" s="439">
        <f t="shared" ref="F59:H59" si="1">SUM(F60:F61)</f>
        <v>1357</v>
      </c>
      <c r="G59" s="439">
        <f t="shared" si="1"/>
        <v>1370</v>
      </c>
      <c r="H59" s="439">
        <f t="shared" si="1"/>
        <v>1383</v>
      </c>
    </row>
    <row r="60" spans="1:8" x14ac:dyDescent="0.25">
      <c r="A60" s="437"/>
      <c r="B60" s="438" t="s">
        <v>1110</v>
      </c>
      <c r="C60" s="439">
        <v>14</v>
      </c>
      <c r="D60" s="539">
        <v>14</v>
      </c>
      <c r="E60" s="439">
        <v>1183</v>
      </c>
      <c r="F60" s="439">
        <v>1274</v>
      </c>
      <c r="G60" s="439">
        <f>ROUND(F60+C60*0.3+8.8,0)</f>
        <v>1287</v>
      </c>
      <c r="H60" s="439">
        <f>ROUND(G60+C60*0.3+8.8,0)</f>
        <v>1300</v>
      </c>
    </row>
    <row r="61" spans="1:8" ht="37.5" x14ac:dyDescent="0.25">
      <c r="A61" s="437"/>
      <c r="B61" s="438" t="s">
        <v>1105</v>
      </c>
      <c r="C61" s="439">
        <v>2</v>
      </c>
      <c r="D61" s="439">
        <v>2</v>
      </c>
      <c r="E61" s="439">
        <v>86</v>
      </c>
      <c r="F61" s="439">
        <v>83</v>
      </c>
      <c r="G61" s="439">
        <f>+F61</f>
        <v>83</v>
      </c>
      <c r="H61" s="439">
        <f>G61</f>
        <v>83</v>
      </c>
    </row>
    <row r="62" spans="1:8" ht="37.5" x14ac:dyDescent="0.25">
      <c r="A62" s="437">
        <v>2</v>
      </c>
      <c r="B62" s="438" t="s">
        <v>299</v>
      </c>
      <c r="C62" s="439">
        <v>14</v>
      </c>
      <c r="D62" s="439"/>
      <c r="E62" s="439">
        <f>C62*19</f>
        <v>266</v>
      </c>
      <c r="F62" s="439">
        <f>C62*19</f>
        <v>266</v>
      </c>
      <c r="G62" s="439">
        <f>E62</f>
        <v>266</v>
      </c>
      <c r="H62" s="439">
        <f>G62</f>
        <v>266</v>
      </c>
    </row>
    <row r="63" spans="1:8" x14ac:dyDescent="0.25">
      <c r="A63" s="437">
        <v>3</v>
      </c>
      <c r="B63" s="438" t="s">
        <v>1092</v>
      </c>
      <c r="C63" s="439"/>
      <c r="D63" s="439"/>
      <c r="E63" s="439">
        <f>SUM(E64:E65)</f>
        <v>174</v>
      </c>
      <c r="F63" s="439">
        <f>SUM(F64:F65)</f>
        <v>309</v>
      </c>
      <c r="G63" s="439">
        <f>SUM(G64:G65)</f>
        <v>309</v>
      </c>
      <c r="H63" s="439">
        <f>SUM(H64:H65)</f>
        <v>309</v>
      </c>
    </row>
    <row r="64" spans="1:8" x14ac:dyDescent="0.25">
      <c r="A64" s="437"/>
      <c r="B64" s="438" t="s">
        <v>969</v>
      </c>
      <c r="C64" s="439"/>
      <c r="D64" s="439"/>
      <c r="E64" s="439">
        <v>26</v>
      </c>
      <c r="F64" s="439">
        <v>26</v>
      </c>
      <c r="G64" s="439">
        <f>E64</f>
        <v>26</v>
      </c>
      <c r="H64" s="439">
        <f>G64</f>
        <v>26</v>
      </c>
    </row>
    <row r="65" spans="1:8" x14ac:dyDescent="0.25">
      <c r="A65" s="437"/>
      <c r="B65" s="438" t="s">
        <v>968</v>
      </c>
      <c r="C65" s="439"/>
      <c r="D65" s="439"/>
      <c r="E65" s="439">
        <v>148</v>
      </c>
      <c r="F65" s="439">
        <v>283</v>
      </c>
      <c r="G65" s="439">
        <f>+F65</f>
        <v>283</v>
      </c>
      <c r="H65" s="439">
        <f>G65</f>
        <v>283</v>
      </c>
    </row>
    <row r="66" spans="1:8" s="50" customFormat="1" x14ac:dyDescent="0.25">
      <c r="A66" s="441" t="s">
        <v>192</v>
      </c>
      <c r="B66" s="442" t="s">
        <v>11</v>
      </c>
      <c r="C66" s="443"/>
      <c r="D66" s="443"/>
      <c r="E66" s="443">
        <f>E67</f>
        <v>15</v>
      </c>
      <c r="F66" s="443">
        <f>F67</f>
        <v>15</v>
      </c>
      <c r="G66" s="443">
        <f>G67</f>
        <v>15</v>
      </c>
      <c r="H66" s="443">
        <f>H67</f>
        <v>15</v>
      </c>
    </row>
    <row r="67" spans="1:8" x14ac:dyDescent="0.25">
      <c r="A67" s="437" t="s">
        <v>99</v>
      </c>
      <c r="B67" s="438" t="s">
        <v>482</v>
      </c>
      <c r="C67" s="439"/>
      <c r="D67" s="439"/>
      <c r="E67" s="439">
        <v>15</v>
      </c>
      <c r="F67" s="439">
        <f>E67</f>
        <v>15</v>
      </c>
      <c r="G67" s="439">
        <f>E67</f>
        <v>15</v>
      </c>
      <c r="H67" s="439">
        <f>G67</f>
        <v>15</v>
      </c>
    </row>
    <row r="68" spans="1:8" ht="37.5" x14ac:dyDescent="0.25">
      <c r="A68" s="437" t="s">
        <v>99</v>
      </c>
      <c r="B68" s="438" t="s">
        <v>1419</v>
      </c>
      <c r="C68" s="439"/>
      <c r="D68" s="439"/>
      <c r="E68" s="439"/>
      <c r="F68" s="439"/>
      <c r="G68" s="439"/>
      <c r="H68" s="439"/>
    </row>
    <row r="69" spans="1:8" x14ac:dyDescent="0.25">
      <c r="A69" s="441" t="s">
        <v>147</v>
      </c>
      <c r="B69" s="442" t="s">
        <v>687</v>
      </c>
      <c r="C69" s="439"/>
      <c r="D69" s="439"/>
      <c r="E69" s="443">
        <f>E73+E81</f>
        <v>1600</v>
      </c>
      <c r="F69" s="443">
        <f>F73+F81</f>
        <v>2061</v>
      </c>
      <c r="G69" s="443">
        <f>G73+G81</f>
        <v>2088</v>
      </c>
      <c r="H69" s="443">
        <f>H73+H81</f>
        <v>2102</v>
      </c>
    </row>
    <row r="70" spans="1:8" x14ac:dyDescent="0.25">
      <c r="A70" s="437"/>
      <c r="B70" s="438" t="s">
        <v>667</v>
      </c>
      <c r="C70" s="439"/>
      <c r="D70" s="439"/>
      <c r="E70" s="439">
        <v>460</v>
      </c>
      <c r="F70" s="439">
        <v>492</v>
      </c>
      <c r="G70" s="439">
        <f>+F70</f>
        <v>492</v>
      </c>
      <c r="H70" s="439">
        <f>G70</f>
        <v>492</v>
      </c>
    </row>
    <row r="71" spans="1:8" x14ac:dyDescent="0.25">
      <c r="A71" s="437"/>
      <c r="B71" s="438" t="s">
        <v>693</v>
      </c>
      <c r="C71" s="439"/>
      <c r="D71" s="439"/>
      <c r="E71" s="439">
        <v>52</v>
      </c>
      <c r="F71" s="439">
        <v>52</v>
      </c>
      <c r="G71" s="439">
        <f>E71</f>
        <v>52</v>
      </c>
      <c r="H71" s="439">
        <f>G71</f>
        <v>52</v>
      </c>
    </row>
    <row r="72" spans="1:8" x14ac:dyDescent="0.25">
      <c r="A72" s="437"/>
      <c r="B72" s="438" t="s">
        <v>664</v>
      </c>
      <c r="C72" s="439"/>
      <c r="D72" s="439"/>
      <c r="E72" s="439">
        <f>E70-E71</f>
        <v>408</v>
      </c>
      <c r="F72" s="439">
        <v>440</v>
      </c>
      <c r="G72" s="439">
        <f>G70-G71</f>
        <v>440</v>
      </c>
      <c r="H72" s="439">
        <f>H70-H71</f>
        <v>440</v>
      </c>
    </row>
    <row r="73" spans="1:8" s="50" customFormat="1" ht="21" customHeight="1" x14ac:dyDescent="0.25">
      <c r="A73" s="441" t="s">
        <v>192</v>
      </c>
      <c r="B73" s="442" t="s">
        <v>10</v>
      </c>
      <c r="C73" s="443"/>
      <c r="D73" s="443"/>
      <c r="E73" s="443">
        <f>+E74+E77-E78</f>
        <v>1585</v>
      </c>
      <c r="F73" s="443">
        <f>+F74+F77-F78</f>
        <v>2046</v>
      </c>
      <c r="G73" s="443">
        <f>+G74+G77-G78</f>
        <v>2073</v>
      </c>
      <c r="H73" s="443">
        <f>+H74+H77-H78</f>
        <v>2087</v>
      </c>
    </row>
    <row r="74" spans="1:8" ht="56.25" x14ac:dyDescent="0.25">
      <c r="A74" s="437">
        <v>1</v>
      </c>
      <c r="B74" s="438" t="s">
        <v>1185</v>
      </c>
      <c r="C74" s="439"/>
      <c r="D74" s="439"/>
      <c r="E74" s="439">
        <f>SUM(E75:E76)</f>
        <v>1491</v>
      </c>
      <c r="F74" s="439">
        <f>SUM(F75:F76)</f>
        <v>1931</v>
      </c>
      <c r="G74" s="439">
        <f>SUM(G75:G76)</f>
        <v>1945</v>
      </c>
      <c r="H74" s="439">
        <f>SUM(H75:H76)</f>
        <v>1959</v>
      </c>
    </row>
    <row r="75" spans="1:8" x14ac:dyDescent="0.25">
      <c r="A75" s="437"/>
      <c r="B75" s="438" t="s">
        <v>1104</v>
      </c>
      <c r="C75" s="439">
        <v>17</v>
      </c>
      <c r="D75" s="440">
        <v>17</v>
      </c>
      <c r="E75" s="439">
        <f>1440</f>
        <v>1440</v>
      </c>
      <c r="F75" s="439">
        <v>1859</v>
      </c>
      <c r="G75" s="439">
        <f>ROUND(F75+C75*0.3+8.8,0)</f>
        <v>1873</v>
      </c>
      <c r="H75" s="439">
        <f>ROUND(G75+C75*0.3+8.8,0)</f>
        <v>1887</v>
      </c>
    </row>
    <row r="76" spans="1:8" ht="37.5" x14ac:dyDescent="0.25">
      <c r="A76" s="437"/>
      <c r="B76" s="438" t="s">
        <v>1105</v>
      </c>
      <c r="C76" s="439">
        <v>2</v>
      </c>
      <c r="D76" s="439">
        <v>2</v>
      </c>
      <c r="E76" s="439">
        <v>51</v>
      </c>
      <c r="F76" s="439">
        <v>72</v>
      </c>
      <c r="G76" s="439">
        <f>+F76</f>
        <v>72</v>
      </c>
      <c r="H76" s="439">
        <f>G76</f>
        <v>72</v>
      </c>
    </row>
    <row r="77" spans="1:8" ht="37.5" x14ac:dyDescent="0.25">
      <c r="A77" s="437">
        <v>2</v>
      </c>
      <c r="B77" s="438" t="s">
        <v>1405</v>
      </c>
      <c r="C77" s="439">
        <v>17</v>
      </c>
      <c r="D77" s="439"/>
      <c r="E77" s="439">
        <v>285</v>
      </c>
      <c r="F77" s="439">
        <f>C77*19</f>
        <v>323</v>
      </c>
      <c r="G77" s="439">
        <f>+F77</f>
        <v>323</v>
      </c>
      <c r="H77" s="439">
        <f>G77</f>
        <v>323</v>
      </c>
    </row>
    <row r="78" spans="1:8" x14ac:dyDescent="0.25">
      <c r="A78" s="437">
        <v>3</v>
      </c>
      <c r="B78" s="438" t="s">
        <v>1092</v>
      </c>
      <c r="C78" s="439"/>
      <c r="D78" s="439"/>
      <c r="E78" s="439">
        <f>SUM(E79:E80)</f>
        <v>191</v>
      </c>
      <c r="F78" s="439">
        <f>SUM(F79:F80)</f>
        <v>208</v>
      </c>
      <c r="G78" s="439">
        <f>SUM(G79:G80)</f>
        <v>195</v>
      </c>
      <c r="H78" s="439">
        <f>SUM(H79:H80)</f>
        <v>195</v>
      </c>
    </row>
    <row r="79" spans="1:8" x14ac:dyDescent="0.25">
      <c r="A79" s="437"/>
      <c r="B79" s="438" t="s">
        <v>969</v>
      </c>
      <c r="C79" s="439"/>
      <c r="D79" s="439"/>
      <c r="E79" s="439">
        <v>28</v>
      </c>
      <c r="F79" s="439">
        <v>32</v>
      </c>
      <c r="G79" s="439">
        <v>32</v>
      </c>
      <c r="H79" s="439">
        <f>G79</f>
        <v>32</v>
      </c>
    </row>
    <row r="80" spans="1:8" x14ac:dyDescent="0.25">
      <c r="A80" s="437"/>
      <c r="B80" s="438" t="s">
        <v>968</v>
      </c>
      <c r="C80" s="439"/>
      <c r="D80" s="439"/>
      <c r="E80" s="439">
        <v>163</v>
      </c>
      <c r="F80" s="439">
        <v>176</v>
      </c>
      <c r="G80" s="439">
        <f>E80</f>
        <v>163</v>
      </c>
      <c r="H80" s="439">
        <f>G80</f>
        <v>163</v>
      </c>
    </row>
    <row r="81" spans="1:8" s="50" customFormat="1" x14ac:dyDescent="0.25">
      <c r="A81" s="441" t="s">
        <v>192</v>
      </c>
      <c r="B81" s="442" t="s">
        <v>11</v>
      </c>
      <c r="C81" s="443"/>
      <c r="D81" s="443"/>
      <c r="E81" s="443">
        <f>E82</f>
        <v>15</v>
      </c>
      <c r="F81" s="443">
        <f>F82</f>
        <v>15</v>
      </c>
      <c r="G81" s="443">
        <f>G82</f>
        <v>15</v>
      </c>
      <c r="H81" s="443">
        <f>H82</f>
        <v>15</v>
      </c>
    </row>
    <row r="82" spans="1:8" x14ac:dyDescent="0.25">
      <c r="A82" s="437" t="s">
        <v>99</v>
      </c>
      <c r="B82" s="438" t="s">
        <v>482</v>
      </c>
      <c r="C82" s="439"/>
      <c r="D82" s="439"/>
      <c r="E82" s="439">
        <v>15</v>
      </c>
      <c r="F82" s="439">
        <f>E82</f>
        <v>15</v>
      </c>
      <c r="G82" s="439">
        <f>E82</f>
        <v>15</v>
      </c>
      <c r="H82" s="439">
        <f>G82</f>
        <v>15</v>
      </c>
    </row>
    <row r="83" spans="1:8" ht="56.25" x14ac:dyDescent="0.25">
      <c r="A83" s="437" t="s">
        <v>99</v>
      </c>
      <c r="B83" s="438" t="s">
        <v>1420</v>
      </c>
      <c r="C83" s="439"/>
      <c r="D83" s="439"/>
      <c r="E83" s="439"/>
      <c r="F83" s="439"/>
      <c r="G83" s="439"/>
      <c r="H83" s="439"/>
    </row>
    <row r="84" spans="1:8" s="50" customFormat="1" x14ac:dyDescent="0.25">
      <c r="A84" s="441" t="s">
        <v>7</v>
      </c>
      <c r="B84" s="442" t="s">
        <v>379</v>
      </c>
      <c r="C84" s="443"/>
      <c r="D84" s="443"/>
      <c r="E84" s="443">
        <f>SUM(E87:E98)</f>
        <v>65528</v>
      </c>
      <c r="F84" s="443">
        <f>SUM(F87:F98)</f>
        <v>101069</v>
      </c>
      <c r="G84" s="443">
        <f>SUM(G87:G98)</f>
        <v>35000</v>
      </c>
      <c r="H84" s="443">
        <f>SUM(H87:H98)</f>
        <v>35000</v>
      </c>
    </row>
    <row r="85" spans="1:8" ht="37.5" hidden="1" x14ac:dyDescent="0.25">
      <c r="A85" s="437"/>
      <c r="B85" s="438" t="s">
        <v>697</v>
      </c>
      <c r="C85" s="439"/>
      <c r="D85" s="439"/>
      <c r="E85" s="439"/>
      <c r="F85" s="439"/>
      <c r="G85" s="439"/>
      <c r="H85" s="439"/>
    </row>
    <row r="86" spans="1:8" s="50" customFormat="1" hidden="1" x14ac:dyDescent="0.25">
      <c r="A86" s="441">
        <v>1</v>
      </c>
      <c r="B86" s="442" t="s">
        <v>689</v>
      </c>
      <c r="C86" s="443"/>
      <c r="D86" s="443"/>
      <c r="E86" s="443">
        <f>SUM(E87:E98)</f>
        <v>65528</v>
      </c>
      <c r="F86" s="443">
        <f>SUM(F87:F98)</f>
        <v>101069</v>
      </c>
      <c r="G86" s="443">
        <f>SUM(G87:G98)</f>
        <v>35000</v>
      </c>
      <c r="H86" s="443">
        <f>SUM(H87:H98)</f>
        <v>35000</v>
      </c>
    </row>
    <row r="87" spans="1:8" x14ac:dyDescent="0.25">
      <c r="A87" s="437" t="s">
        <v>99</v>
      </c>
      <c r="B87" s="438" t="s">
        <v>1416</v>
      </c>
      <c r="C87" s="439"/>
      <c r="D87" s="439"/>
      <c r="E87" s="439">
        <v>28</v>
      </c>
      <c r="F87" s="439"/>
      <c r="G87" s="439"/>
      <c r="H87" s="439"/>
    </row>
    <row r="88" spans="1:8" ht="93.75" x14ac:dyDescent="0.25">
      <c r="A88" s="437" t="s">
        <v>99</v>
      </c>
      <c r="B88" s="438" t="s">
        <v>1865</v>
      </c>
      <c r="C88" s="439"/>
      <c r="D88" s="439"/>
      <c r="E88" s="439">
        <v>2000</v>
      </c>
      <c r="F88" s="439">
        <v>3000</v>
      </c>
      <c r="G88" s="439">
        <f>F88</f>
        <v>3000</v>
      </c>
      <c r="H88" s="439">
        <f>G88</f>
        <v>3000</v>
      </c>
    </row>
    <row r="89" spans="1:8" ht="93.75" x14ac:dyDescent="0.25">
      <c r="A89" s="437" t="s">
        <v>99</v>
      </c>
      <c r="B89" s="438" t="s">
        <v>1867</v>
      </c>
      <c r="C89" s="439"/>
      <c r="D89" s="439"/>
      <c r="E89" s="439">
        <v>25000</v>
      </c>
      <c r="F89" s="439">
        <v>31000</v>
      </c>
      <c r="G89" s="439">
        <f>F89</f>
        <v>31000</v>
      </c>
      <c r="H89" s="439">
        <f>G89</f>
        <v>31000</v>
      </c>
    </row>
    <row r="90" spans="1:8" ht="56.25" x14ac:dyDescent="0.25">
      <c r="A90" s="437" t="s">
        <v>99</v>
      </c>
      <c r="B90" s="438" t="s">
        <v>1872</v>
      </c>
      <c r="C90" s="439"/>
      <c r="D90" s="439"/>
      <c r="E90" s="439">
        <v>600</v>
      </c>
      <c r="F90" s="439">
        <v>1000</v>
      </c>
      <c r="G90" s="439"/>
      <c r="H90" s="439"/>
    </row>
    <row r="91" spans="1:8" x14ac:dyDescent="0.25">
      <c r="A91" s="437" t="s">
        <v>99</v>
      </c>
      <c r="B91" s="438" t="s">
        <v>688</v>
      </c>
      <c r="C91" s="439"/>
      <c r="D91" s="439"/>
      <c r="E91" s="439">
        <v>1000</v>
      </c>
      <c r="F91" s="439">
        <f>E91</f>
        <v>1000</v>
      </c>
      <c r="G91" s="439">
        <f>E91</f>
        <v>1000</v>
      </c>
      <c r="H91" s="439">
        <f>G91</f>
        <v>1000</v>
      </c>
    </row>
    <row r="92" spans="1:8" ht="37.5" x14ac:dyDescent="0.25">
      <c r="A92" s="437" t="s">
        <v>99</v>
      </c>
      <c r="B92" s="438" t="s">
        <v>1870</v>
      </c>
      <c r="C92" s="439"/>
      <c r="D92" s="439"/>
      <c r="E92" s="439"/>
      <c r="F92" s="439">
        <v>1430</v>
      </c>
      <c r="G92" s="439"/>
      <c r="H92" s="439"/>
    </row>
    <row r="93" spans="1:8" ht="112.5" x14ac:dyDescent="0.25">
      <c r="A93" s="437" t="s">
        <v>99</v>
      </c>
      <c r="B93" s="438" t="s">
        <v>1868</v>
      </c>
      <c r="C93" s="439"/>
      <c r="D93" s="439"/>
      <c r="E93" s="574">
        <v>35510</v>
      </c>
      <c r="F93" s="439">
        <v>27000</v>
      </c>
      <c r="G93" s="439"/>
      <c r="H93" s="439"/>
    </row>
    <row r="94" spans="1:8" ht="93.75" x14ac:dyDescent="0.25">
      <c r="A94" s="437" t="s">
        <v>99</v>
      </c>
      <c r="B94" s="438" t="s">
        <v>1866</v>
      </c>
      <c r="C94" s="439"/>
      <c r="D94" s="439"/>
      <c r="E94" s="574"/>
      <c r="F94" s="439">
        <v>22000</v>
      </c>
      <c r="G94" s="439"/>
      <c r="H94" s="439"/>
    </row>
    <row r="95" spans="1:8" ht="93.75" x14ac:dyDescent="0.25">
      <c r="A95" s="437" t="s">
        <v>99</v>
      </c>
      <c r="B95" s="438" t="s">
        <v>1869</v>
      </c>
      <c r="C95" s="439"/>
      <c r="D95" s="439"/>
      <c r="E95" s="439">
        <v>500</v>
      </c>
      <c r="F95" s="439">
        <v>2411</v>
      </c>
      <c r="G95" s="439"/>
      <c r="H95" s="439"/>
    </row>
    <row r="96" spans="1:8" ht="37.5" x14ac:dyDescent="0.25">
      <c r="A96" s="437" t="s">
        <v>99</v>
      </c>
      <c r="B96" s="438" t="s">
        <v>1864</v>
      </c>
      <c r="C96" s="439"/>
      <c r="D96" s="439"/>
      <c r="E96" s="439"/>
      <c r="F96" s="439">
        <v>11235</v>
      </c>
      <c r="G96" s="439"/>
      <c r="H96" s="439"/>
    </row>
    <row r="97" spans="1:8" ht="37.5" x14ac:dyDescent="0.25">
      <c r="A97" s="437" t="s">
        <v>99</v>
      </c>
      <c r="B97" s="438" t="s">
        <v>696</v>
      </c>
      <c r="C97" s="439"/>
      <c r="D97" s="439"/>
      <c r="E97" s="439">
        <v>890</v>
      </c>
      <c r="F97" s="439"/>
      <c r="G97" s="439"/>
      <c r="H97" s="439"/>
    </row>
    <row r="98" spans="1:8" ht="56.25" x14ac:dyDescent="0.25">
      <c r="A98" s="437" t="s">
        <v>99</v>
      </c>
      <c r="B98" s="438" t="s">
        <v>1863</v>
      </c>
      <c r="C98" s="439"/>
      <c r="D98" s="439"/>
      <c r="E98" s="439"/>
      <c r="F98" s="439">
        <v>993</v>
      </c>
      <c r="G98" s="439"/>
      <c r="H98" s="439"/>
    </row>
    <row r="99" spans="1:8" s="50" customFormat="1" x14ac:dyDescent="0.25">
      <c r="A99" s="441" t="s">
        <v>16</v>
      </c>
      <c r="B99" s="442" t="s">
        <v>416</v>
      </c>
      <c r="C99" s="443"/>
      <c r="D99" s="443"/>
      <c r="E99" s="443">
        <f>E100+E101+E102+E116</f>
        <v>38728</v>
      </c>
      <c r="F99" s="443">
        <f t="shared" ref="F99:H99" si="2">F100+F101+F102+F116</f>
        <v>18710</v>
      </c>
      <c r="G99" s="443">
        <f t="shared" si="2"/>
        <v>4500</v>
      </c>
      <c r="H99" s="443">
        <f t="shared" si="2"/>
        <v>4500</v>
      </c>
    </row>
    <row r="100" spans="1:8" ht="93.75" x14ac:dyDescent="0.25">
      <c r="A100" s="437">
        <v>1</v>
      </c>
      <c r="B100" s="438" t="s">
        <v>698</v>
      </c>
      <c r="C100" s="439"/>
      <c r="D100" s="439"/>
      <c r="E100" s="439">
        <v>500</v>
      </c>
      <c r="F100" s="439">
        <f>E100</f>
        <v>500</v>
      </c>
      <c r="G100" s="439">
        <f>E100</f>
        <v>500</v>
      </c>
      <c r="H100" s="439">
        <f>G100</f>
        <v>500</v>
      </c>
    </row>
    <row r="101" spans="1:8" x14ac:dyDescent="0.25">
      <c r="A101" s="437">
        <v>2</v>
      </c>
      <c r="B101" s="438" t="s">
        <v>699</v>
      </c>
      <c r="C101" s="439"/>
      <c r="D101" s="439"/>
      <c r="E101" s="439">
        <v>3270</v>
      </c>
      <c r="F101" s="439">
        <v>3000</v>
      </c>
      <c r="G101" s="439">
        <f>F101</f>
        <v>3000</v>
      </c>
      <c r="H101" s="439">
        <f>G101</f>
        <v>3000</v>
      </c>
    </row>
    <row r="102" spans="1:8" x14ac:dyDescent="0.25">
      <c r="A102" s="437">
        <v>3</v>
      </c>
      <c r="B102" s="438" t="s">
        <v>700</v>
      </c>
      <c r="C102" s="439"/>
      <c r="D102" s="439"/>
      <c r="E102" s="439">
        <f>SUM(E103:E115)</f>
        <v>33958</v>
      </c>
      <c r="F102" s="439">
        <f>SUM(F103:F115)</f>
        <v>14210</v>
      </c>
      <c r="G102" s="439"/>
      <c r="H102" s="439"/>
    </row>
    <row r="103" spans="1:8" s="87" customFormat="1" ht="37.5" x14ac:dyDescent="0.25">
      <c r="A103" s="84" t="s">
        <v>99</v>
      </c>
      <c r="B103" s="85" t="s">
        <v>701</v>
      </c>
      <c r="C103" s="86"/>
      <c r="D103" s="86"/>
      <c r="E103" s="86">
        <v>500</v>
      </c>
      <c r="F103" s="86">
        <v>1000</v>
      </c>
      <c r="G103" s="86"/>
      <c r="H103" s="86"/>
    </row>
    <row r="104" spans="1:8" s="87" customFormat="1" ht="56.25" x14ac:dyDescent="0.25">
      <c r="A104" s="84" t="s">
        <v>99</v>
      </c>
      <c r="B104" s="85" t="s">
        <v>702</v>
      </c>
      <c r="C104" s="86"/>
      <c r="D104" s="86"/>
      <c r="E104" s="86">
        <v>2582</v>
      </c>
      <c r="F104" s="86"/>
      <c r="G104" s="86"/>
      <c r="H104" s="86"/>
    </row>
    <row r="105" spans="1:8" s="87" customFormat="1" ht="56.25" x14ac:dyDescent="0.25">
      <c r="A105" s="84" t="s">
        <v>99</v>
      </c>
      <c r="B105" s="85" t="s">
        <v>703</v>
      </c>
      <c r="C105" s="86"/>
      <c r="D105" s="86"/>
      <c r="E105" s="86">
        <v>1446</v>
      </c>
      <c r="F105" s="86"/>
      <c r="G105" s="86"/>
      <c r="H105" s="86"/>
    </row>
    <row r="106" spans="1:8" s="87" customFormat="1" ht="37.5" x14ac:dyDescent="0.25">
      <c r="A106" s="84" t="s">
        <v>99</v>
      </c>
      <c r="B106" s="85" t="s">
        <v>1421</v>
      </c>
      <c r="C106" s="86"/>
      <c r="D106" s="86"/>
      <c r="E106" s="86">
        <v>430</v>
      </c>
      <c r="F106" s="86">
        <f>E106</f>
        <v>430</v>
      </c>
      <c r="G106" s="86"/>
      <c r="H106" s="86"/>
    </row>
    <row r="107" spans="1:8" s="87" customFormat="1" ht="37.5" x14ac:dyDescent="0.25">
      <c r="A107" s="84" t="s">
        <v>99</v>
      </c>
      <c r="B107" s="85" t="s">
        <v>1417</v>
      </c>
      <c r="C107" s="86"/>
      <c r="D107" s="86"/>
      <c r="E107" s="86"/>
      <c r="F107" s="86">
        <v>600</v>
      </c>
      <c r="G107" s="86"/>
      <c r="H107" s="86"/>
    </row>
    <row r="108" spans="1:8" s="87" customFormat="1" ht="37.5" x14ac:dyDescent="0.25">
      <c r="A108" s="84" t="s">
        <v>99</v>
      </c>
      <c r="B108" s="85" t="s">
        <v>1418</v>
      </c>
      <c r="C108" s="86"/>
      <c r="D108" s="86"/>
      <c r="E108" s="86"/>
      <c r="F108" s="86">
        <v>600</v>
      </c>
      <c r="G108" s="86"/>
      <c r="H108" s="86"/>
    </row>
    <row r="109" spans="1:8" s="87" customFormat="1" ht="93.75" x14ac:dyDescent="0.25">
      <c r="A109" s="84" t="s">
        <v>99</v>
      </c>
      <c r="B109" s="85" t="s">
        <v>1873</v>
      </c>
      <c r="C109" s="86"/>
      <c r="D109" s="86"/>
      <c r="E109" s="86">
        <v>1000</v>
      </c>
      <c r="F109" s="86">
        <v>380</v>
      </c>
      <c r="G109" s="86"/>
      <c r="H109" s="86"/>
    </row>
    <row r="110" spans="1:8" s="87" customFormat="1" ht="56.25" x14ac:dyDescent="0.25">
      <c r="A110" s="84" t="s">
        <v>99</v>
      </c>
      <c r="B110" s="85" t="s">
        <v>704</v>
      </c>
      <c r="C110" s="86"/>
      <c r="D110" s="86"/>
      <c r="E110" s="86">
        <v>1000</v>
      </c>
      <c r="F110" s="86"/>
      <c r="G110" s="86"/>
      <c r="H110" s="86"/>
    </row>
    <row r="111" spans="1:8" s="87" customFormat="1" ht="56.25" x14ac:dyDescent="0.25">
      <c r="A111" s="84" t="s">
        <v>99</v>
      </c>
      <c r="B111" s="85" t="s">
        <v>707</v>
      </c>
      <c r="C111" s="86"/>
      <c r="D111" s="86"/>
      <c r="E111" s="86">
        <f>5500+1500</f>
        <v>7000</v>
      </c>
      <c r="F111" s="86"/>
      <c r="G111" s="86"/>
      <c r="H111" s="86"/>
    </row>
    <row r="112" spans="1:8" s="87" customFormat="1" ht="56.25" x14ac:dyDescent="0.25">
      <c r="A112" s="84" t="s">
        <v>99</v>
      </c>
      <c r="B112" s="85" t="s">
        <v>1874</v>
      </c>
      <c r="C112" s="86"/>
      <c r="D112" s="86"/>
      <c r="E112" s="86">
        <v>6000</v>
      </c>
      <c r="F112" s="86">
        <v>6200</v>
      </c>
      <c r="G112" s="86"/>
      <c r="H112" s="86"/>
    </row>
    <row r="113" spans="1:8" s="87" customFormat="1" ht="56.25" x14ac:dyDescent="0.25">
      <c r="A113" s="84" t="s">
        <v>99</v>
      </c>
      <c r="B113" s="85" t="s">
        <v>981</v>
      </c>
      <c r="C113" s="86"/>
      <c r="D113" s="86"/>
      <c r="E113" s="86">
        <v>6000</v>
      </c>
      <c r="F113" s="86"/>
      <c r="G113" s="86"/>
      <c r="H113" s="86"/>
    </row>
    <row r="114" spans="1:8" s="87" customFormat="1" ht="56.25" x14ac:dyDescent="0.25">
      <c r="A114" s="84" t="s">
        <v>99</v>
      </c>
      <c r="B114" s="85" t="s">
        <v>1875</v>
      </c>
      <c r="C114" s="86"/>
      <c r="D114" s="86"/>
      <c r="E114" s="86">
        <v>3000</v>
      </c>
      <c r="F114" s="86">
        <v>5000</v>
      </c>
      <c r="G114" s="86"/>
      <c r="H114" s="86"/>
    </row>
    <row r="115" spans="1:8" s="87" customFormat="1" ht="56.25" x14ac:dyDescent="0.25">
      <c r="A115" s="84" t="s">
        <v>99</v>
      </c>
      <c r="B115" s="85" t="s">
        <v>706</v>
      </c>
      <c r="C115" s="86"/>
      <c r="D115" s="86"/>
      <c r="E115" s="86">
        <v>5000</v>
      </c>
      <c r="F115" s="86"/>
      <c r="G115" s="86"/>
      <c r="H115" s="86"/>
    </row>
    <row r="116" spans="1:8" ht="37.5" x14ac:dyDescent="0.25">
      <c r="A116" s="437">
        <v>4</v>
      </c>
      <c r="B116" s="438" t="s">
        <v>1876</v>
      </c>
      <c r="C116" s="439"/>
      <c r="D116" s="439"/>
      <c r="E116" s="439">
        <v>1000</v>
      </c>
      <c r="F116" s="439">
        <f>E116</f>
        <v>1000</v>
      </c>
      <c r="G116" s="439">
        <f>E116</f>
        <v>1000</v>
      </c>
      <c r="H116" s="439">
        <f>G116</f>
        <v>1000</v>
      </c>
    </row>
    <row r="117" spans="1:8" ht="56.25" hidden="1" x14ac:dyDescent="0.25">
      <c r="A117" s="437"/>
      <c r="B117" s="438" t="s">
        <v>705</v>
      </c>
      <c r="C117" s="439"/>
      <c r="D117" s="439"/>
      <c r="E117" s="439"/>
      <c r="F117" s="439"/>
      <c r="G117" s="439"/>
      <c r="H117" s="439"/>
    </row>
    <row r="118" spans="1:8" x14ac:dyDescent="0.25">
      <c r="A118" s="444"/>
      <c r="B118" s="445"/>
      <c r="C118" s="446"/>
      <c r="D118" s="446"/>
      <c r="E118" s="446"/>
      <c r="F118" s="446"/>
      <c r="G118" s="446"/>
      <c r="H118" s="446"/>
    </row>
    <row r="119" spans="1:8" ht="40.5" customHeight="1" x14ac:dyDescent="0.25">
      <c r="A119" s="447"/>
      <c r="B119" s="575" t="s">
        <v>1871</v>
      </c>
      <c r="C119" s="575"/>
      <c r="D119" s="575"/>
      <c r="E119" s="575"/>
      <c r="F119" s="575"/>
      <c r="G119" s="575"/>
      <c r="H119" s="575"/>
    </row>
    <row r="120" spans="1:8" x14ac:dyDescent="0.25">
      <c r="B120" s="434" t="s">
        <v>1332</v>
      </c>
    </row>
    <row r="122" spans="1:8" x14ac:dyDescent="0.25">
      <c r="A122" s="568" t="s">
        <v>36</v>
      </c>
      <c r="B122" s="568"/>
      <c r="D122" s="568" t="s">
        <v>37</v>
      </c>
      <c r="E122" s="568"/>
      <c r="F122" s="568"/>
      <c r="G122" s="568"/>
      <c r="H122" s="568"/>
    </row>
  </sheetData>
  <mergeCells count="22">
    <mergeCell ref="C9:H9"/>
    <mergeCell ref="C10:H10"/>
    <mergeCell ref="C15:H15"/>
    <mergeCell ref="C17:H17"/>
    <mergeCell ref="C18:H18"/>
    <mergeCell ref="A1:H1"/>
    <mergeCell ref="B3:H3"/>
    <mergeCell ref="C6:H6"/>
    <mergeCell ref="C7:H7"/>
    <mergeCell ref="C8:H8"/>
    <mergeCell ref="C22:H22"/>
    <mergeCell ref="C27:H27"/>
    <mergeCell ref="B28:H28"/>
    <mergeCell ref="C26:H26"/>
    <mergeCell ref="C20:H20"/>
    <mergeCell ref="C23:H23"/>
    <mergeCell ref="C21:H21"/>
    <mergeCell ref="E93:E94"/>
    <mergeCell ref="B119:H119"/>
    <mergeCell ref="A122:B122"/>
    <mergeCell ref="D122:H122"/>
    <mergeCell ref="C25:H25"/>
  </mergeCells>
  <pageMargins left="0" right="0" top="0.39370078740157483" bottom="0.29527559055118113" header="0.31496062992125984" footer="0.31496062992125984"/>
  <pageSetup scale="90" orientation="portrait" r:id="rId1"/>
  <headerFooter>
    <oddFooter>&amp;C&amp;P/&amp;N</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H49"/>
  <sheetViews>
    <sheetView topLeftCell="A38" zoomScaleNormal="100" workbookViewId="0">
      <selection activeCell="B43" sqref="B43"/>
    </sheetView>
  </sheetViews>
  <sheetFormatPr defaultRowHeight="18.75" x14ac:dyDescent="0.25"/>
  <cols>
    <col min="1" max="1" width="4.85546875" style="7" customWidth="1"/>
    <col min="2" max="2" width="43.28515625" style="7" customWidth="1"/>
    <col min="3" max="4" width="7.85546875" style="7" customWidth="1"/>
    <col min="5" max="8" width="11.7109375" style="7" customWidth="1"/>
    <col min="9" max="16384" width="9.140625" style="7"/>
  </cols>
  <sheetData>
    <row r="1" spans="1:8" ht="41.25" customHeight="1" x14ac:dyDescent="0.25">
      <c r="A1" s="549" t="s">
        <v>1074</v>
      </c>
      <c r="B1" s="555"/>
      <c r="C1" s="555"/>
      <c r="D1" s="555"/>
      <c r="E1" s="555"/>
      <c r="F1" s="555"/>
      <c r="G1" s="555"/>
      <c r="H1" s="555"/>
    </row>
    <row r="2" spans="1:8" x14ac:dyDescent="0.25">
      <c r="A2" s="146"/>
      <c r="B2" s="146"/>
      <c r="C2" s="146"/>
      <c r="D2" s="1"/>
      <c r="E2" s="1"/>
      <c r="F2" s="1"/>
      <c r="G2" s="1"/>
      <c r="H2" s="1"/>
    </row>
    <row r="3" spans="1:8" ht="40.5" customHeight="1" x14ac:dyDescent="0.25">
      <c r="B3" s="556" t="s">
        <v>1430</v>
      </c>
      <c r="C3" s="556"/>
      <c r="D3" s="556"/>
      <c r="E3" s="556"/>
      <c r="F3" s="556"/>
      <c r="G3" s="556"/>
      <c r="H3" s="556"/>
    </row>
    <row r="4" spans="1:8" x14ac:dyDescent="0.25">
      <c r="B4" s="7" t="s">
        <v>39</v>
      </c>
      <c r="D4" s="8"/>
      <c r="E4" s="8"/>
      <c r="F4" s="8"/>
      <c r="G4" s="8"/>
      <c r="H4" s="8"/>
    </row>
    <row r="5" spans="1:8" s="146" customFormat="1" x14ac:dyDescent="0.25">
      <c r="B5" s="3" t="s">
        <v>18</v>
      </c>
    </row>
    <row r="6" spans="1:8" x14ac:dyDescent="0.25">
      <c r="B6" s="2" t="s">
        <v>23</v>
      </c>
      <c r="C6" s="558" t="s">
        <v>49</v>
      </c>
      <c r="D6" s="558"/>
      <c r="E6" s="558"/>
      <c r="F6" s="558"/>
      <c r="G6" s="558"/>
      <c r="H6" s="558"/>
    </row>
    <row r="7" spans="1:8" hidden="1" x14ac:dyDescent="0.25">
      <c r="A7" s="2"/>
      <c r="B7" s="2" t="s">
        <v>19</v>
      </c>
      <c r="C7" s="558" t="s">
        <v>50</v>
      </c>
      <c r="D7" s="558"/>
      <c r="E7" s="558"/>
      <c r="F7" s="558"/>
      <c r="G7" s="558"/>
      <c r="H7" s="558"/>
    </row>
    <row r="8" spans="1:8" hidden="1" x14ac:dyDescent="0.25">
      <c r="A8" s="2"/>
      <c r="B8" s="2" t="s">
        <v>90</v>
      </c>
      <c r="C8" s="558" t="s">
        <v>60</v>
      </c>
      <c r="D8" s="558"/>
      <c r="E8" s="558"/>
      <c r="F8" s="558"/>
      <c r="G8" s="558"/>
      <c r="H8" s="558"/>
    </row>
    <row r="9" spans="1:8" x14ac:dyDescent="0.25">
      <c r="A9" s="2"/>
      <c r="B9" s="2" t="s">
        <v>19</v>
      </c>
      <c r="C9" s="558" t="s">
        <v>50</v>
      </c>
      <c r="D9" s="558"/>
      <c r="E9" s="558"/>
      <c r="F9" s="558"/>
      <c r="G9" s="558"/>
      <c r="H9" s="558"/>
    </row>
    <row r="10" spans="1:8" x14ac:dyDescent="0.25">
      <c r="A10" s="2"/>
      <c r="B10" s="2" t="s">
        <v>733</v>
      </c>
      <c r="C10" s="558" t="s">
        <v>734</v>
      </c>
      <c r="D10" s="558"/>
      <c r="E10" s="558"/>
      <c r="F10" s="558"/>
      <c r="G10" s="558"/>
      <c r="H10" s="558"/>
    </row>
    <row r="11" spans="1:8" x14ac:dyDescent="0.25">
      <c r="A11" s="2"/>
      <c r="B11" s="2" t="s">
        <v>1205</v>
      </c>
      <c r="C11" s="199" t="s">
        <v>87</v>
      </c>
      <c r="D11" s="199"/>
      <c r="E11" s="199"/>
      <c r="F11" s="328"/>
      <c r="G11" s="199"/>
      <c r="H11" s="199"/>
    </row>
    <row r="12" spans="1:8" x14ac:dyDescent="0.25">
      <c r="A12" s="2"/>
      <c r="B12" s="2" t="s">
        <v>306</v>
      </c>
      <c r="C12" s="199" t="s">
        <v>88</v>
      </c>
      <c r="D12" s="199"/>
      <c r="E12" s="199"/>
      <c r="F12" s="328"/>
      <c r="G12" s="199"/>
      <c r="H12" s="199"/>
    </row>
    <row r="13" spans="1:8" hidden="1" x14ac:dyDescent="0.25">
      <c r="A13" s="2"/>
      <c r="B13" s="2" t="s">
        <v>94</v>
      </c>
      <c r="C13" s="199" t="s">
        <v>95</v>
      </c>
      <c r="D13" s="199"/>
      <c r="E13" s="199"/>
      <c r="F13" s="328"/>
      <c r="G13" s="199"/>
      <c r="H13" s="199"/>
    </row>
    <row r="14" spans="1:8" hidden="1" x14ac:dyDescent="0.25">
      <c r="A14" s="2"/>
      <c r="B14" s="2" t="s">
        <v>94</v>
      </c>
      <c r="C14" s="199" t="s">
        <v>779</v>
      </c>
      <c r="D14" s="199"/>
      <c r="E14" s="199"/>
      <c r="F14" s="328"/>
      <c r="G14" s="199"/>
      <c r="H14" s="199"/>
    </row>
    <row r="15" spans="1:8" hidden="1" x14ac:dyDescent="0.25">
      <c r="A15" s="2"/>
      <c r="B15" s="2" t="s">
        <v>21</v>
      </c>
      <c r="C15" s="558"/>
      <c r="D15" s="558"/>
      <c r="E15" s="558"/>
      <c r="F15" s="558"/>
      <c r="G15" s="558"/>
      <c r="H15" s="558"/>
    </row>
    <row r="16" spans="1:8" s="146" customFormat="1" x14ac:dyDescent="0.25">
      <c r="A16" s="3"/>
      <c r="B16" s="3" t="s">
        <v>728</v>
      </c>
      <c r="C16" s="3"/>
      <c r="D16" s="3"/>
      <c r="E16" s="3"/>
      <c r="F16" s="3"/>
      <c r="G16" s="3"/>
      <c r="H16" s="3"/>
    </row>
    <row r="17" spans="1:8" x14ac:dyDescent="0.25">
      <c r="A17" s="2"/>
      <c r="B17" s="2" t="s">
        <v>1428</v>
      </c>
      <c r="C17" s="558" t="s">
        <v>1429</v>
      </c>
      <c r="D17" s="558"/>
      <c r="E17" s="558"/>
      <c r="F17" s="558"/>
      <c r="G17" s="558"/>
      <c r="H17" s="558"/>
    </row>
    <row r="18" spans="1:8" hidden="1" x14ac:dyDescent="0.25">
      <c r="A18" s="2"/>
      <c r="B18" s="2" t="s">
        <v>20</v>
      </c>
      <c r="C18" s="199"/>
      <c r="D18" s="199"/>
      <c r="E18" s="199"/>
      <c r="F18" s="328"/>
      <c r="G18" s="199"/>
      <c r="H18" s="199"/>
    </row>
    <row r="19" spans="1:8" x14ac:dyDescent="0.25">
      <c r="A19" s="2"/>
      <c r="B19" s="2" t="s">
        <v>729</v>
      </c>
      <c r="C19" s="558" t="s">
        <v>377</v>
      </c>
      <c r="D19" s="558"/>
      <c r="E19" s="558"/>
      <c r="F19" s="558"/>
      <c r="G19" s="558"/>
      <c r="H19" s="558"/>
    </row>
    <row r="20" spans="1:8" hidden="1" x14ac:dyDescent="0.25">
      <c r="A20" s="2"/>
      <c r="B20" s="2" t="s">
        <v>20</v>
      </c>
      <c r="C20" s="558"/>
      <c r="D20" s="558"/>
      <c r="E20" s="558"/>
      <c r="F20" s="558"/>
      <c r="G20" s="558"/>
      <c r="H20" s="558"/>
    </row>
    <row r="21" spans="1:8" hidden="1" x14ac:dyDescent="0.25">
      <c r="A21" s="2"/>
      <c r="B21" s="2" t="s">
        <v>21</v>
      </c>
      <c r="C21" s="558"/>
      <c r="D21" s="558"/>
      <c r="E21" s="558"/>
      <c r="F21" s="558"/>
      <c r="G21" s="558"/>
      <c r="H21" s="558"/>
    </row>
    <row r="22" spans="1:8" hidden="1" x14ac:dyDescent="0.25">
      <c r="A22" s="2"/>
      <c r="B22" s="2" t="s">
        <v>21</v>
      </c>
      <c r="C22" s="558"/>
      <c r="D22" s="558"/>
      <c r="E22" s="558"/>
      <c r="F22" s="558"/>
      <c r="G22" s="558"/>
      <c r="H22" s="558"/>
    </row>
    <row r="23" spans="1:8" ht="18" customHeight="1" x14ac:dyDescent="0.25">
      <c r="A23" s="2"/>
      <c r="B23" s="2" t="s">
        <v>730</v>
      </c>
      <c r="C23" s="558" t="s">
        <v>108</v>
      </c>
      <c r="D23" s="558"/>
      <c r="E23" s="558"/>
      <c r="F23" s="558"/>
      <c r="G23" s="558"/>
      <c r="H23" s="558"/>
    </row>
    <row r="24" spans="1:8" ht="39.75" customHeight="1" x14ac:dyDescent="0.25">
      <c r="A24" s="2"/>
      <c r="B24" s="556" t="s">
        <v>1073</v>
      </c>
      <c r="C24" s="556"/>
      <c r="D24" s="556"/>
      <c r="E24" s="556"/>
      <c r="F24" s="556"/>
      <c r="G24" s="556"/>
      <c r="H24" s="556"/>
    </row>
    <row r="25" spans="1:8" x14ac:dyDescent="0.25">
      <c r="A25" s="4"/>
      <c r="H25" s="4" t="s">
        <v>61</v>
      </c>
    </row>
    <row r="26" spans="1:8" s="325" customFormat="1" ht="75" x14ac:dyDescent="0.25">
      <c r="A26" s="390" t="s">
        <v>62</v>
      </c>
      <c r="B26" s="390" t="s">
        <v>2</v>
      </c>
      <c r="C26" s="390" t="s">
        <v>17</v>
      </c>
      <c r="D26" s="390" t="s">
        <v>5</v>
      </c>
      <c r="E26" s="390" t="s">
        <v>1099</v>
      </c>
      <c r="F26" s="390" t="s">
        <v>9</v>
      </c>
      <c r="G26" s="390" t="s">
        <v>461</v>
      </c>
      <c r="H26" s="390" t="s">
        <v>1046</v>
      </c>
    </row>
    <row r="27" spans="1:8" s="146" customFormat="1" x14ac:dyDescent="0.25">
      <c r="A27" s="390"/>
      <c r="B27" s="390" t="s">
        <v>97</v>
      </c>
      <c r="C27" s="32"/>
      <c r="D27" s="32"/>
      <c r="E27" s="32">
        <f>E28+E34</f>
        <v>8432</v>
      </c>
      <c r="F27" s="32">
        <f>F28+F34</f>
        <v>9483</v>
      </c>
      <c r="G27" s="32">
        <f>G28+G34</f>
        <v>8883</v>
      </c>
      <c r="H27" s="32">
        <f>H28+H34</f>
        <v>9000</v>
      </c>
    </row>
    <row r="28" spans="1:8" s="146" customFormat="1" ht="21" customHeight="1" x14ac:dyDescent="0.25">
      <c r="A28" s="9" t="s">
        <v>51</v>
      </c>
      <c r="B28" s="10" t="s">
        <v>1081</v>
      </c>
      <c r="C28" s="20"/>
      <c r="D28" s="20"/>
      <c r="E28" s="20">
        <f>+E29+E32-E33</f>
        <v>7043</v>
      </c>
      <c r="F28" s="20">
        <f>+F29+F32-F33</f>
        <v>7410</v>
      </c>
      <c r="G28" s="20">
        <f>+G29+G32-G33</f>
        <v>7160</v>
      </c>
      <c r="H28" s="20">
        <f>+H29+H32-H33</f>
        <v>7277</v>
      </c>
    </row>
    <row r="29" spans="1:8" ht="37.5" x14ac:dyDescent="0.25">
      <c r="A29" s="11">
        <v>1</v>
      </c>
      <c r="B29" s="12" t="s">
        <v>1077</v>
      </c>
      <c r="C29" s="21"/>
      <c r="D29" s="21"/>
      <c r="E29" s="21">
        <f>SUM(E30:E31)</f>
        <v>6287</v>
      </c>
      <c r="F29" s="21">
        <f>SUM(F30:F31)</f>
        <v>6654</v>
      </c>
      <c r="G29" s="21">
        <f>SUM(G30:G31)</f>
        <v>6404</v>
      </c>
      <c r="H29" s="21">
        <f>SUM(H30:H31)</f>
        <v>6521</v>
      </c>
    </row>
    <row r="30" spans="1:8" x14ac:dyDescent="0.25">
      <c r="A30" s="11"/>
      <c r="B30" s="12" t="s">
        <v>1109</v>
      </c>
      <c r="C30" s="21">
        <v>42</v>
      </c>
      <c r="D30" s="36">
        <v>42</v>
      </c>
      <c r="E30" s="21">
        <v>6017</v>
      </c>
      <c r="F30" s="21">
        <v>6364</v>
      </c>
      <c r="G30" s="21">
        <f>ROUND(E30+C30*0.3*8.1,0)</f>
        <v>6119</v>
      </c>
      <c r="H30" s="21">
        <f>ROUND(G30+D30*0.3*8.1,0)</f>
        <v>6221</v>
      </c>
    </row>
    <row r="31" spans="1:8" ht="37.5" x14ac:dyDescent="0.25">
      <c r="A31" s="11"/>
      <c r="B31" s="12" t="s">
        <v>1096</v>
      </c>
      <c r="C31" s="21">
        <v>6</v>
      </c>
      <c r="D31" s="21">
        <v>6</v>
      </c>
      <c r="E31" s="21">
        <v>270</v>
      </c>
      <c r="F31" s="21">
        <v>290</v>
      </c>
      <c r="G31" s="21">
        <f>ROUND(E31+C31*0.3*8.1,0)</f>
        <v>285</v>
      </c>
      <c r="H31" s="21">
        <f>ROUND(G31+D31*0.3*8.1,0)</f>
        <v>300</v>
      </c>
    </row>
    <row r="32" spans="1:8" ht="37.5" x14ac:dyDescent="0.25">
      <c r="A32" s="11">
        <v>2</v>
      </c>
      <c r="B32" s="12" t="s">
        <v>778</v>
      </c>
      <c r="C32" s="21">
        <v>42</v>
      </c>
      <c r="D32" s="21"/>
      <c r="E32" s="21">
        <f>C32*20</f>
        <v>840</v>
      </c>
      <c r="F32" s="21">
        <f>C32*20</f>
        <v>840</v>
      </c>
      <c r="G32" s="21">
        <f>E32</f>
        <v>840</v>
      </c>
      <c r="H32" s="21">
        <f>G32</f>
        <v>840</v>
      </c>
    </row>
    <row r="33" spans="1:8" ht="37.5" x14ac:dyDescent="0.25">
      <c r="A33" s="11">
        <v>3</v>
      </c>
      <c r="B33" s="12" t="s">
        <v>103</v>
      </c>
      <c r="C33" s="21"/>
      <c r="D33" s="21"/>
      <c r="E33" s="21">
        <v>84</v>
      </c>
      <c r="F33" s="21">
        <v>84</v>
      </c>
      <c r="G33" s="21">
        <f>E33</f>
        <v>84</v>
      </c>
      <c r="H33" s="21">
        <f>G33</f>
        <v>84</v>
      </c>
    </row>
    <row r="34" spans="1:8" s="50" customFormat="1" x14ac:dyDescent="0.25">
      <c r="A34" s="62" t="s">
        <v>52</v>
      </c>
      <c r="B34" s="63" t="s">
        <v>98</v>
      </c>
      <c r="C34" s="64"/>
      <c r="D34" s="64"/>
      <c r="E34" s="64">
        <f>SUM(E35:E44)</f>
        <v>1389</v>
      </c>
      <c r="F34" s="64">
        <f>SUM(F35:F44)</f>
        <v>2073</v>
      </c>
      <c r="G34" s="64">
        <f>SUM(G35:G44)</f>
        <v>1723</v>
      </c>
      <c r="H34" s="64">
        <f>SUM(H35:H44)</f>
        <v>1723</v>
      </c>
    </row>
    <row r="35" spans="1:8" s="49" customFormat="1" x14ac:dyDescent="0.25">
      <c r="A35" s="58" t="s">
        <v>99</v>
      </c>
      <c r="B35" s="59" t="s">
        <v>482</v>
      </c>
      <c r="C35" s="60"/>
      <c r="D35" s="60"/>
      <c r="E35" s="60">
        <v>15</v>
      </c>
      <c r="F35" s="60">
        <f>E35</f>
        <v>15</v>
      </c>
      <c r="G35" s="60">
        <f>E35</f>
        <v>15</v>
      </c>
      <c r="H35" s="60">
        <f t="shared" ref="H35:H41" si="0">G35</f>
        <v>15</v>
      </c>
    </row>
    <row r="36" spans="1:8" s="49" customFormat="1" x14ac:dyDescent="0.25">
      <c r="A36" s="58" t="s">
        <v>99</v>
      </c>
      <c r="B36" s="59" t="s">
        <v>1188</v>
      </c>
      <c r="C36" s="60"/>
      <c r="D36" s="60"/>
      <c r="E36" s="60">
        <v>11</v>
      </c>
      <c r="F36" s="60">
        <f>E36+10</f>
        <v>21</v>
      </c>
      <c r="G36" s="60">
        <f>E36</f>
        <v>11</v>
      </c>
      <c r="H36" s="60">
        <f t="shared" si="0"/>
        <v>11</v>
      </c>
    </row>
    <row r="37" spans="1:8" s="49" customFormat="1" ht="21" customHeight="1" x14ac:dyDescent="0.3">
      <c r="A37" s="58" t="s">
        <v>99</v>
      </c>
      <c r="B37" s="65" t="s">
        <v>183</v>
      </c>
      <c r="C37" s="60"/>
      <c r="D37" s="60"/>
      <c r="E37" s="60">
        <v>323</v>
      </c>
      <c r="F37" s="60">
        <v>128</v>
      </c>
      <c r="G37" s="60">
        <f>E37</f>
        <v>323</v>
      </c>
      <c r="H37" s="60">
        <f t="shared" si="0"/>
        <v>323</v>
      </c>
    </row>
    <row r="38" spans="1:8" s="49" customFormat="1" ht="39" customHeight="1" x14ac:dyDescent="0.3">
      <c r="A38" s="169" t="s">
        <v>510</v>
      </c>
      <c r="B38" s="72" t="s">
        <v>1431</v>
      </c>
      <c r="C38" s="60"/>
      <c r="D38" s="60"/>
      <c r="E38" s="60">
        <v>70</v>
      </c>
      <c r="F38" s="60">
        <v>154</v>
      </c>
      <c r="G38" s="60">
        <f>F38</f>
        <v>154</v>
      </c>
      <c r="H38" s="60">
        <f t="shared" si="0"/>
        <v>154</v>
      </c>
    </row>
    <row r="39" spans="1:8" s="49" customFormat="1" x14ac:dyDescent="0.25">
      <c r="A39" s="58" t="s">
        <v>99</v>
      </c>
      <c r="B39" s="59" t="s">
        <v>731</v>
      </c>
      <c r="C39" s="60"/>
      <c r="D39" s="60"/>
      <c r="E39" s="60">
        <v>20</v>
      </c>
      <c r="F39" s="60">
        <f>E39</f>
        <v>20</v>
      </c>
      <c r="G39" s="60">
        <f>E39</f>
        <v>20</v>
      </c>
      <c r="H39" s="60">
        <f t="shared" si="0"/>
        <v>20</v>
      </c>
    </row>
    <row r="40" spans="1:8" s="49" customFormat="1" ht="75" x14ac:dyDescent="0.25">
      <c r="A40" s="58" t="s">
        <v>99</v>
      </c>
      <c r="B40" s="59" t="s">
        <v>732</v>
      </c>
      <c r="C40" s="60"/>
      <c r="D40" s="60"/>
      <c r="E40" s="60">
        <v>150</v>
      </c>
      <c r="F40" s="60">
        <v>200</v>
      </c>
      <c r="G40" s="60">
        <f>F40</f>
        <v>200</v>
      </c>
      <c r="H40" s="60">
        <f t="shared" si="0"/>
        <v>200</v>
      </c>
    </row>
    <row r="41" spans="1:8" s="49" customFormat="1" x14ac:dyDescent="0.3">
      <c r="A41" s="58" t="s">
        <v>99</v>
      </c>
      <c r="B41" s="72" t="s">
        <v>1433</v>
      </c>
      <c r="C41" s="60"/>
      <c r="D41" s="60"/>
      <c r="E41" s="60">
        <v>600</v>
      </c>
      <c r="F41" s="60">
        <v>1000</v>
      </c>
      <c r="G41" s="60">
        <f>F41</f>
        <v>1000</v>
      </c>
      <c r="H41" s="60">
        <f t="shared" si="0"/>
        <v>1000</v>
      </c>
    </row>
    <row r="42" spans="1:8" s="49" customFormat="1" x14ac:dyDescent="0.3">
      <c r="A42" s="58" t="s">
        <v>99</v>
      </c>
      <c r="B42" s="72" t="s">
        <v>114</v>
      </c>
      <c r="C42" s="60"/>
      <c r="D42" s="60"/>
      <c r="E42" s="60">
        <v>50</v>
      </c>
      <c r="F42" s="60">
        <v>30</v>
      </c>
      <c r="G42" s="60"/>
      <c r="H42" s="60"/>
    </row>
    <row r="43" spans="1:8" s="49" customFormat="1" ht="37.5" x14ac:dyDescent="0.25">
      <c r="A43" s="58" t="s">
        <v>99</v>
      </c>
      <c r="B43" s="59" t="s">
        <v>1432</v>
      </c>
      <c r="C43" s="60"/>
      <c r="D43" s="60"/>
      <c r="E43" s="60">
        <v>150</v>
      </c>
      <c r="F43" s="60">
        <f>10+20+75</f>
        <v>105</v>
      </c>
      <c r="G43" s="60"/>
      <c r="H43" s="60"/>
    </row>
    <row r="44" spans="1:8" s="49" customFormat="1" x14ac:dyDescent="0.25">
      <c r="A44" s="58" t="s">
        <v>99</v>
      </c>
      <c r="B44" s="59" t="s">
        <v>520</v>
      </c>
      <c r="C44" s="60"/>
      <c r="D44" s="60"/>
      <c r="E44" s="60"/>
      <c r="F44" s="60">
        <v>400</v>
      </c>
      <c r="G44" s="60"/>
      <c r="H44" s="60"/>
    </row>
    <row r="45" spans="1:8" s="49" customFormat="1" x14ac:dyDescent="0.25">
      <c r="A45" s="67"/>
      <c r="B45" s="68"/>
      <c r="C45" s="69"/>
      <c r="D45" s="69"/>
      <c r="E45" s="69"/>
      <c r="F45" s="69"/>
      <c r="G45" s="69"/>
      <c r="H45" s="69"/>
    </row>
    <row r="46" spans="1:8" s="49" customFormat="1" ht="40.5" customHeight="1" x14ac:dyDescent="0.25">
      <c r="A46" s="70"/>
      <c r="B46" s="575" t="s">
        <v>1541</v>
      </c>
      <c r="C46" s="575"/>
      <c r="D46" s="575"/>
      <c r="E46" s="575"/>
      <c r="F46" s="575"/>
      <c r="G46" s="575"/>
      <c r="H46" s="575"/>
    </row>
    <row r="47" spans="1:8" x14ac:dyDescent="0.25">
      <c r="A47" s="2"/>
      <c r="B47" s="7" t="s">
        <v>1236</v>
      </c>
    </row>
    <row r="48" spans="1:8" x14ac:dyDescent="0.25">
      <c r="A48" s="2"/>
    </row>
    <row r="49" spans="1:8" x14ac:dyDescent="0.25">
      <c r="A49" s="550" t="s">
        <v>36</v>
      </c>
      <c r="B49" s="550"/>
      <c r="D49" s="550" t="s">
        <v>37</v>
      </c>
      <c r="E49" s="550"/>
      <c r="F49" s="550"/>
      <c r="G49" s="550"/>
      <c r="H49" s="550"/>
    </row>
  </sheetData>
  <mergeCells count="18">
    <mergeCell ref="B46:H46"/>
    <mergeCell ref="A49:B49"/>
    <mergeCell ref="D49:H49"/>
    <mergeCell ref="C22:H22"/>
    <mergeCell ref="C23:H23"/>
    <mergeCell ref="B24:H24"/>
    <mergeCell ref="C21:H21"/>
    <mergeCell ref="A1:H1"/>
    <mergeCell ref="B3:H3"/>
    <mergeCell ref="C6:H6"/>
    <mergeCell ref="C7:H7"/>
    <mergeCell ref="C8:H8"/>
    <mergeCell ref="C9:H9"/>
    <mergeCell ref="C10:H10"/>
    <mergeCell ref="C15:H15"/>
    <mergeCell ref="C17:H17"/>
    <mergeCell ref="C19:H19"/>
    <mergeCell ref="C20:H20"/>
  </mergeCells>
  <printOptions horizontalCentered="1"/>
  <pageMargins left="0.23622047244094499" right="0.27559055118110198" top="0.74803149606299202" bottom="0.59055118110236204" header="0.31496062992126" footer="0.31496062992126"/>
  <pageSetup scale="91"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H60"/>
  <sheetViews>
    <sheetView topLeftCell="A36" zoomScaleNormal="100" workbookViewId="0">
      <selection activeCell="F42" sqref="F42"/>
    </sheetView>
  </sheetViews>
  <sheetFormatPr defaultColWidth="9.140625" defaultRowHeight="18.75" x14ac:dyDescent="0.25"/>
  <cols>
    <col min="1" max="1" width="4.85546875" style="7" customWidth="1"/>
    <col min="2" max="2" width="43.28515625" style="7" customWidth="1"/>
    <col min="3" max="4" width="7.85546875" style="7" customWidth="1"/>
    <col min="5" max="8" width="11.7109375" style="7" customWidth="1"/>
    <col min="9" max="16384" width="9.140625" style="7"/>
  </cols>
  <sheetData>
    <row r="1" spans="1:8" ht="41.25" customHeight="1" x14ac:dyDescent="0.25">
      <c r="A1" s="549" t="s">
        <v>1074</v>
      </c>
      <c r="B1" s="555"/>
      <c r="C1" s="555"/>
      <c r="D1" s="555"/>
      <c r="E1" s="555"/>
      <c r="F1" s="555"/>
      <c r="G1" s="555"/>
      <c r="H1" s="555"/>
    </row>
    <row r="2" spans="1:8" x14ac:dyDescent="0.25">
      <c r="A2" s="80"/>
      <c r="B2" s="80"/>
      <c r="C2" s="80"/>
      <c r="D2" s="1"/>
      <c r="E2" s="1"/>
      <c r="F2" s="1"/>
      <c r="G2" s="1"/>
      <c r="H2" s="1"/>
    </row>
    <row r="3" spans="1:8" ht="40.5" customHeight="1" x14ac:dyDescent="0.25">
      <c r="B3" s="565" t="s">
        <v>1434</v>
      </c>
      <c r="C3" s="565"/>
      <c r="D3" s="565"/>
      <c r="E3" s="565"/>
      <c r="F3" s="565"/>
      <c r="G3" s="565"/>
      <c r="H3" s="565"/>
    </row>
    <row r="4" spans="1:8" x14ac:dyDescent="0.25">
      <c r="B4" s="7" t="s">
        <v>39</v>
      </c>
      <c r="D4" s="8"/>
      <c r="E4" s="8"/>
      <c r="F4" s="8"/>
      <c r="G4" s="8"/>
      <c r="H4" s="8"/>
    </row>
    <row r="5" spans="1:8" s="80" customFormat="1" x14ac:dyDescent="0.25">
      <c r="B5" s="3" t="s">
        <v>18</v>
      </c>
      <c r="F5" s="146"/>
    </row>
    <row r="6" spans="1:8" x14ac:dyDescent="0.25">
      <c r="B6" s="2" t="s">
        <v>23</v>
      </c>
      <c r="C6" s="558" t="s">
        <v>49</v>
      </c>
      <c r="D6" s="558"/>
      <c r="E6" s="558"/>
      <c r="F6" s="558"/>
      <c r="G6" s="558"/>
      <c r="H6" s="558"/>
    </row>
    <row r="7" spans="1:8" x14ac:dyDescent="0.25">
      <c r="A7" s="2"/>
      <c r="B7" s="2" t="s">
        <v>19</v>
      </c>
      <c r="C7" s="558" t="s">
        <v>50</v>
      </c>
      <c r="D7" s="558"/>
      <c r="E7" s="558"/>
      <c r="F7" s="558"/>
      <c r="G7" s="558"/>
      <c r="H7" s="558"/>
    </row>
    <row r="8" spans="1:8" hidden="1" x14ac:dyDescent="0.25">
      <c r="A8" s="2"/>
      <c r="B8" s="2" t="s">
        <v>90</v>
      </c>
      <c r="C8" s="558" t="s">
        <v>60</v>
      </c>
      <c r="D8" s="558"/>
      <c r="E8" s="558"/>
      <c r="F8" s="558"/>
      <c r="G8" s="558"/>
      <c r="H8" s="558"/>
    </row>
    <row r="9" spans="1:8" x14ac:dyDescent="0.25">
      <c r="A9" s="2"/>
      <c r="B9" s="2" t="s">
        <v>59</v>
      </c>
      <c r="C9" s="558" t="s">
        <v>60</v>
      </c>
      <c r="D9" s="558"/>
      <c r="E9" s="558"/>
      <c r="F9" s="558"/>
      <c r="G9" s="558"/>
      <c r="H9" s="558"/>
    </row>
    <row r="10" spans="1:8" hidden="1" x14ac:dyDescent="0.25">
      <c r="A10" s="2"/>
      <c r="B10" s="2" t="s">
        <v>20</v>
      </c>
      <c r="C10" s="558" t="s">
        <v>86</v>
      </c>
      <c r="D10" s="558"/>
      <c r="E10" s="558"/>
      <c r="F10" s="558"/>
      <c r="G10" s="558"/>
      <c r="H10" s="558"/>
    </row>
    <row r="11" spans="1:8" hidden="1" x14ac:dyDescent="0.25">
      <c r="A11" s="2"/>
      <c r="B11" s="2" t="s">
        <v>21</v>
      </c>
      <c r="C11" s="81" t="s">
        <v>87</v>
      </c>
      <c r="D11" s="81"/>
      <c r="E11" s="81"/>
      <c r="F11" s="328"/>
      <c r="G11" s="81"/>
      <c r="H11" s="81"/>
    </row>
    <row r="12" spans="1:8" x14ac:dyDescent="0.25">
      <c r="A12" s="2"/>
      <c r="B12" s="2" t="s">
        <v>89</v>
      </c>
      <c r="C12" s="81" t="s">
        <v>88</v>
      </c>
      <c r="D12" s="81"/>
      <c r="E12" s="81"/>
      <c r="F12" s="328"/>
      <c r="G12" s="81"/>
      <c r="H12" s="81"/>
    </row>
    <row r="13" spans="1:8" hidden="1" x14ac:dyDescent="0.25">
      <c r="A13" s="2"/>
      <c r="B13" s="83" t="s">
        <v>94</v>
      </c>
      <c r="C13" s="81" t="s">
        <v>95</v>
      </c>
      <c r="D13" s="81"/>
      <c r="E13" s="81"/>
      <c r="F13" s="328"/>
      <c r="G13" s="81"/>
      <c r="H13" s="81"/>
    </row>
    <row r="14" spans="1:8" x14ac:dyDescent="0.25">
      <c r="A14" s="2"/>
      <c r="B14" s="2"/>
      <c r="C14" s="81"/>
      <c r="D14" s="81"/>
      <c r="E14" s="81"/>
      <c r="F14" s="328"/>
      <c r="G14" s="81"/>
      <c r="H14" s="81"/>
    </row>
    <row r="15" spans="1:8" hidden="1" x14ac:dyDescent="0.25">
      <c r="A15" s="2"/>
      <c r="B15" s="2" t="s">
        <v>21</v>
      </c>
      <c r="C15" s="558"/>
      <c r="D15" s="558"/>
      <c r="E15" s="558"/>
      <c r="F15" s="558"/>
      <c r="G15" s="558"/>
      <c r="H15" s="558"/>
    </row>
    <row r="16" spans="1:8" s="80" customFormat="1" x14ac:dyDescent="0.25">
      <c r="A16" s="3"/>
      <c r="B16" s="3" t="s">
        <v>218</v>
      </c>
      <c r="C16" s="3"/>
      <c r="D16" s="3"/>
      <c r="E16" s="3"/>
      <c r="F16" s="3"/>
      <c r="G16" s="3"/>
      <c r="H16" s="3"/>
    </row>
    <row r="17" spans="1:8" x14ac:dyDescent="0.25">
      <c r="A17" s="2"/>
      <c r="B17" s="2" t="s">
        <v>226</v>
      </c>
      <c r="C17" s="558" t="s">
        <v>131</v>
      </c>
      <c r="D17" s="558"/>
      <c r="E17" s="558"/>
      <c r="F17" s="558"/>
      <c r="G17" s="558"/>
      <c r="H17" s="558"/>
    </row>
    <row r="18" spans="1:8" hidden="1" x14ac:dyDescent="0.25">
      <c r="A18" s="2"/>
      <c r="B18" s="2" t="s">
        <v>608</v>
      </c>
      <c r="C18" s="558" t="s">
        <v>80</v>
      </c>
      <c r="D18" s="558"/>
      <c r="E18" s="558"/>
      <c r="F18" s="558"/>
      <c r="G18" s="558"/>
      <c r="H18" s="558"/>
    </row>
    <row r="19" spans="1:8" x14ac:dyDescent="0.25">
      <c r="A19" s="2"/>
      <c r="B19" s="2" t="s">
        <v>606</v>
      </c>
      <c r="C19" s="558" t="s">
        <v>108</v>
      </c>
      <c r="D19" s="558"/>
      <c r="E19" s="558"/>
      <c r="F19" s="558"/>
      <c r="G19" s="558"/>
      <c r="H19" s="558"/>
    </row>
    <row r="20" spans="1:8" hidden="1" x14ac:dyDescent="0.25">
      <c r="A20" s="2"/>
      <c r="B20" s="2" t="s">
        <v>20</v>
      </c>
      <c r="C20" s="558"/>
      <c r="D20" s="558"/>
      <c r="E20" s="558"/>
      <c r="F20" s="558"/>
      <c r="G20" s="558"/>
      <c r="H20" s="558"/>
    </row>
    <row r="21" spans="1:8" hidden="1" x14ac:dyDescent="0.25">
      <c r="A21" s="2"/>
      <c r="B21" s="2" t="s">
        <v>21</v>
      </c>
      <c r="C21" s="558"/>
      <c r="D21" s="558"/>
      <c r="E21" s="558"/>
      <c r="F21" s="558"/>
      <c r="G21" s="558"/>
      <c r="H21" s="558"/>
    </row>
    <row r="22" spans="1:8" hidden="1" x14ac:dyDescent="0.25">
      <c r="A22" s="2"/>
      <c r="B22" s="2" t="s">
        <v>21</v>
      </c>
      <c r="C22" s="558"/>
      <c r="D22" s="558"/>
      <c r="E22" s="558"/>
      <c r="F22" s="558"/>
      <c r="G22" s="558"/>
      <c r="H22" s="558"/>
    </row>
    <row r="23" spans="1:8" hidden="1" x14ac:dyDescent="0.25">
      <c r="A23" s="2"/>
      <c r="B23" s="2" t="s">
        <v>21</v>
      </c>
      <c r="C23" s="558"/>
      <c r="D23" s="558"/>
      <c r="E23" s="558"/>
      <c r="F23" s="558"/>
      <c r="G23" s="558"/>
      <c r="H23" s="558"/>
    </row>
    <row r="24" spans="1:8" ht="39.75" customHeight="1" x14ac:dyDescent="0.25">
      <c r="A24" s="2"/>
      <c r="B24" s="556" t="s">
        <v>1073</v>
      </c>
      <c r="C24" s="556"/>
      <c r="D24" s="556"/>
      <c r="E24" s="556"/>
      <c r="F24" s="556"/>
      <c r="G24" s="556"/>
      <c r="H24" s="556"/>
    </row>
    <row r="25" spans="1:8" x14ac:dyDescent="0.25">
      <c r="A25" s="4"/>
      <c r="H25" s="4" t="s">
        <v>61</v>
      </c>
    </row>
    <row r="26" spans="1:8" s="325" customFormat="1" ht="75" x14ac:dyDescent="0.25">
      <c r="A26" s="326" t="s">
        <v>62</v>
      </c>
      <c r="B26" s="326" t="s">
        <v>2</v>
      </c>
      <c r="C26" s="326" t="s">
        <v>17</v>
      </c>
      <c r="D26" s="331" t="s">
        <v>464</v>
      </c>
      <c r="E26" s="327" t="s">
        <v>1099</v>
      </c>
      <c r="F26" s="327" t="s">
        <v>9</v>
      </c>
      <c r="G26" s="327" t="s">
        <v>461</v>
      </c>
      <c r="H26" s="327" t="s">
        <v>1046</v>
      </c>
    </row>
    <row r="27" spans="1:8" s="80" customFormat="1" x14ac:dyDescent="0.25">
      <c r="A27" s="82"/>
      <c r="B27" s="82" t="s">
        <v>97</v>
      </c>
      <c r="C27" s="32"/>
      <c r="D27" s="32"/>
      <c r="E27" s="32">
        <f>E28+E35</f>
        <v>2772</v>
      </c>
      <c r="F27" s="32">
        <f t="shared" ref="F27:H27" si="0">F28+F35</f>
        <v>2739</v>
      </c>
      <c r="G27" s="32">
        <f t="shared" si="0"/>
        <v>2758</v>
      </c>
      <c r="H27" s="32">
        <f t="shared" si="0"/>
        <v>2809</v>
      </c>
    </row>
    <row r="28" spans="1:8" s="80" customFormat="1" ht="21" customHeight="1" x14ac:dyDescent="0.25">
      <c r="A28" s="9" t="s">
        <v>51</v>
      </c>
      <c r="B28" s="10" t="s">
        <v>1081</v>
      </c>
      <c r="C28" s="20"/>
      <c r="D28" s="20"/>
      <c r="E28" s="20">
        <f>+E29+E33-E34</f>
        <v>1980</v>
      </c>
      <c r="F28" s="20">
        <f>+F29+F33-F34</f>
        <v>1757</v>
      </c>
      <c r="G28" s="20">
        <f>+G29+G33-G34</f>
        <v>2031</v>
      </c>
      <c r="H28" s="20">
        <f>+H29+H33-H34</f>
        <v>2082</v>
      </c>
    </row>
    <row r="29" spans="1:8" ht="56.25" x14ac:dyDescent="0.25">
      <c r="A29" s="11">
        <v>1</v>
      </c>
      <c r="B29" s="12" t="s">
        <v>1438</v>
      </c>
      <c r="C29" s="21"/>
      <c r="D29" s="21"/>
      <c r="E29" s="21">
        <f>SUM(E30:E32)</f>
        <v>1643</v>
      </c>
      <c r="F29" s="21">
        <f>SUM(F30:F32)</f>
        <v>1420</v>
      </c>
      <c r="G29" s="21">
        <f>SUM(G30:G32)</f>
        <v>1694</v>
      </c>
      <c r="H29" s="21">
        <f>SUM(H30:H32)</f>
        <v>1745</v>
      </c>
    </row>
    <row r="30" spans="1:8" ht="56.25" x14ac:dyDescent="0.25">
      <c r="A30" s="11"/>
      <c r="B30" s="12" t="s">
        <v>1435</v>
      </c>
      <c r="C30" s="21">
        <v>17</v>
      </c>
      <c r="D30" s="36">
        <v>13</v>
      </c>
      <c r="E30" s="21">
        <v>1523</v>
      </c>
      <c r="F30" s="21">
        <f>5+1076</f>
        <v>1081</v>
      </c>
      <c r="G30" s="21">
        <f>ROUND(E30+6*7.3,0)</f>
        <v>1567</v>
      </c>
      <c r="H30" s="21">
        <f>ROUND(G30+6*7.3,0)</f>
        <v>1611</v>
      </c>
    </row>
    <row r="31" spans="1:8" ht="37.5" x14ac:dyDescent="0.25">
      <c r="A31" s="11"/>
      <c r="B31" s="12" t="s">
        <v>1436</v>
      </c>
      <c r="C31" s="21"/>
      <c r="D31" s="36"/>
      <c r="E31" s="21"/>
      <c r="F31" s="21">
        <v>207</v>
      </c>
      <c r="G31" s="21"/>
      <c r="H31" s="21"/>
    </row>
    <row r="32" spans="1:8" ht="37.5" x14ac:dyDescent="0.25">
      <c r="A32" s="11"/>
      <c r="B32" s="12" t="s">
        <v>1437</v>
      </c>
      <c r="C32" s="21">
        <v>3</v>
      </c>
      <c r="D32" s="21">
        <v>1</v>
      </c>
      <c r="E32" s="21">
        <v>120</v>
      </c>
      <c r="F32" s="21">
        <f>77+55</f>
        <v>132</v>
      </c>
      <c r="G32" s="21">
        <f>ROUND(E32+7.3,0)</f>
        <v>127</v>
      </c>
      <c r="H32" s="21">
        <f>ROUND(G32+7.3,0)</f>
        <v>134</v>
      </c>
    </row>
    <row r="33" spans="1:8" ht="37.5" x14ac:dyDescent="0.25">
      <c r="A33" s="11">
        <v>2</v>
      </c>
      <c r="B33" s="12" t="s">
        <v>219</v>
      </c>
      <c r="C33" s="21">
        <v>17</v>
      </c>
      <c r="D33" s="21"/>
      <c r="E33" s="21">
        <f>C33*22</f>
        <v>374</v>
      </c>
      <c r="F33" s="21">
        <f>C33*22</f>
        <v>374</v>
      </c>
      <c r="G33" s="21">
        <f>E33</f>
        <v>374</v>
      </c>
      <c r="H33" s="21">
        <f>G33</f>
        <v>374</v>
      </c>
    </row>
    <row r="34" spans="1:8" ht="37.5" x14ac:dyDescent="0.25">
      <c r="A34" s="11">
        <v>3</v>
      </c>
      <c r="B34" s="12" t="s">
        <v>103</v>
      </c>
      <c r="C34" s="21"/>
      <c r="D34" s="21"/>
      <c r="E34" s="21">
        <v>37</v>
      </c>
      <c r="F34" s="21">
        <v>37</v>
      </c>
      <c r="G34" s="21">
        <f>E34</f>
        <v>37</v>
      </c>
      <c r="H34" s="21">
        <f>G34</f>
        <v>37</v>
      </c>
    </row>
    <row r="35" spans="1:8" s="80" customFormat="1" x14ac:dyDescent="0.25">
      <c r="A35" s="13" t="s">
        <v>52</v>
      </c>
      <c r="B35" s="14" t="s">
        <v>98</v>
      </c>
      <c r="C35" s="22"/>
      <c r="D35" s="22"/>
      <c r="E35" s="22">
        <f>E36+E44+E46</f>
        <v>792</v>
      </c>
      <c r="F35" s="22">
        <f t="shared" ref="F35:H35" si="1">F36+F44+F46</f>
        <v>982</v>
      </c>
      <c r="G35" s="22">
        <f t="shared" si="1"/>
        <v>727</v>
      </c>
      <c r="H35" s="22">
        <f t="shared" si="1"/>
        <v>727</v>
      </c>
    </row>
    <row r="36" spans="1:8" s="80" customFormat="1" x14ac:dyDescent="0.25">
      <c r="A36" s="13">
        <v>1</v>
      </c>
      <c r="B36" s="14" t="s">
        <v>81</v>
      </c>
      <c r="C36" s="22"/>
      <c r="D36" s="22"/>
      <c r="E36" s="22">
        <f>SUM(E37:E43)</f>
        <v>252</v>
      </c>
      <c r="F36" s="22">
        <f t="shared" ref="F36:H36" si="2">SUM(F37:F43)</f>
        <v>442</v>
      </c>
      <c r="G36" s="22">
        <f t="shared" si="2"/>
        <v>187</v>
      </c>
      <c r="H36" s="22">
        <f t="shared" si="2"/>
        <v>187</v>
      </c>
    </row>
    <row r="37" spans="1:8" s="49" customFormat="1" x14ac:dyDescent="0.25">
      <c r="A37" s="58" t="s">
        <v>99</v>
      </c>
      <c r="B37" s="59" t="s">
        <v>1188</v>
      </c>
      <c r="C37" s="60"/>
      <c r="D37" s="60"/>
      <c r="E37" s="60">
        <v>22</v>
      </c>
      <c r="F37" s="60">
        <f>E37</f>
        <v>22</v>
      </c>
      <c r="G37" s="60">
        <f>E37</f>
        <v>22</v>
      </c>
      <c r="H37" s="60">
        <f>G37</f>
        <v>22</v>
      </c>
    </row>
    <row r="38" spans="1:8" s="49" customFormat="1" x14ac:dyDescent="0.3">
      <c r="A38" s="58" t="s">
        <v>99</v>
      </c>
      <c r="B38" s="33" t="s">
        <v>227</v>
      </c>
      <c r="C38" s="60"/>
      <c r="D38" s="60"/>
      <c r="E38" s="60">
        <v>65</v>
      </c>
      <c r="F38" s="60">
        <f>E38</f>
        <v>65</v>
      </c>
      <c r="G38" s="60">
        <f>E38</f>
        <v>65</v>
      </c>
      <c r="H38" s="60">
        <f>G38</f>
        <v>65</v>
      </c>
    </row>
    <row r="39" spans="1:8" s="49" customFormat="1" x14ac:dyDescent="0.25">
      <c r="A39" s="58" t="s">
        <v>99</v>
      </c>
      <c r="B39" s="59" t="s">
        <v>225</v>
      </c>
      <c r="C39" s="60"/>
      <c r="D39" s="60"/>
      <c r="E39" s="60">
        <v>50</v>
      </c>
      <c r="F39" s="60">
        <f>E39</f>
        <v>50</v>
      </c>
      <c r="G39" s="60">
        <f>E39</f>
        <v>50</v>
      </c>
      <c r="H39" s="60">
        <f>G39</f>
        <v>50</v>
      </c>
    </row>
    <row r="40" spans="1:8" s="49" customFormat="1" x14ac:dyDescent="0.25">
      <c r="A40" s="58" t="s">
        <v>99</v>
      </c>
      <c r="B40" s="59" t="s">
        <v>1439</v>
      </c>
      <c r="C40" s="60"/>
      <c r="D40" s="60"/>
      <c r="E40" s="60">
        <f>50+40</f>
        <v>90</v>
      </c>
      <c r="F40" s="60">
        <v>50</v>
      </c>
      <c r="G40" s="60">
        <f>F40</f>
        <v>50</v>
      </c>
      <c r="H40" s="60">
        <f>G40</f>
        <v>50</v>
      </c>
    </row>
    <row r="41" spans="1:8" s="49" customFormat="1" x14ac:dyDescent="0.3">
      <c r="A41" s="58" t="s">
        <v>99</v>
      </c>
      <c r="B41" s="37" t="s">
        <v>604</v>
      </c>
      <c r="C41" s="60"/>
      <c r="D41" s="60"/>
      <c r="E41" s="60">
        <v>25</v>
      </c>
      <c r="F41" s="60">
        <v>30</v>
      </c>
      <c r="G41" s="60"/>
      <c r="H41" s="60"/>
    </row>
    <row r="42" spans="1:8" s="49" customFormat="1" x14ac:dyDescent="0.3">
      <c r="A42" s="58" t="s">
        <v>99</v>
      </c>
      <c r="B42" s="37" t="s">
        <v>1440</v>
      </c>
      <c r="C42" s="60"/>
      <c r="D42" s="60"/>
      <c r="E42" s="60"/>
      <c r="F42" s="60">
        <v>175</v>
      </c>
      <c r="G42" s="60"/>
      <c r="H42" s="60"/>
    </row>
    <row r="43" spans="1:8" s="49" customFormat="1" x14ac:dyDescent="0.3">
      <c r="A43" s="58" t="s">
        <v>99</v>
      </c>
      <c r="B43" s="37" t="s">
        <v>114</v>
      </c>
      <c r="C43" s="60"/>
      <c r="D43" s="60"/>
      <c r="E43" s="60"/>
      <c r="F43" s="60">
        <v>50</v>
      </c>
      <c r="G43" s="60"/>
      <c r="H43" s="60"/>
    </row>
    <row r="44" spans="1:8" s="50" customFormat="1" x14ac:dyDescent="0.25">
      <c r="A44" s="62">
        <v>2</v>
      </c>
      <c r="B44" s="63" t="s">
        <v>140</v>
      </c>
      <c r="C44" s="64"/>
      <c r="D44" s="64"/>
      <c r="E44" s="64">
        <f>E45</f>
        <v>40</v>
      </c>
      <c r="F44" s="64">
        <f>F45</f>
        <v>40</v>
      </c>
      <c r="G44" s="64">
        <f>G45</f>
        <v>40</v>
      </c>
      <c r="H44" s="64">
        <f>H45</f>
        <v>40</v>
      </c>
    </row>
    <row r="45" spans="1:8" s="49" customFormat="1" x14ac:dyDescent="0.25">
      <c r="A45" s="58" t="s">
        <v>99</v>
      </c>
      <c r="B45" s="59" t="s">
        <v>228</v>
      </c>
      <c r="C45" s="60"/>
      <c r="D45" s="60"/>
      <c r="E45" s="60">
        <v>40</v>
      </c>
      <c r="F45" s="60">
        <f>E45</f>
        <v>40</v>
      </c>
      <c r="G45" s="60">
        <f>E45</f>
        <v>40</v>
      </c>
      <c r="H45" s="60">
        <f>G45</f>
        <v>40</v>
      </c>
    </row>
    <row r="46" spans="1:8" s="50" customFormat="1" x14ac:dyDescent="0.25">
      <c r="A46" s="62">
        <v>3</v>
      </c>
      <c r="B46" s="63" t="s">
        <v>83</v>
      </c>
      <c r="C46" s="64"/>
      <c r="D46" s="64"/>
      <c r="E46" s="64">
        <f>SUM(E47:E49)</f>
        <v>500</v>
      </c>
      <c r="F46" s="64">
        <f>SUM(F47:F49)</f>
        <v>500</v>
      </c>
      <c r="G46" s="64">
        <f>SUM(G47:G49)</f>
        <v>500</v>
      </c>
      <c r="H46" s="64">
        <f>SUM(H47:H49)</f>
        <v>500</v>
      </c>
    </row>
    <row r="47" spans="1:8" s="49" customFormat="1" ht="112.5" x14ac:dyDescent="0.25">
      <c r="A47" s="58" t="s">
        <v>99</v>
      </c>
      <c r="B47" s="59" t="s">
        <v>607</v>
      </c>
      <c r="C47" s="60"/>
      <c r="D47" s="60"/>
      <c r="E47" s="60">
        <v>500</v>
      </c>
      <c r="F47" s="60">
        <f>E47</f>
        <v>500</v>
      </c>
      <c r="G47" s="60">
        <f>E47</f>
        <v>500</v>
      </c>
      <c r="H47" s="60">
        <f>G47</f>
        <v>500</v>
      </c>
    </row>
    <row r="48" spans="1:8" s="49" customFormat="1" hidden="1" x14ac:dyDescent="0.25">
      <c r="A48" s="58" t="s">
        <v>99</v>
      </c>
      <c r="B48" s="59"/>
      <c r="C48" s="60"/>
      <c r="D48" s="60"/>
      <c r="E48" s="60"/>
      <c r="F48" s="60"/>
      <c r="G48" s="60"/>
      <c r="H48" s="60"/>
    </row>
    <row r="49" spans="1:8" s="49" customFormat="1" hidden="1" x14ac:dyDescent="0.25">
      <c r="A49" s="58" t="s">
        <v>99</v>
      </c>
      <c r="B49" s="59"/>
      <c r="C49" s="60"/>
      <c r="D49" s="60"/>
      <c r="E49" s="60"/>
      <c r="F49" s="60"/>
      <c r="G49" s="60"/>
      <c r="H49" s="60"/>
    </row>
    <row r="50" spans="1:8" s="50" customFormat="1" hidden="1" x14ac:dyDescent="0.3">
      <c r="A50" s="62">
        <v>4</v>
      </c>
      <c r="B50" s="66"/>
      <c r="C50" s="64"/>
      <c r="D50" s="64"/>
      <c r="E50" s="64">
        <f>E51</f>
        <v>0</v>
      </c>
      <c r="F50" s="64"/>
      <c r="G50" s="64">
        <f>G51</f>
        <v>0</v>
      </c>
      <c r="H50" s="64">
        <f>H51</f>
        <v>0</v>
      </c>
    </row>
    <row r="51" spans="1:8" s="49" customFormat="1" hidden="1" x14ac:dyDescent="0.25">
      <c r="A51" s="58" t="s">
        <v>99</v>
      </c>
      <c r="B51" s="59"/>
      <c r="C51" s="60"/>
      <c r="D51" s="60"/>
      <c r="E51" s="60"/>
      <c r="F51" s="60"/>
      <c r="G51" s="60"/>
      <c r="H51" s="60"/>
    </row>
    <row r="52" spans="1:8" s="49" customFormat="1" hidden="1" x14ac:dyDescent="0.25">
      <c r="A52" s="58"/>
      <c r="B52" s="59"/>
      <c r="C52" s="60"/>
      <c r="D52" s="60"/>
      <c r="E52" s="60"/>
      <c r="F52" s="60"/>
      <c r="G52" s="60"/>
      <c r="H52" s="60"/>
    </row>
    <row r="53" spans="1:8" s="49" customFormat="1" hidden="1" x14ac:dyDescent="0.25">
      <c r="A53" s="58"/>
      <c r="B53" s="59"/>
      <c r="C53" s="60"/>
      <c r="D53" s="60"/>
      <c r="E53" s="60"/>
      <c r="F53" s="60"/>
      <c r="G53" s="60"/>
      <c r="H53" s="60"/>
    </row>
    <row r="54" spans="1:8" s="49" customFormat="1" hidden="1" x14ac:dyDescent="0.25">
      <c r="A54" s="58"/>
      <c r="B54" s="59"/>
      <c r="C54" s="60"/>
      <c r="D54" s="60"/>
      <c r="E54" s="60"/>
      <c r="F54" s="60"/>
      <c r="G54" s="60"/>
      <c r="H54" s="60"/>
    </row>
    <row r="55" spans="1:8" s="49" customFormat="1" hidden="1" x14ac:dyDescent="0.25">
      <c r="A55" s="58"/>
      <c r="B55" s="59"/>
      <c r="C55" s="60"/>
      <c r="D55" s="60"/>
      <c r="E55" s="60"/>
      <c r="F55" s="60"/>
      <c r="G55" s="60"/>
      <c r="H55" s="60"/>
    </row>
    <row r="56" spans="1:8" s="49" customFormat="1" x14ac:dyDescent="0.25">
      <c r="A56" s="67"/>
      <c r="B56" s="68"/>
      <c r="C56" s="69"/>
      <c r="D56" s="69"/>
      <c r="E56" s="69"/>
      <c r="F56" s="69"/>
      <c r="G56" s="69"/>
      <c r="H56" s="69"/>
    </row>
    <row r="57" spans="1:8" ht="40.5" customHeight="1" x14ac:dyDescent="0.25">
      <c r="A57" s="30"/>
      <c r="B57" s="567" t="s">
        <v>1441</v>
      </c>
      <c r="C57" s="567"/>
      <c r="D57" s="567"/>
      <c r="E57" s="567"/>
      <c r="F57" s="567"/>
      <c r="G57" s="567"/>
      <c r="H57" s="567"/>
    </row>
    <row r="58" spans="1:8" x14ac:dyDescent="0.25">
      <c r="A58" s="2"/>
      <c r="B58" s="7" t="s">
        <v>1442</v>
      </c>
    </row>
    <row r="59" spans="1:8" x14ac:dyDescent="0.25">
      <c r="A59" s="2"/>
    </row>
    <row r="60" spans="1:8" x14ac:dyDescent="0.25">
      <c r="A60" s="550" t="s">
        <v>36</v>
      </c>
      <c r="B60" s="550"/>
      <c r="D60" s="550" t="s">
        <v>37</v>
      </c>
      <c r="E60" s="550"/>
      <c r="F60" s="550"/>
      <c r="G60" s="550"/>
      <c r="H60" s="550"/>
    </row>
  </sheetData>
  <mergeCells count="19">
    <mergeCell ref="B57:H57"/>
    <mergeCell ref="A60:B60"/>
    <mergeCell ref="D60:H60"/>
    <mergeCell ref="C17:H17"/>
    <mergeCell ref="C22:H22"/>
    <mergeCell ref="C23:H23"/>
    <mergeCell ref="B24:H24"/>
    <mergeCell ref="C21:H21"/>
    <mergeCell ref="C10:H10"/>
    <mergeCell ref="C15:H15"/>
    <mergeCell ref="C18:H18"/>
    <mergeCell ref="C19:H19"/>
    <mergeCell ref="C20:H20"/>
    <mergeCell ref="C9:H9"/>
    <mergeCell ref="A1:H1"/>
    <mergeCell ref="B3:H3"/>
    <mergeCell ref="C6:H6"/>
    <mergeCell ref="C7:H7"/>
    <mergeCell ref="C8:H8"/>
  </mergeCells>
  <printOptions horizontalCentered="1"/>
  <pageMargins left="0.196850393700787" right="0.196850393700787" top="0.59055118110236204" bottom="0.59055118110236204" header="0.31496062992126" footer="0.31496062992126"/>
  <pageSetup paperSize="9" scale="89" orientation="portrait" r:id="rId1"/>
  <headerFooter>
    <oddFooter>&amp;C&amp;P/&amp;N</oddFooter>
  </headerFooter>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62"/>
  <sheetViews>
    <sheetView topLeftCell="A40" zoomScaleNormal="100" workbookViewId="0">
      <selection activeCell="F32" activeCellId="1" sqref="F40 F32"/>
    </sheetView>
  </sheetViews>
  <sheetFormatPr defaultRowHeight="18.75" x14ac:dyDescent="0.25"/>
  <cols>
    <col min="1" max="1" width="4.85546875" style="7" customWidth="1"/>
    <col min="2" max="2" width="43.85546875" style="7" customWidth="1"/>
    <col min="3" max="3" width="7.85546875" style="7" customWidth="1"/>
    <col min="4" max="4" width="7.85546875" style="7" hidden="1" customWidth="1"/>
    <col min="5" max="8" width="11.7109375" style="7" customWidth="1"/>
    <col min="9" max="16384" width="9.140625" style="7"/>
  </cols>
  <sheetData>
    <row r="1" spans="1:8" ht="41.25" customHeight="1" x14ac:dyDescent="0.25">
      <c r="A1" s="549" t="s">
        <v>1074</v>
      </c>
      <c r="B1" s="555"/>
      <c r="C1" s="555"/>
      <c r="D1" s="555"/>
      <c r="E1" s="555"/>
      <c r="F1" s="555"/>
      <c r="G1" s="555"/>
      <c r="H1" s="555"/>
    </row>
    <row r="2" spans="1:8" x14ac:dyDescent="0.25">
      <c r="A2" s="146"/>
      <c r="B2" s="146"/>
      <c r="C2" s="146"/>
      <c r="D2" s="1"/>
      <c r="E2" s="1"/>
      <c r="F2" s="1"/>
      <c r="G2" s="1"/>
      <c r="H2" s="1"/>
    </row>
    <row r="3" spans="1:8" ht="40.5" customHeight="1" x14ac:dyDescent="0.25">
      <c r="B3" s="556" t="s">
        <v>1461</v>
      </c>
      <c r="C3" s="556"/>
      <c r="D3" s="556"/>
      <c r="E3" s="556"/>
      <c r="F3" s="556"/>
      <c r="G3" s="556"/>
      <c r="H3" s="556"/>
    </row>
    <row r="4" spans="1:8" x14ac:dyDescent="0.25">
      <c r="B4" s="7" t="s">
        <v>39</v>
      </c>
      <c r="D4" s="8"/>
      <c r="E4" s="8"/>
      <c r="F4" s="8"/>
      <c r="G4" s="8"/>
      <c r="H4" s="8"/>
    </row>
    <row r="5" spans="1:8" s="146" customFormat="1" x14ac:dyDescent="0.25">
      <c r="B5" s="3" t="s">
        <v>18</v>
      </c>
    </row>
    <row r="6" spans="1:8" x14ac:dyDescent="0.25">
      <c r="B6" s="2" t="s">
        <v>23</v>
      </c>
      <c r="C6" s="558" t="s">
        <v>49</v>
      </c>
      <c r="D6" s="558"/>
      <c r="E6" s="558"/>
      <c r="F6" s="558"/>
      <c r="G6" s="558"/>
      <c r="H6" s="558"/>
    </row>
    <row r="7" spans="1:8" hidden="1" x14ac:dyDescent="0.25">
      <c r="A7" s="2"/>
      <c r="B7" s="2" t="s">
        <v>19</v>
      </c>
      <c r="C7" s="558" t="s">
        <v>50</v>
      </c>
      <c r="D7" s="558"/>
      <c r="E7" s="558"/>
      <c r="F7" s="558"/>
      <c r="G7" s="558"/>
      <c r="H7" s="558"/>
    </row>
    <row r="8" spans="1:8" hidden="1" x14ac:dyDescent="0.25">
      <c r="A8" s="2"/>
      <c r="B8" s="2" t="s">
        <v>90</v>
      </c>
      <c r="C8" s="558" t="s">
        <v>60</v>
      </c>
      <c r="D8" s="558"/>
      <c r="E8" s="558"/>
      <c r="F8" s="558"/>
      <c r="G8" s="558"/>
      <c r="H8" s="558"/>
    </row>
    <row r="9" spans="1:8" x14ac:dyDescent="0.25">
      <c r="A9" s="2"/>
      <c r="B9" s="2" t="s">
        <v>19</v>
      </c>
      <c r="C9" s="558" t="s">
        <v>50</v>
      </c>
      <c r="D9" s="558"/>
      <c r="E9" s="558"/>
      <c r="F9" s="558"/>
      <c r="G9" s="558"/>
      <c r="H9" s="558"/>
    </row>
    <row r="10" spans="1:8" x14ac:dyDescent="0.25">
      <c r="A10" s="2"/>
      <c r="B10" s="2" t="s">
        <v>733</v>
      </c>
      <c r="C10" s="558" t="s">
        <v>734</v>
      </c>
      <c r="D10" s="558"/>
      <c r="E10" s="558"/>
      <c r="F10" s="558"/>
      <c r="G10" s="558"/>
      <c r="H10" s="558"/>
    </row>
    <row r="11" spans="1:8" hidden="1" x14ac:dyDescent="0.25">
      <c r="A11" s="2"/>
      <c r="B11" s="2" t="s">
        <v>21</v>
      </c>
      <c r="C11" s="199" t="s">
        <v>87</v>
      </c>
      <c r="D11" s="199"/>
      <c r="E11" s="199"/>
      <c r="F11" s="328"/>
      <c r="G11" s="199"/>
      <c r="H11" s="199"/>
    </row>
    <row r="12" spans="1:8" x14ac:dyDescent="0.25">
      <c r="A12" s="2"/>
      <c r="B12" s="2" t="s">
        <v>306</v>
      </c>
      <c r="C12" s="199" t="s">
        <v>88</v>
      </c>
      <c r="D12" s="199"/>
      <c r="E12" s="199"/>
      <c r="F12" s="328"/>
      <c r="G12" s="199"/>
      <c r="H12" s="199"/>
    </row>
    <row r="13" spans="1:8" hidden="1" x14ac:dyDescent="0.25">
      <c r="A13" s="2"/>
      <c r="B13" s="2" t="s">
        <v>94</v>
      </c>
      <c r="C13" s="199" t="s">
        <v>95</v>
      </c>
      <c r="D13" s="199"/>
      <c r="E13" s="199"/>
      <c r="F13" s="328"/>
      <c r="G13" s="199"/>
      <c r="H13" s="199"/>
    </row>
    <row r="14" spans="1:8" x14ac:dyDescent="0.25">
      <c r="A14" s="2"/>
      <c r="B14" s="2"/>
      <c r="C14" s="199"/>
      <c r="D14" s="199"/>
      <c r="E14" s="199"/>
      <c r="F14" s="328"/>
      <c r="G14" s="199"/>
      <c r="H14" s="199"/>
    </row>
    <row r="15" spans="1:8" hidden="1" x14ac:dyDescent="0.25">
      <c r="A15" s="2"/>
      <c r="B15" s="2" t="s">
        <v>21</v>
      </c>
      <c r="C15" s="558"/>
      <c r="D15" s="558"/>
      <c r="E15" s="558"/>
      <c r="F15" s="558"/>
      <c r="G15" s="558"/>
      <c r="H15" s="558"/>
    </row>
    <row r="16" spans="1:8" s="146" customFormat="1" x14ac:dyDescent="0.25">
      <c r="A16" s="3"/>
      <c r="B16" s="3" t="s">
        <v>714</v>
      </c>
      <c r="C16" s="3"/>
      <c r="D16" s="3"/>
      <c r="E16" s="3"/>
      <c r="F16" s="3"/>
      <c r="G16" s="3"/>
      <c r="H16" s="3"/>
    </row>
    <row r="17" spans="1:8" x14ac:dyDescent="0.25">
      <c r="A17" s="2"/>
      <c r="B17" s="2" t="s">
        <v>715</v>
      </c>
      <c r="C17" s="558" t="s">
        <v>410</v>
      </c>
      <c r="D17" s="558"/>
      <c r="E17" s="558"/>
      <c r="F17" s="558"/>
      <c r="G17" s="558"/>
      <c r="H17" s="558"/>
    </row>
    <row r="18" spans="1:8" hidden="1" x14ac:dyDescent="0.25">
      <c r="A18" s="2"/>
      <c r="B18" s="2" t="s">
        <v>20</v>
      </c>
      <c r="C18" s="199"/>
      <c r="D18" s="199"/>
      <c r="E18" s="199"/>
      <c r="F18" s="328"/>
      <c r="G18" s="199"/>
      <c r="H18" s="199"/>
    </row>
    <row r="19" spans="1:8" hidden="1" x14ac:dyDescent="0.25">
      <c r="A19" s="2"/>
      <c r="B19" s="2" t="s">
        <v>20</v>
      </c>
      <c r="C19" s="558"/>
      <c r="D19" s="558"/>
      <c r="E19" s="558"/>
      <c r="F19" s="558"/>
      <c r="G19" s="558"/>
      <c r="H19" s="558"/>
    </row>
    <row r="20" spans="1:8" hidden="1" x14ac:dyDescent="0.25">
      <c r="A20" s="2"/>
      <c r="B20" s="2" t="s">
        <v>21</v>
      </c>
      <c r="C20" s="558"/>
      <c r="D20" s="558"/>
      <c r="E20" s="558"/>
      <c r="F20" s="558"/>
      <c r="G20" s="558"/>
      <c r="H20" s="558"/>
    </row>
    <row r="21" spans="1:8" hidden="1" x14ac:dyDescent="0.25">
      <c r="A21" s="2"/>
      <c r="B21" s="2" t="s">
        <v>21</v>
      </c>
      <c r="C21" s="558"/>
      <c r="D21" s="558"/>
      <c r="E21" s="558"/>
      <c r="F21" s="558"/>
      <c r="G21" s="558"/>
      <c r="H21" s="558"/>
    </row>
    <row r="22" spans="1:8" ht="18.75" customHeight="1" x14ac:dyDescent="0.25">
      <c r="A22" s="2"/>
      <c r="B22" s="2" t="s">
        <v>716</v>
      </c>
      <c r="C22" s="558" t="s">
        <v>334</v>
      </c>
      <c r="D22" s="558"/>
      <c r="E22" s="558"/>
      <c r="F22" s="558"/>
      <c r="G22" s="558"/>
      <c r="H22" s="558"/>
    </row>
    <row r="23" spans="1:8" x14ac:dyDescent="0.25">
      <c r="A23" s="2"/>
      <c r="B23" s="2"/>
      <c r="C23" s="558"/>
      <c r="D23" s="558"/>
      <c r="E23" s="558"/>
      <c r="F23" s="558"/>
      <c r="G23" s="558"/>
      <c r="H23" s="558"/>
    </row>
    <row r="24" spans="1:8" ht="39.75" customHeight="1" x14ac:dyDescent="0.25">
      <c r="A24" s="2"/>
      <c r="B24" s="556" t="s">
        <v>1073</v>
      </c>
      <c r="C24" s="556"/>
      <c r="D24" s="556"/>
      <c r="E24" s="556"/>
      <c r="F24" s="556"/>
      <c r="G24" s="556"/>
      <c r="H24" s="556"/>
    </row>
    <row r="25" spans="1:8" x14ac:dyDescent="0.25">
      <c r="A25" s="4"/>
      <c r="H25" s="4" t="s">
        <v>61</v>
      </c>
    </row>
    <row r="26" spans="1:8" s="325" customFormat="1" ht="75" x14ac:dyDescent="0.25">
      <c r="A26" s="326" t="s">
        <v>62</v>
      </c>
      <c r="B26" s="326" t="s">
        <v>2</v>
      </c>
      <c r="C26" s="326" t="s">
        <v>1446</v>
      </c>
      <c r="D26" s="326" t="s">
        <v>5</v>
      </c>
      <c r="E26" s="327" t="s">
        <v>1099</v>
      </c>
      <c r="F26" s="327" t="s">
        <v>9</v>
      </c>
      <c r="G26" s="327" t="s">
        <v>461</v>
      </c>
      <c r="H26" s="327" t="s">
        <v>1046</v>
      </c>
    </row>
    <row r="27" spans="1:8" s="146" customFormat="1" x14ac:dyDescent="0.25">
      <c r="A27" s="200"/>
      <c r="B27" s="200" t="s">
        <v>365</v>
      </c>
      <c r="C27" s="32"/>
      <c r="D27" s="32"/>
      <c r="E27" s="32">
        <f>E31+E44</f>
        <v>6349</v>
      </c>
      <c r="F27" s="32">
        <f>F31+F44</f>
        <v>3858.916666666667</v>
      </c>
      <c r="G27" s="32">
        <f>G31+G44</f>
        <v>4312.5</v>
      </c>
      <c r="H27" s="32">
        <f>H31+H44</f>
        <v>3537.5</v>
      </c>
    </row>
    <row r="28" spans="1:8" s="50" customFormat="1" x14ac:dyDescent="0.25">
      <c r="A28" s="9"/>
      <c r="B28" s="10" t="s">
        <v>737</v>
      </c>
      <c r="C28" s="20"/>
      <c r="D28" s="20"/>
      <c r="E28" s="20">
        <f>E29+E30</f>
        <v>25747</v>
      </c>
      <c r="F28" s="20">
        <f>F29+F30</f>
        <v>27162</v>
      </c>
      <c r="G28" s="20">
        <f>G29+G30</f>
        <v>25747</v>
      </c>
      <c r="H28" s="20">
        <f>H29+H30</f>
        <v>25747</v>
      </c>
    </row>
    <row r="29" spans="1:8" s="50" customFormat="1" x14ac:dyDescent="0.25">
      <c r="A29" s="11"/>
      <c r="B29" s="12" t="s">
        <v>735</v>
      </c>
      <c r="C29" s="21"/>
      <c r="D29" s="21"/>
      <c r="E29" s="21">
        <v>24866</v>
      </c>
      <c r="F29" s="21">
        <v>26305</v>
      </c>
      <c r="G29" s="21">
        <f>E29</f>
        <v>24866</v>
      </c>
      <c r="H29" s="21">
        <f>G29</f>
        <v>24866</v>
      </c>
    </row>
    <row r="30" spans="1:8" s="50" customFormat="1" x14ac:dyDescent="0.25">
      <c r="A30" s="11"/>
      <c r="B30" s="12" t="s">
        <v>736</v>
      </c>
      <c r="C30" s="21"/>
      <c r="D30" s="21"/>
      <c r="E30" s="21">
        <v>881</v>
      </c>
      <c r="F30" s="21">
        <v>857</v>
      </c>
      <c r="G30" s="21">
        <f>E30</f>
        <v>881</v>
      </c>
      <c r="H30" s="21">
        <f>G30</f>
        <v>881</v>
      </c>
    </row>
    <row r="31" spans="1:8" s="146" customFormat="1" ht="21" customHeight="1" x14ac:dyDescent="0.25">
      <c r="A31" s="43" t="s">
        <v>6</v>
      </c>
      <c r="B31" s="44" t="s">
        <v>96</v>
      </c>
      <c r="C31" s="45"/>
      <c r="D31" s="45"/>
      <c r="E31" s="45">
        <v>4838</v>
      </c>
      <c r="F31" s="45">
        <f>F32+F40</f>
        <v>3096.416666666667</v>
      </c>
      <c r="G31" s="45">
        <f>G32+G40</f>
        <v>3550</v>
      </c>
      <c r="H31" s="45">
        <f>H32+H40</f>
        <v>2775</v>
      </c>
    </row>
    <row r="32" spans="1:8" s="146" customFormat="1" x14ac:dyDescent="0.25">
      <c r="A32" s="43" t="s">
        <v>51</v>
      </c>
      <c r="B32" s="44" t="s">
        <v>1453</v>
      </c>
      <c r="C32" s="45"/>
      <c r="D32" s="45"/>
      <c r="E32" s="45"/>
      <c r="F32" s="45">
        <f>F33+F37</f>
        <v>2764.166666666667</v>
      </c>
      <c r="G32" s="45">
        <f>G33+G37</f>
        <v>3325</v>
      </c>
      <c r="H32" s="45">
        <f>H33+H37</f>
        <v>2550</v>
      </c>
    </row>
    <row r="33" spans="1:8" ht="19.5" x14ac:dyDescent="0.25">
      <c r="A33" s="201">
        <v>1</v>
      </c>
      <c r="B33" s="202" t="s">
        <v>717</v>
      </c>
      <c r="C33" s="203">
        <f>SUM(C34:C36)</f>
        <v>528</v>
      </c>
      <c r="D33" s="203"/>
      <c r="E33" s="203"/>
      <c r="F33" s="203">
        <f>SUM(F34:F36)</f>
        <v>2451.666666666667</v>
      </c>
      <c r="G33" s="203">
        <f>SUM(G34:G36)</f>
        <v>2075</v>
      </c>
      <c r="H33" s="203">
        <f>SUM(H34:H36)</f>
        <v>1300</v>
      </c>
    </row>
    <row r="34" spans="1:8" x14ac:dyDescent="0.25">
      <c r="A34" s="204" t="s">
        <v>510</v>
      </c>
      <c r="B34" s="12" t="s">
        <v>1447</v>
      </c>
      <c r="C34" s="21">
        <v>113</v>
      </c>
      <c r="D34" s="21"/>
      <c r="E34" s="21"/>
      <c r="F34" s="21">
        <f>(C34*5)/12*8</f>
        <v>376.66666666666669</v>
      </c>
      <c r="G34" s="21"/>
      <c r="H34" s="21"/>
    </row>
    <row r="35" spans="1:8" x14ac:dyDescent="0.25">
      <c r="A35" s="204" t="s">
        <v>510</v>
      </c>
      <c r="B35" s="12" t="s">
        <v>1448</v>
      </c>
      <c r="C35" s="21">
        <v>155</v>
      </c>
      <c r="D35" s="21"/>
      <c r="E35" s="21"/>
      <c r="F35" s="21">
        <f>C35*5</f>
        <v>775</v>
      </c>
      <c r="G35" s="21">
        <f>F35</f>
        <v>775</v>
      </c>
      <c r="H35" s="21"/>
    </row>
    <row r="36" spans="1:8" x14ac:dyDescent="0.25">
      <c r="A36" s="204" t="s">
        <v>510</v>
      </c>
      <c r="B36" s="12" t="s">
        <v>1449</v>
      </c>
      <c r="C36" s="21">
        <v>260</v>
      </c>
      <c r="D36" s="21"/>
      <c r="E36" s="21"/>
      <c r="F36" s="21">
        <f>C36*5</f>
        <v>1300</v>
      </c>
      <c r="G36" s="21">
        <f>F36</f>
        <v>1300</v>
      </c>
      <c r="H36" s="21">
        <f>G36</f>
        <v>1300</v>
      </c>
    </row>
    <row r="37" spans="1:8" ht="19.5" x14ac:dyDescent="0.25">
      <c r="A37" s="201">
        <v>2</v>
      </c>
      <c r="B37" s="202" t="s">
        <v>1450</v>
      </c>
      <c r="C37" s="203">
        <f>SUM(C38:C39)</f>
        <v>250</v>
      </c>
      <c r="D37" s="203"/>
      <c r="E37" s="203"/>
      <c r="F37" s="203">
        <f>SUM(F38:F39)</f>
        <v>312.5</v>
      </c>
      <c r="G37" s="203">
        <f t="shared" ref="G37:H37" si="0">SUM(G38:G39)</f>
        <v>1250</v>
      </c>
      <c r="H37" s="203">
        <f t="shared" si="0"/>
        <v>1250</v>
      </c>
    </row>
    <row r="38" spans="1:8" x14ac:dyDescent="0.25">
      <c r="A38" s="204" t="s">
        <v>510</v>
      </c>
      <c r="B38" s="12" t="s">
        <v>1451</v>
      </c>
      <c r="C38" s="21">
        <v>220</v>
      </c>
      <c r="D38" s="21"/>
      <c r="E38" s="21"/>
      <c r="F38" s="21">
        <f>(C38*5)/12*3</f>
        <v>275</v>
      </c>
      <c r="G38" s="21">
        <f>C38*5</f>
        <v>1100</v>
      </c>
      <c r="H38" s="21">
        <f>G38</f>
        <v>1100</v>
      </c>
    </row>
    <row r="39" spans="1:8" x14ac:dyDescent="0.25">
      <c r="A39" s="204" t="s">
        <v>510</v>
      </c>
      <c r="B39" s="12" t="s">
        <v>1452</v>
      </c>
      <c r="C39" s="21">
        <v>30</v>
      </c>
      <c r="D39" s="21"/>
      <c r="E39" s="21"/>
      <c r="F39" s="21">
        <f>(C39*5)/12*3</f>
        <v>37.5</v>
      </c>
      <c r="G39" s="21">
        <f>C39*5</f>
        <v>150</v>
      </c>
      <c r="H39" s="21">
        <f>G39</f>
        <v>150</v>
      </c>
    </row>
    <row r="40" spans="1:8" x14ac:dyDescent="0.25">
      <c r="A40" s="13" t="s">
        <v>52</v>
      </c>
      <c r="B40" s="14" t="s">
        <v>1454</v>
      </c>
      <c r="C40" s="22">
        <f>SUM(C41:C43)</f>
        <v>117</v>
      </c>
      <c r="D40" s="21"/>
      <c r="E40" s="22"/>
      <c r="F40" s="22">
        <f>SUM(F41:F43)</f>
        <v>332.25</v>
      </c>
      <c r="G40" s="22">
        <f t="shared" ref="G40:H40" si="1">SUM(G41:G43)</f>
        <v>225</v>
      </c>
      <c r="H40" s="22">
        <f t="shared" si="1"/>
        <v>225</v>
      </c>
    </row>
    <row r="41" spans="1:8" x14ac:dyDescent="0.25">
      <c r="A41" s="204" t="s">
        <v>510</v>
      </c>
      <c r="B41" s="12" t="s">
        <v>1455</v>
      </c>
      <c r="C41" s="21">
        <v>17</v>
      </c>
      <c r="D41" s="21"/>
      <c r="E41" s="21"/>
      <c r="F41" s="21">
        <f>(C41*4.5)/12*8</f>
        <v>51</v>
      </c>
      <c r="G41" s="21"/>
      <c r="H41" s="21"/>
    </row>
    <row r="42" spans="1:8" x14ac:dyDescent="0.25">
      <c r="A42" s="204" t="s">
        <v>510</v>
      </c>
      <c r="B42" s="12" t="s">
        <v>1456</v>
      </c>
      <c r="C42" s="21">
        <v>50</v>
      </c>
      <c r="D42" s="21"/>
      <c r="E42" s="21"/>
      <c r="F42" s="21">
        <f>C42*4.5</f>
        <v>225</v>
      </c>
      <c r="G42" s="21"/>
      <c r="H42" s="21"/>
    </row>
    <row r="43" spans="1:8" x14ac:dyDescent="0.25">
      <c r="A43" s="204" t="s">
        <v>510</v>
      </c>
      <c r="B43" s="12" t="s">
        <v>1457</v>
      </c>
      <c r="C43" s="21">
        <v>50</v>
      </c>
      <c r="D43" s="36"/>
      <c r="E43" s="21"/>
      <c r="F43" s="21">
        <f>(C43*4.5)/12*3</f>
        <v>56.25</v>
      </c>
      <c r="G43" s="21">
        <f>(C43*4.5)</f>
        <v>225</v>
      </c>
      <c r="H43" s="21">
        <f>G43</f>
        <v>225</v>
      </c>
    </row>
    <row r="44" spans="1:8" s="50" customFormat="1" x14ac:dyDescent="0.25">
      <c r="A44" s="62" t="s">
        <v>7</v>
      </c>
      <c r="B44" s="63" t="s">
        <v>98</v>
      </c>
      <c r="C44" s="64"/>
      <c r="D44" s="64"/>
      <c r="E44" s="64">
        <f>SUM(E45:E47)</f>
        <v>1511</v>
      </c>
      <c r="F44" s="64">
        <f t="shared" ref="F44:H44" si="2">SUM(F45:F47)</f>
        <v>762.5</v>
      </c>
      <c r="G44" s="64">
        <f t="shared" si="2"/>
        <v>762.5</v>
      </c>
      <c r="H44" s="64">
        <f t="shared" si="2"/>
        <v>762.5</v>
      </c>
    </row>
    <row r="45" spans="1:8" s="49" customFormat="1" ht="37.5" x14ac:dyDescent="0.25">
      <c r="A45" s="58" t="s">
        <v>99</v>
      </c>
      <c r="B45" s="59" t="s">
        <v>1458</v>
      </c>
      <c r="C45" s="60"/>
      <c r="D45" s="60"/>
      <c r="E45" s="60">
        <v>1419</v>
      </c>
      <c r="F45" s="60">
        <v>662</v>
      </c>
      <c r="G45" s="60">
        <f>F45</f>
        <v>662</v>
      </c>
      <c r="H45" s="60">
        <f>G45</f>
        <v>662</v>
      </c>
    </row>
    <row r="46" spans="1:8" s="49" customFormat="1" x14ac:dyDescent="0.25">
      <c r="A46" s="58" t="s">
        <v>99</v>
      </c>
      <c r="B46" s="59" t="s">
        <v>1459</v>
      </c>
      <c r="C46" s="60"/>
      <c r="D46" s="60"/>
      <c r="E46" s="60">
        <v>80</v>
      </c>
      <c r="F46" s="60">
        <v>88.5</v>
      </c>
      <c r="G46" s="60">
        <f t="shared" ref="G46:H46" si="3">F46</f>
        <v>88.5</v>
      </c>
      <c r="H46" s="60">
        <f t="shared" si="3"/>
        <v>88.5</v>
      </c>
    </row>
    <row r="47" spans="1:8" s="49" customFormat="1" x14ac:dyDescent="0.25">
      <c r="A47" s="58" t="s">
        <v>99</v>
      </c>
      <c r="B47" s="59" t="s">
        <v>738</v>
      </c>
      <c r="C47" s="60"/>
      <c r="D47" s="60"/>
      <c r="E47" s="60">
        <v>12</v>
      </c>
      <c r="F47" s="60">
        <v>12</v>
      </c>
      <c r="G47" s="60">
        <f t="shared" ref="G47:H47" si="4">F47</f>
        <v>12</v>
      </c>
      <c r="H47" s="60">
        <f t="shared" si="4"/>
        <v>12</v>
      </c>
    </row>
    <row r="48" spans="1:8" s="49" customFormat="1" hidden="1" x14ac:dyDescent="0.25">
      <c r="A48" s="58" t="s">
        <v>99</v>
      </c>
      <c r="B48" s="59"/>
      <c r="C48" s="60"/>
      <c r="D48" s="60"/>
      <c r="E48" s="60"/>
      <c r="F48" s="60"/>
      <c r="G48" s="60"/>
      <c r="H48" s="60"/>
    </row>
    <row r="49" spans="1:8" s="49" customFormat="1" hidden="1" x14ac:dyDescent="0.25">
      <c r="A49" s="58" t="s">
        <v>99</v>
      </c>
      <c r="B49" s="59"/>
      <c r="C49" s="60"/>
      <c r="D49" s="60"/>
      <c r="E49" s="60"/>
      <c r="F49" s="60"/>
      <c r="G49" s="60"/>
      <c r="H49" s="60"/>
    </row>
    <row r="50" spans="1:8" s="50" customFormat="1" hidden="1" x14ac:dyDescent="0.25">
      <c r="A50" s="62">
        <v>2</v>
      </c>
      <c r="B50" s="63" t="s">
        <v>82</v>
      </c>
      <c r="C50" s="64"/>
      <c r="D50" s="64"/>
      <c r="E50" s="64">
        <f>E51</f>
        <v>0</v>
      </c>
      <c r="F50" s="64"/>
      <c r="G50" s="64">
        <f>G51</f>
        <v>0</v>
      </c>
      <c r="H50" s="64">
        <f>H51</f>
        <v>0</v>
      </c>
    </row>
    <row r="51" spans="1:8" s="49" customFormat="1" hidden="1" x14ac:dyDescent="0.3">
      <c r="A51" s="58" t="s">
        <v>99</v>
      </c>
      <c r="B51" s="65"/>
      <c r="C51" s="60"/>
      <c r="D51" s="60"/>
      <c r="E51" s="60"/>
      <c r="F51" s="60"/>
      <c r="G51" s="60">
        <f>E51</f>
        <v>0</v>
      </c>
      <c r="H51" s="60">
        <f>G51</f>
        <v>0</v>
      </c>
    </row>
    <row r="52" spans="1:8" s="50" customFormat="1" hidden="1" x14ac:dyDescent="0.3">
      <c r="A52" s="62">
        <v>3</v>
      </c>
      <c r="B52" s="66" t="s">
        <v>83</v>
      </c>
      <c r="C52" s="64"/>
      <c r="D52" s="64"/>
      <c r="E52" s="64">
        <f>E53</f>
        <v>0</v>
      </c>
      <c r="F52" s="64"/>
      <c r="G52" s="64">
        <f>G53</f>
        <v>0</v>
      </c>
      <c r="H52" s="64">
        <f>H53</f>
        <v>0</v>
      </c>
    </row>
    <row r="53" spans="1:8" s="49" customFormat="1" hidden="1" x14ac:dyDescent="0.25">
      <c r="A53" s="58" t="s">
        <v>99</v>
      </c>
      <c r="B53" s="59"/>
      <c r="C53" s="60"/>
      <c r="D53" s="60"/>
      <c r="E53" s="60"/>
      <c r="F53" s="60"/>
      <c r="G53" s="60"/>
      <c r="H53" s="60"/>
    </row>
    <row r="54" spans="1:8" s="49" customFormat="1" hidden="1" x14ac:dyDescent="0.25">
      <c r="A54" s="58"/>
      <c r="B54" s="59"/>
      <c r="C54" s="60"/>
      <c r="D54" s="60"/>
      <c r="E54" s="60"/>
      <c r="F54" s="60"/>
      <c r="G54" s="60"/>
      <c r="H54" s="60"/>
    </row>
    <row r="55" spans="1:8" s="49" customFormat="1" hidden="1" x14ac:dyDescent="0.25">
      <c r="A55" s="58"/>
      <c r="B55" s="59"/>
      <c r="C55" s="60"/>
      <c r="D55" s="60"/>
      <c r="E55" s="60"/>
      <c r="F55" s="60"/>
      <c r="G55" s="60"/>
      <c r="H55" s="60"/>
    </row>
    <row r="56" spans="1:8" s="49" customFormat="1" hidden="1" x14ac:dyDescent="0.25">
      <c r="A56" s="58"/>
      <c r="B56" s="59"/>
      <c r="C56" s="60"/>
      <c r="D56" s="60"/>
      <c r="E56" s="60"/>
      <c r="F56" s="60"/>
      <c r="G56" s="60"/>
      <c r="H56" s="60"/>
    </row>
    <row r="57" spans="1:8" s="49" customFormat="1" hidden="1" x14ac:dyDescent="0.25">
      <c r="A57" s="58"/>
      <c r="B57" s="59"/>
      <c r="C57" s="60"/>
      <c r="D57" s="60"/>
      <c r="E57" s="60"/>
      <c r="F57" s="60"/>
      <c r="G57" s="60"/>
      <c r="H57" s="60"/>
    </row>
    <row r="58" spans="1:8" s="49" customFormat="1" x14ac:dyDescent="0.25">
      <c r="A58" s="67"/>
      <c r="B58" s="68"/>
      <c r="C58" s="69"/>
      <c r="D58" s="69"/>
      <c r="E58" s="69"/>
      <c r="F58" s="69"/>
      <c r="G58" s="69"/>
      <c r="H58" s="69"/>
    </row>
    <row r="59" spans="1:8" s="49" customFormat="1" ht="40.5" customHeight="1" x14ac:dyDescent="0.25">
      <c r="A59" s="70"/>
      <c r="B59" s="575" t="s">
        <v>1460</v>
      </c>
      <c r="C59" s="575"/>
      <c r="D59" s="575"/>
      <c r="E59" s="575"/>
      <c r="F59" s="575"/>
      <c r="G59" s="575"/>
      <c r="H59" s="575"/>
    </row>
    <row r="60" spans="1:8" x14ac:dyDescent="0.25">
      <c r="A60" s="2"/>
      <c r="B60" s="7" t="s">
        <v>739</v>
      </c>
    </row>
    <row r="61" spans="1:8" x14ac:dyDescent="0.25">
      <c r="A61" s="2"/>
    </row>
    <row r="62" spans="1:8" x14ac:dyDescent="0.25">
      <c r="A62" s="550" t="s">
        <v>36</v>
      </c>
      <c r="B62" s="550"/>
      <c r="D62" s="550" t="s">
        <v>37</v>
      </c>
      <c r="E62" s="550"/>
      <c r="F62" s="550"/>
      <c r="G62" s="550"/>
      <c r="H62" s="550"/>
    </row>
  </sheetData>
  <mergeCells count="18">
    <mergeCell ref="B59:H59"/>
    <mergeCell ref="A62:B62"/>
    <mergeCell ref="D62:H62"/>
    <mergeCell ref="C21:H21"/>
    <mergeCell ref="C22:H22"/>
    <mergeCell ref="B24:H24"/>
    <mergeCell ref="C10:H10"/>
    <mergeCell ref="C15:H15"/>
    <mergeCell ref="C17:H17"/>
    <mergeCell ref="C23:H23"/>
    <mergeCell ref="C19:H19"/>
    <mergeCell ref="C20:H20"/>
    <mergeCell ref="C9:H9"/>
    <mergeCell ref="A1:H1"/>
    <mergeCell ref="B3:H3"/>
    <mergeCell ref="C6:H6"/>
    <mergeCell ref="C7:H7"/>
    <mergeCell ref="C8:H8"/>
  </mergeCells>
  <printOptions horizontalCentered="1"/>
  <pageMargins left="0" right="0" top="0.75" bottom="0.5" header="0.31496062992126" footer="0.31496062992126"/>
  <pageSetup paperSize="9" scale="91" orientation="portrait" r:id="rId1"/>
  <legacyDrawing r:id="rId2"/>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80"/>
  <sheetViews>
    <sheetView topLeftCell="A32" zoomScaleNormal="100" workbookViewId="0">
      <selection activeCell="B74" sqref="B74"/>
    </sheetView>
  </sheetViews>
  <sheetFormatPr defaultRowHeight="18.75" x14ac:dyDescent="0.25"/>
  <cols>
    <col min="1" max="1" width="4.85546875" style="7" customWidth="1"/>
    <col min="2" max="2" width="44.7109375" style="7" customWidth="1"/>
    <col min="3" max="4" width="7.85546875" style="7" hidden="1" customWidth="1"/>
    <col min="5" max="8" width="13.42578125" style="7" customWidth="1"/>
    <col min="9" max="16384" width="9.140625" style="7"/>
  </cols>
  <sheetData>
    <row r="1" spans="1:8" ht="41.25" customHeight="1" x14ac:dyDescent="0.25">
      <c r="A1" s="549" t="s">
        <v>1074</v>
      </c>
      <c r="B1" s="555"/>
      <c r="C1" s="555"/>
      <c r="D1" s="555"/>
      <c r="E1" s="555"/>
      <c r="F1" s="555"/>
      <c r="G1" s="555"/>
      <c r="H1" s="555"/>
    </row>
    <row r="2" spans="1:8" x14ac:dyDescent="0.25">
      <c r="A2" s="146"/>
      <c r="B2" s="146"/>
      <c r="C2" s="146"/>
      <c r="D2" s="1"/>
      <c r="E2" s="1"/>
      <c r="F2" s="1"/>
      <c r="G2" s="1"/>
      <c r="H2" s="1"/>
    </row>
    <row r="3" spans="1:8" ht="40.5" customHeight="1" x14ac:dyDescent="0.25">
      <c r="B3" s="556" t="s">
        <v>1463</v>
      </c>
      <c r="C3" s="556"/>
      <c r="D3" s="556"/>
      <c r="E3" s="556"/>
      <c r="F3" s="556"/>
      <c r="G3" s="556"/>
      <c r="H3" s="556"/>
    </row>
    <row r="4" spans="1:8" x14ac:dyDescent="0.25">
      <c r="B4" s="7" t="s">
        <v>39</v>
      </c>
      <c r="D4" s="8"/>
      <c r="E4" s="8"/>
      <c r="F4" s="8"/>
      <c r="G4" s="8"/>
      <c r="H4" s="8"/>
    </row>
    <row r="5" spans="1:8" s="146" customFormat="1" x14ac:dyDescent="0.25">
      <c r="B5" s="3" t="s">
        <v>18</v>
      </c>
    </row>
    <row r="6" spans="1:8" x14ac:dyDescent="0.25">
      <c r="B6" s="2" t="s">
        <v>23</v>
      </c>
      <c r="C6" s="558" t="s">
        <v>49</v>
      </c>
      <c r="D6" s="558"/>
      <c r="E6" s="558"/>
      <c r="F6" s="558"/>
      <c r="G6" s="558"/>
      <c r="H6" s="558"/>
    </row>
    <row r="7" spans="1:8" hidden="1" x14ac:dyDescent="0.25">
      <c r="A7" s="2"/>
      <c r="B7" s="2" t="s">
        <v>19</v>
      </c>
      <c r="C7" s="558" t="s">
        <v>50</v>
      </c>
      <c r="D7" s="558"/>
      <c r="E7" s="558"/>
      <c r="F7" s="558"/>
      <c r="G7" s="558"/>
      <c r="H7" s="558"/>
    </row>
    <row r="8" spans="1:8" hidden="1" x14ac:dyDescent="0.25">
      <c r="A8" s="2"/>
      <c r="B8" s="2" t="s">
        <v>90</v>
      </c>
      <c r="C8" s="558" t="s">
        <v>60</v>
      </c>
      <c r="D8" s="558"/>
      <c r="E8" s="558"/>
      <c r="F8" s="558"/>
      <c r="G8" s="558"/>
      <c r="H8" s="558"/>
    </row>
    <row r="9" spans="1:8" x14ac:dyDescent="0.25">
      <c r="A9" s="2"/>
      <c r="B9" s="2" t="s">
        <v>19</v>
      </c>
      <c r="C9" s="558" t="s">
        <v>50</v>
      </c>
      <c r="D9" s="558"/>
      <c r="E9" s="558"/>
      <c r="F9" s="558"/>
      <c r="G9" s="558"/>
      <c r="H9" s="558"/>
    </row>
    <row r="10" spans="1:8" x14ac:dyDescent="0.25">
      <c r="A10" s="2"/>
      <c r="B10" s="2" t="s">
        <v>733</v>
      </c>
      <c r="C10" s="558" t="s">
        <v>734</v>
      </c>
      <c r="D10" s="558"/>
      <c r="E10" s="558"/>
      <c r="F10" s="558"/>
      <c r="G10" s="558"/>
      <c r="H10" s="558"/>
    </row>
    <row r="11" spans="1:8" hidden="1" x14ac:dyDescent="0.25">
      <c r="A11" s="2"/>
      <c r="B11" s="2" t="s">
        <v>21</v>
      </c>
      <c r="C11" s="199" t="s">
        <v>87</v>
      </c>
      <c r="D11" s="199"/>
      <c r="E11" s="199"/>
      <c r="F11" s="328"/>
      <c r="G11" s="199"/>
      <c r="H11" s="199"/>
    </row>
    <row r="12" spans="1:8" x14ac:dyDescent="0.25">
      <c r="A12" s="2"/>
      <c r="B12" s="2" t="s">
        <v>306</v>
      </c>
      <c r="C12" s="199" t="s">
        <v>88</v>
      </c>
      <c r="D12" s="199"/>
      <c r="E12" s="199" t="s">
        <v>88</v>
      </c>
      <c r="F12" s="328"/>
      <c r="G12" s="199"/>
      <c r="H12" s="199"/>
    </row>
    <row r="13" spans="1:8" hidden="1" x14ac:dyDescent="0.25">
      <c r="A13" s="2"/>
      <c r="B13" s="2" t="s">
        <v>94</v>
      </c>
      <c r="C13" s="199" t="s">
        <v>95</v>
      </c>
      <c r="D13" s="199"/>
      <c r="E13" s="199"/>
      <c r="F13" s="328"/>
      <c r="G13" s="199"/>
      <c r="H13" s="199"/>
    </row>
    <row r="14" spans="1:8" x14ac:dyDescent="0.25">
      <c r="A14" s="2"/>
      <c r="B14" s="2"/>
      <c r="C14" s="199"/>
      <c r="D14" s="199"/>
      <c r="E14" s="199"/>
      <c r="F14" s="328"/>
      <c r="G14" s="199"/>
      <c r="H14" s="199"/>
    </row>
    <row r="15" spans="1:8" hidden="1" x14ac:dyDescent="0.25">
      <c r="A15" s="2"/>
      <c r="B15" s="2" t="s">
        <v>21</v>
      </c>
      <c r="C15" s="558"/>
      <c r="D15" s="558"/>
      <c r="E15" s="558"/>
      <c r="F15" s="558"/>
      <c r="G15" s="558"/>
      <c r="H15" s="558"/>
    </row>
    <row r="16" spans="1:8" s="146" customFormat="1" x14ac:dyDescent="0.25">
      <c r="A16" s="3"/>
      <c r="B16" s="3" t="s">
        <v>719</v>
      </c>
      <c r="C16" s="3"/>
      <c r="D16" s="3"/>
      <c r="E16" s="3"/>
      <c r="F16" s="3"/>
      <c r="G16" s="3"/>
      <c r="H16" s="3"/>
    </row>
    <row r="17" spans="1:8" x14ac:dyDescent="0.25">
      <c r="A17" s="2"/>
      <c r="B17" s="2" t="s">
        <v>740</v>
      </c>
      <c r="C17" s="558" t="s">
        <v>410</v>
      </c>
      <c r="D17" s="558"/>
      <c r="E17" s="558"/>
      <c r="F17" s="558"/>
      <c r="G17" s="558"/>
      <c r="H17" s="558"/>
    </row>
    <row r="18" spans="1:8" hidden="1" x14ac:dyDescent="0.25">
      <c r="A18" s="2"/>
      <c r="B18" s="2" t="s">
        <v>20</v>
      </c>
      <c r="C18" s="199"/>
      <c r="D18" s="199"/>
      <c r="E18" s="199"/>
      <c r="F18" s="328"/>
      <c r="G18" s="199"/>
      <c r="H18" s="199"/>
    </row>
    <row r="19" spans="1:8" x14ac:dyDescent="0.25">
      <c r="A19" s="2"/>
      <c r="B19" s="2" t="s">
        <v>1462</v>
      </c>
      <c r="C19" s="558" t="s">
        <v>334</v>
      </c>
      <c r="D19" s="558"/>
      <c r="E19" s="558"/>
      <c r="F19" s="558"/>
      <c r="G19" s="558"/>
      <c r="H19" s="558"/>
    </row>
    <row r="20" spans="1:8" hidden="1" x14ac:dyDescent="0.25">
      <c r="A20" s="2"/>
      <c r="B20" s="2" t="s">
        <v>20</v>
      </c>
      <c r="C20" s="558"/>
      <c r="D20" s="558"/>
      <c r="E20" s="558"/>
      <c r="F20" s="558"/>
      <c r="G20" s="558"/>
      <c r="H20" s="558"/>
    </row>
    <row r="21" spans="1:8" hidden="1" x14ac:dyDescent="0.25">
      <c r="A21" s="2"/>
      <c r="B21" s="2" t="s">
        <v>21</v>
      </c>
      <c r="C21" s="558"/>
      <c r="D21" s="558"/>
      <c r="E21" s="558"/>
      <c r="F21" s="558"/>
      <c r="G21" s="558"/>
      <c r="H21" s="558"/>
    </row>
    <row r="22" spans="1:8" hidden="1" x14ac:dyDescent="0.25">
      <c r="A22" s="2"/>
      <c r="B22" s="2" t="s">
        <v>21</v>
      </c>
      <c r="C22" s="558"/>
      <c r="D22" s="558"/>
      <c r="E22" s="558"/>
      <c r="F22" s="558"/>
      <c r="G22" s="558"/>
      <c r="H22" s="558"/>
    </row>
    <row r="23" spans="1:8" x14ac:dyDescent="0.25">
      <c r="A23" s="2"/>
      <c r="B23" s="2" t="s">
        <v>741</v>
      </c>
      <c r="C23" s="558" t="s">
        <v>108</v>
      </c>
      <c r="D23" s="558"/>
      <c r="E23" s="558"/>
      <c r="F23" s="558"/>
      <c r="G23" s="558"/>
      <c r="H23" s="558"/>
    </row>
    <row r="24" spans="1:8" x14ac:dyDescent="0.25">
      <c r="A24" s="2"/>
      <c r="B24" s="556" t="s">
        <v>1073</v>
      </c>
      <c r="C24" s="556"/>
      <c r="D24" s="556"/>
      <c r="E24" s="556"/>
      <c r="F24" s="556"/>
      <c r="G24" s="556"/>
      <c r="H24" s="556"/>
    </row>
    <row r="25" spans="1:8" x14ac:dyDescent="0.25">
      <c r="A25" s="4"/>
      <c r="H25" s="4" t="s">
        <v>61</v>
      </c>
    </row>
    <row r="26" spans="1:8" s="325" customFormat="1" ht="56.25" x14ac:dyDescent="0.25">
      <c r="A26" s="326" t="s">
        <v>62</v>
      </c>
      <c r="B26" s="326" t="s">
        <v>2</v>
      </c>
      <c r="C26" s="326" t="s">
        <v>742</v>
      </c>
      <c r="D26" s="326" t="s">
        <v>744</v>
      </c>
      <c r="E26" s="327" t="s">
        <v>1099</v>
      </c>
      <c r="F26" s="327" t="s">
        <v>9</v>
      </c>
      <c r="G26" s="327" t="s">
        <v>461</v>
      </c>
      <c r="H26" s="327" t="s">
        <v>1046</v>
      </c>
    </row>
    <row r="27" spans="1:8" s="146" customFormat="1" x14ac:dyDescent="0.25">
      <c r="A27" s="200"/>
      <c r="B27" s="200" t="s">
        <v>900</v>
      </c>
      <c r="C27" s="32"/>
      <c r="D27" s="32"/>
      <c r="E27" s="32">
        <f>E31+E68</f>
        <v>30443</v>
      </c>
      <c r="F27" s="32">
        <f t="shared" ref="F27:H27" si="0">F31+F68</f>
        <v>39814</v>
      </c>
      <c r="G27" s="32">
        <f t="shared" si="0"/>
        <v>35751</v>
      </c>
      <c r="H27" s="32">
        <f t="shared" si="0"/>
        <v>35751</v>
      </c>
    </row>
    <row r="28" spans="1:8" s="50" customFormat="1" x14ac:dyDescent="0.25">
      <c r="A28" s="9"/>
      <c r="B28" s="10" t="s">
        <v>737</v>
      </c>
      <c r="C28" s="20"/>
      <c r="D28" s="20"/>
      <c r="E28" s="20">
        <f>E29+E30</f>
        <v>13288</v>
      </c>
      <c r="F28" s="20">
        <f>F29+F30</f>
        <v>34703</v>
      </c>
      <c r="G28" s="20">
        <f>G29+G30</f>
        <v>34703</v>
      </c>
      <c r="H28" s="20">
        <f>H29+H30</f>
        <v>34703</v>
      </c>
    </row>
    <row r="29" spans="1:8" s="50" customFormat="1" x14ac:dyDescent="0.25">
      <c r="A29" s="11"/>
      <c r="B29" s="12" t="s">
        <v>735</v>
      </c>
      <c r="C29" s="21"/>
      <c r="D29" s="21"/>
      <c r="E29" s="21">
        <v>10480</v>
      </c>
      <c r="F29" s="21">
        <v>28288</v>
      </c>
      <c r="G29" s="21">
        <f>F29</f>
        <v>28288</v>
      </c>
      <c r="H29" s="21">
        <f>G29</f>
        <v>28288</v>
      </c>
    </row>
    <row r="30" spans="1:8" s="50" customFormat="1" x14ac:dyDescent="0.25">
      <c r="A30" s="11"/>
      <c r="B30" s="12" t="s">
        <v>736</v>
      </c>
      <c r="C30" s="21"/>
      <c r="D30" s="21"/>
      <c r="E30" s="21">
        <v>2808</v>
      </c>
      <c r="F30" s="21">
        <v>6415</v>
      </c>
      <c r="G30" s="21">
        <f>F30</f>
        <v>6415</v>
      </c>
      <c r="H30" s="21">
        <f>G30</f>
        <v>6415</v>
      </c>
    </row>
    <row r="31" spans="1:8" s="146" customFormat="1" x14ac:dyDescent="0.25">
      <c r="A31" s="13">
        <v>1</v>
      </c>
      <c r="B31" s="14" t="s">
        <v>893</v>
      </c>
      <c r="C31" s="22"/>
      <c r="D31" s="22"/>
      <c r="E31" s="22">
        <f>E32+E50</f>
        <v>23377</v>
      </c>
      <c r="F31" s="22">
        <f>F32+F50</f>
        <v>21870</v>
      </c>
      <c r="G31" s="22">
        <f>G32+G50</f>
        <v>21870</v>
      </c>
      <c r="H31" s="22">
        <f>H32+H50</f>
        <v>21870</v>
      </c>
    </row>
    <row r="32" spans="1:8" x14ac:dyDescent="0.25">
      <c r="A32" s="11" t="s">
        <v>99</v>
      </c>
      <c r="B32" s="12" t="s">
        <v>717</v>
      </c>
      <c r="C32" s="21"/>
      <c r="D32" s="21"/>
      <c r="E32" s="21">
        <v>15936</v>
      </c>
      <c r="F32" s="21">
        <v>19172</v>
      </c>
      <c r="G32" s="21">
        <f>F32</f>
        <v>19172</v>
      </c>
      <c r="H32" s="21">
        <f>G32</f>
        <v>19172</v>
      </c>
    </row>
    <row r="33" spans="1:8" hidden="1" x14ac:dyDescent="0.25">
      <c r="A33" s="204" t="s">
        <v>510</v>
      </c>
      <c r="B33" s="12" t="s">
        <v>745</v>
      </c>
      <c r="C33" s="21">
        <v>66</v>
      </c>
      <c r="D33" s="21">
        <v>5</v>
      </c>
      <c r="E33" s="21">
        <f>C33*D33</f>
        <v>330</v>
      </c>
      <c r="F33" s="21"/>
      <c r="G33" s="21">
        <v>0</v>
      </c>
      <c r="H33" s="21">
        <v>0</v>
      </c>
    </row>
    <row r="34" spans="1:8" hidden="1" x14ac:dyDescent="0.25">
      <c r="A34" s="204" t="s">
        <v>510</v>
      </c>
      <c r="B34" s="12" t="s">
        <v>746</v>
      </c>
      <c r="C34" s="21">
        <v>48</v>
      </c>
      <c r="D34" s="21">
        <v>5</v>
      </c>
      <c r="E34" s="21">
        <f>C34*D34</f>
        <v>240</v>
      </c>
      <c r="F34" s="21"/>
      <c r="G34" s="21">
        <f t="shared" ref="G34:G49" si="1">E34</f>
        <v>240</v>
      </c>
      <c r="H34" s="21">
        <v>0</v>
      </c>
    </row>
    <row r="35" spans="1:8" hidden="1" x14ac:dyDescent="0.25">
      <c r="A35" s="204" t="s">
        <v>510</v>
      </c>
      <c r="B35" s="12" t="s">
        <v>747</v>
      </c>
      <c r="C35" s="21">
        <v>18</v>
      </c>
      <c r="D35" s="21">
        <v>5</v>
      </c>
      <c r="E35" s="21">
        <f t="shared" ref="E35:E59" si="2">C35*D35</f>
        <v>90</v>
      </c>
      <c r="F35" s="21"/>
      <c r="G35" s="21">
        <v>0</v>
      </c>
      <c r="H35" s="21">
        <v>0</v>
      </c>
    </row>
    <row r="36" spans="1:8" hidden="1" x14ac:dyDescent="0.25">
      <c r="A36" s="204" t="s">
        <v>510</v>
      </c>
      <c r="B36" s="12" t="s">
        <v>748</v>
      </c>
      <c r="C36" s="21">
        <v>15</v>
      </c>
      <c r="D36" s="21">
        <v>5</v>
      </c>
      <c r="E36" s="21">
        <f t="shared" si="2"/>
        <v>75</v>
      </c>
      <c r="F36" s="21"/>
      <c r="G36" s="21">
        <f t="shared" si="1"/>
        <v>75</v>
      </c>
      <c r="H36" s="21">
        <v>0</v>
      </c>
    </row>
    <row r="37" spans="1:8" hidden="1" x14ac:dyDescent="0.3">
      <c r="A37" s="204" t="s">
        <v>510</v>
      </c>
      <c r="B37" s="207" t="s">
        <v>749</v>
      </c>
      <c r="C37" s="207">
        <v>85</v>
      </c>
      <c r="D37" s="21">
        <v>5</v>
      </c>
      <c r="E37" s="21">
        <f t="shared" si="2"/>
        <v>425</v>
      </c>
      <c r="F37" s="21"/>
      <c r="G37" s="21">
        <v>0</v>
      </c>
      <c r="H37" s="21">
        <v>0</v>
      </c>
    </row>
    <row r="38" spans="1:8" hidden="1" x14ac:dyDescent="0.3">
      <c r="A38" s="204" t="s">
        <v>510</v>
      </c>
      <c r="B38" s="207" t="s">
        <v>750</v>
      </c>
      <c r="C38" s="207">
        <v>82</v>
      </c>
      <c r="D38" s="21">
        <v>5</v>
      </c>
      <c r="E38" s="21">
        <f t="shared" si="2"/>
        <v>410</v>
      </c>
      <c r="F38" s="21"/>
      <c r="G38" s="21">
        <f t="shared" si="1"/>
        <v>410</v>
      </c>
      <c r="H38" s="21">
        <v>0</v>
      </c>
    </row>
    <row r="39" spans="1:8" hidden="1" x14ac:dyDescent="0.3">
      <c r="A39" s="204" t="s">
        <v>510</v>
      </c>
      <c r="B39" s="207" t="s">
        <v>751</v>
      </c>
      <c r="C39" s="207">
        <v>18</v>
      </c>
      <c r="D39" s="21">
        <v>5</v>
      </c>
      <c r="E39" s="21">
        <f t="shared" ref="E39:E49" si="3">C39*D39</f>
        <v>90</v>
      </c>
      <c r="F39" s="21"/>
      <c r="G39" s="21">
        <v>0</v>
      </c>
      <c r="H39" s="21">
        <v>0</v>
      </c>
    </row>
    <row r="40" spans="1:8" hidden="1" x14ac:dyDescent="0.3">
      <c r="A40" s="204" t="s">
        <v>510</v>
      </c>
      <c r="B40" s="207" t="s">
        <v>752</v>
      </c>
      <c r="C40" s="207">
        <v>16</v>
      </c>
      <c r="D40" s="21">
        <v>5</v>
      </c>
      <c r="E40" s="21">
        <f t="shared" si="3"/>
        <v>80</v>
      </c>
      <c r="F40" s="21"/>
      <c r="G40" s="21">
        <f t="shared" si="1"/>
        <v>80</v>
      </c>
      <c r="H40" s="21">
        <v>0</v>
      </c>
    </row>
    <row r="41" spans="1:8" hidden="1" x14ac:dyDescent="0.3">
      <c r="A41" s="204" t="s">
        <v>510</v>
      </c>
      <c r="B41" s="207" t="s">
        <v>753</v>
      </c>
      <c r="C41" s="207">
        <v>44</v>
      </c>
      <c r="D41" s="21">
        <v>5</v>
      </c>
      <c r="E41" s="21">
        <f t="shared" si="3"/>
        <v>220</v>
      </c>
      <c r="F41" s="21"/>
      <c r="G41" s="21">
        <v>0</v>
      </c>
      <c r="H41" s="21">
        <v>0</v>
      </c>
    </row>
    <row r="42" spans="1:8" hidden="1" x14ac:dyDescent="0.3">
      <c r="A42" s="204" t="s">
        <v>510</v>
      </c>
      <c r="B42" s="207" t="s">
        <v>754</v>
      </c>
      <c r="C42" s="207">
        <v>43</v>
      </c>
      <c r="D42" s="21">
        <v>5</v>
      </c>
      <c r="E42" s="21">
        <f t="shared" si="3"/>
        <v>215</v>
      </c>
      <c r="F42" s="21"/>
      <c r="G42" s="21">
        <f t="shared" si="1"/>
        <v>215</v>
      </c>
      <c r="H42" s="21">
        <v>0</v>
      </c>
    </row>
    <row r="43" spans="1:8" hidden="1" x14ac:dyDescent="0.3">
      <c r="A43" s="204" t="s">
        <v>510</v>
      </c>
      <c r="B43" s="207" t="s">
        <v>755</v>
      </c>
      <c r="C43" s="207">
        <v>17</v>
      </c>
      <c r="D43" s="21">
        <v>5</v>
      </c>
      <c r="E43" s="21">
        <f t="shared" si="3"/>
        <v>85</v>
      </c>
      <c r="F43" s="21"/>
      <c r="G43" s="21">
        <v>0</v>
      </c>
      <c r="H43" s="21">
        <v>0</v>
      </c>
    </row>
    <row r="44" spans="1:8" hidden="1" x14ac:dyDescent="0.3">
      <c r="A44" s="204" t="s">
        <v>510</v>
      </c>
      <c r="B44" s="207" t="s">
        <v>756</v>
      </c>
      <c r="C44" s="207">
        <v>12</v>
      </c>
      <c r="D44" s="21">
        <v>5</v>
      </c>
      <c r="E44" s="21">
        <f t="shared" si="3"/>
        <v>60</v>
      </c>
      <c r="F44" s="21"/>
      <c r="G44" s="21">
        <f t="shared" si="1"/>
        <v>60</v>
      </c>
      <c r="H44" s="21">
        <v>0</v>
      </c>
    </row>
    <row r="45" spans="1:8" hidden="1" x14ac:dyDescent="0.3">
      <c r="A45" s="204" t="s">
        <v>510</v>
      </c>
      <c r="B45" s="207" t="s">
        <v>757</v>
      </c>
      <c r="C45" s="207">
        <v>16</v>
      </c>
      <c r="D45" s="21">
        <v>5</v>
      </c>
      <c r="E45" s="21">
        <f t="shared" si="3"/>
        <v>80</v>
      </c>
      <c r="F45" s="21"/>
      <c r="G45" s="21">
        <v>0</v>
      </c>
      <c r="H45" s="21">
        <v>0</v>
      </c>
    </row>
    <row r="46" spans="1:8" hidden="1" x14ac:dyDescent="0.3">
      <c r="A46" s="204" t="s">
        <v>510</v>
      </c>
      <c r="B46" s="207" t="s">
        <v>758</v>
      </c>
      <c r="C46" s="207">
        <v>99</v>
      </c>
      <c r="D46" s="21">
        <v>5</v>
      </c>
      <c r="E46" s="21">
        <f t="shared" si="3"/>
        <v>495</v>
      </c>
      <c r="F46" s="21"/>
      <c r="G46" s="21">
        <v>0</v>
      </c>
      <c r="H46" s="21">
        <v>0</v>
      </c>
    </row>
    <row r="47" spans="1:8" hidden="1" x14ac:dyDescent="0.3">
      <c r="A47" s="204" t="s">
        <v>510</v>
      </c>
      <c r="B47" s="207" t="s">
        <v>759</v>
      </c>
      <c r="C47" s="207">
        <v>90</v>
      </c>
      <c r="D47" s="21">
        <v>5</v>
      </c>
      <c r="E47" s="21">
        <f t="shared" si="3"/>
        <v>450</v>
      </c>
      <c r="F47" s="21"/>
      <c r="G47" s="21">
        <f t="shared" si="1"/>
        <v>450</v>
      </c>
      <c r="H47" s="21">
        <v>0</v>
      </c>
    </row>
    <row r="48" spans="1:8" hidden="1" x14ac:dyDescent="0.3">
      <c r="A48" s="204" t="s">
        <v>510</v>
      </c>
      <c r="B48" s="207" t="s">
        <v>760</v>
      </c>
      <c r="C48" s="207">
        <v>28</v>
      </c>
      <c r="D48" s="21">
        <v>5</v>
      </c>
      <c r="E48" s="21">
        <f t="shared" si="3"/>
        <v>140</v>
      </c>
      <c r="F48" s="21"/>
      <c r="G48" s="21">
        <v>0</v>
      </c>
      <c r="H48" s="21">
        <v>0</v>
      </c>
    </row>
    <row r="49" spans="1:8" hidden="1" x14ac:dyDescent="0.3">
      <c r="A49" s="204" t="s">
        <v>510</v>
      </c>
      <c r="B49" s="207" t="s">
        <v>761</v>
      </c>
      <c r="C49" s="207">
        <v>29</v>
      </c>
      <c r="D49" s="21">
        <v>5</v>
      </c>
      <c r="E49" s="21">
        <f t="shared" si="3"/>
        <v>145</v>
      </c>
      <c r="F49" s="21"/>
      <c r="G49" s="21">
        <f t="shared" si="1"/>
        <v>145</v>
      </c>
      <c r="H49" s="21">
        <v>0</v>
      </c>
    </row>
    <row r="50" spans="1:8" x14ac:dyDescent="0.25">
      <c r="A50" s="11" t="s">
        <v>99</v>
      </c>
      <c r="B50" s="12" t="s">
        <v>1450</v>
      </c>
      <c r="C50" s="21"/>
      <c r="D50" s="21"/>
      <c r="E50" s="21">
        <v>7441</v>
      </c>
      <c r="F50" s="21">
        <v>2698</v>
      </c>
      <c r="G50" s="21">
        <f>F50</f>
        <v>2698</v>
      </c>
      <c r="H50" s="21">
        <f>G50</f>
        <v>2698</v>
      </c>
    </row>
    <row r="51" spans="1:8" hidden="1" x14ac:dyDescent="0.3">
      <c r="A51" s="204" t="s">
        <v>510</v>
      </c>
      <c r="B51" s="207" t="s">
        <v>763</v>
      </c>
      <c r="C51" s="211">
        <v>70</v>
      </c>
      <c r="D51" s="21"/>
      <c r="E51" s="213">
        <f t="shared" si="2"/>
        <v>0</v>
      </c>
      <c r="F51" s="213"/>
      <c r="G51" s="213">
        <f>E51</f>
        <v>0</v>
      </c>
      <c r="H51" s="213">
        <f>G51</f>
        <v>0</v>
      </c>
    </row>
    <row r="52" spans="1:8" hidden="1" x14ac:dyDescent="0.3">
      <c r="A52" s="204" t="s">
        <v>510</v>
      </c>
      <c r="B52" s="207" t="s">
        <v>764</v>
      </c>
      <c r="C52" s="211">
        <v>70</v>
      </c>
      <c r="D52" s="21"/>
      <c r="E52" s="213">
        <f t="shared" si="2"/>
        <v>0</v>
      </c>
      <c r="F52" s="213"/>
      <c r="G52" s="213">
        <f t="shared" ref="G52:G59" si="4">E52</f>
        <v>0</v>
      </c>
      <c r="H52" s="213">
        <f t="shared" ref="H52:H59" si="5">G52</f>
        <v>0</v>
      </c>
    </row>
    <row r="53" spans="1:8" hidden="1" x14ac:dyDescent="0.3">
      <c r="A53" s="204" t="s">
        <v>510</v>
      </c>
      <c r="B53" s="207" t="s">
        <v>765</v>
      </c>
      <c r="C53" s="211">
        <v>70</v>
      </c>
      <c r="D53" s="21"/>
      <c r="E53" s="213">
        <f t="shared" si="2"/>
        <v>0</v>
      </c>
      <c r="F53" s="213"/>
      <c r="G53" s="213">
        <f t="shared" si="4"/>
        <v>0</v>
      </c>
      <c r="H53" s="213">
        <f t="shared" si="5"/>
        <v>0</v>
      </c>
    </row>
    <row r="54" spans="1:8" hidden="1" x14ac:dyDescent="0.3">
      <c r="A54" s="204" t="s">
        <v>510</v>
      </c>
      <c r="B54" s="207" t="s">
        <v>766</v>
      </c>
      <c r="C54" s="211">
        <v>70</v>
      </c>
      <c r="D54" s="21"/>
      <c r="E54" s="213">
        <f t="shared" si="2"/>
        <v>0</v>
      </c>
      <c r="F54" s="213"/>
      <c r="G54" s="213">
        <f t="shared" si="4"/>
        <v>0</v>
      </c>
      <c r="H54" s="213">
        <f t="shared" si="5"/>
        <v>0</v>
      </c>
    </row>
    <row r="55" spans="1:8" hidden="1" x14ac:dyDescent="0.3">
      <c r="A55" s="204" t="s">
        <v>510</v>
      </c>
      <c r="B55" s="207" t="s">
        <v>767</v>
      </c>
      <c r="C55" s="211">
        <v>70</v>
      </c>
      <c r="D55" s="21"/>
      <c r="E55" s="213">
        <f t="shared" si="2"/>
        <v>0</v>
      </c>
      <c r="F55" s="213"/>
      <c r="G55" s="213">
        <f t="shared" si="4"/>
        <v>0</v>
      </c>
      <c r="H55" s="213">
        <f t="shared" si="5"/>
        <v>0</v>
      </c>
    </row>
    <row r="56" spans="1:8" hidden="1" x14ac:dyDescent="0.3">
      <c r="A56" s="204" t="s">
        <v>510</v>
      </c>
      <c r="B56" s="207" t="s">
        <v>768</v>
      </c>
      <c r="C56" s="211">
        <v>70</v>
      </c>
      <c r="D56" s="21"/>
      <c r="E56" s="213">
        <f t="shared" si="2"/>
        <v>0</v>
      </c>
      <c r="F56" s="213"/>
      <c r="G56" s="213">
        <f t="shared" si="4"/>
        <v>0</v>
      </c>
      <c r="H56" s="213">
        <f t="shared" si="5"/>
        <v>0</v>
      </c>
    </row>
    <row r="57" spans="1:8" hidden="1" x14ac:dyDescent="0.3">
      <c r="A57" s="204" t="s">
        <v>510</v>
      </c>
      <c r="B57" s="207" t="s">
        <v>769</v>
      </c>
      <c r="C57" s="211">
        <v>105</v>
      </c>
      <c r="D57" s="21"/>
      <c r="E57" s="213">
        <f t="shared" si="2"/>
        <v>0</v>
      </c>
      <c r="F57" s="213"/>
      <c r="G57" s="213">
        <f t="shared" si="4"/>
        <v>0</v>
      </c>
      <c r="H57" s="213">
        <f t="shared" si="5"/>
        <v>0</v>
      </c>
    </row>
    <row r="58" spans="1:8" hidden="1" x14ac:dyDescent="0.3">
      <c r="A58" s="204" t="s">
        <v>510</v>
      </c>
      <c r="B58" s="207" t="s">
        <v>770</v>
      </c>
      <c r="C58" s="211">
        <v>70</v>
      </c>
      <c r="D58" s="21"/>
      <c r="E58" s="213">
        <f t="shared" si="2"/>
        <v>0</v>
      </c>
      <c r="F58" s="213"/>
      <c r="G58" s="213">
        <f t="shared" si="4"/>
        <v>0</v>
      </c>
      <c r="H58" s="213">
        <f t="shared" si="5"/>
        <v>0</v>
      </c>
    </row>
    <row r="59" spans="1:8" ht="75" hidden="1" x14ac:dyDescent="0.25">
      <c r="A59" s="11" t="s">
        <v>99</v>
      </c>
      <c r="B59" s="59" t="s">
        <v>777</v>
      </c>
      <c r="C59" s="212">
        <v>280</v>
      </c>
      <c r="D59" s="36"/>
      <c r="E59" s="213">
        <f t="shared" si="2"/>
        <v>0</v>
      </c>
      <c r="F59" s="213"/>
      <c r="G59" s="213">
        <f t="shared" si="4"/>
        <v>0</v>
      </c>
      <c r="H59" s="213">
        <f t="shared" si="5"/>
        <v>0</v>
      </c>
    </row>
    <row r="60" spans="1:8" ht="37.5" hidden="1" x14ac:dyDescent="0.25">
      <c r="A60" s="13" t="s">
        <v>52</v>
      </c>
      <c r="B60" s="14" t="s">
        <v>720</v>
      </c>
      <c r="C60" s="22">
        <f>C61+C67</f>
        <v>660</v>
      </c>
      <c r="D60" s="36"/>
      <c r="E60" s="22">
        <f>E61+E67</f>
        <v>2970</v>
      </c>
      <c r="F60" s="22">
        <f>F61+F67</f>
        <v>0</v>
      </c>
      <c r="G60" s="22">
        <f>G61+G67</f>
        <v>2745</v>
      </c>
      <c r="H60" s="22">
        <f>H61+H67</f>
        <v>2497.5</v>
      </c>
    </row>
    <row r="61" spans="1:8" ht="19.5" hidden="1" x14ac:dyDescent="0.25">
      <c r="A61" s="201">
        <v>1</v>
      </c>
      <c r="B61" s="202" t="s">
        <v>717</v>
      </c>
      <c r="C61" s="203">
        <f>SUM(C62:C66)</f>
        <v>105</v>
      </c>
      <c r="D61" s="205"/>
      <c r="E61" s="203">
        <f>SUM(E62:E66)</f>
        <v>472.5</v>
      </c>
      <c r="F61" s="203">
        <f>SUM(F62:F66)</f>
        <v>0</v>
      </c>
      <c r="G61" s="203">
        <f>SUM(G62:G66)</f>
        <v>247.5</v>
      </c>
      <c r="H61" s="203">
        <f>SUM(H62:H66)</f>
        <v>0</v>
      </c>
    </row>
    <row r="62" spans="1:8" hidden="1" x14ac:dyDescent="0.3">
      <c r="A62" s="11" t="s">
        <v>99</v>
      </c>
      <c r="B62" s="207" t="s">
        <v>771</v>
      </c>
      <c r="C62" s="207">
        <v>16</v>
      </c>
      <c r="D62" s="208">
        <v>4.5</v>
      </c>
      <c r="E62" s="21">
        <f>C62*D62</f>
        <v>72</v>
      </c>
      <c r="F62" s="21"/>
      <c r="G62" s="21">
        <v>0</v>
      </c>
      <c r="H62" s="21">
        <v>0</v>
      </c>
    </row>
    <row r="63" spans="1:8" hidden="1" x14ac:dyDescent="0.3">
      <c r="A63" s="11" t="s">
        <v>99</v>
      </c>
      <c r="B63" s="207" t="s">
        <v>772</v>
      </c>
      <c r="C63" s="207">
        <v>17</v>
      </c>
      <c r="D63" s="208">
        <v>4.5</v>
      </c>
      <c r="E63" s="21">
        <f>C63*D63</f>
        <v>76.5</v>
      </c>
      <c r="F63" s="21"/>
      <c r="G63" s="21">
        <f>E63</f>
        <v>76.5</v>
      </c>
      <c r="H63" s="21">
        <v>0</v>
      </c>
    </row>
    <row r="64" spans="1:8" hidden="1" x14ac:dyDescent="0.3">
      <c r="A64" s="11" t="s">
        <v>99</v>
      </c>
      <c r="B64" s="207" t="s">
        <v>773</v>
      </c>
      <c r="C64" s="207">
        <v>13</v>
      </c>
      <c r="D64" s="208">
        <v>4.5</v>
      </c>
      <c r="E64" s="21">
        <f>C64*D64</f>
        <v>58.5</v>
      </c>
      <c r="F64" s="21"/>
      <c r="G64" s="21">
        <v>0</v>
      </c>
      <c r="H64" s="21">
        <v>0</v>
      </c>
    </row>
    <row r="65" spans="1:8" hidden="1" x14ac:dyDescent="0.3">
      <c r="A65" s="11" t="s">
        <v>99</v>
      </c>
      <c r="B65" s="207" t="s">
        <v>774</v>
      </c>
      <c r="C65" s="207">
        <v>38</v>
      </c>
      <c r="D65" s="208">
        <v>4.5</v>
      </c>
      <c r="E65" s="21">
        <f>C65*D65</f>
        <v>171</v>
      </c>
      <c r="F65" s="21"/>
      <c r="G65" s="21">
        <f>E65</f>
        <v>171</v>
      </c>
      <c r="H65" s="21">
        <v>0</v>
      </c>
    </row>
    <row r="66" spans="1:8" hidden="1" x14ac:dyDescent="0.3">
      <c r="A66" s="11" t="s">
        <v>99</v>
      </c>
      <c r="B66" s="207" t="s">
        <v>775</v>
      </c>
      <c r="C66" s="207">
        <v>21</v>
      </c>
      <c r="D66" s="208">
        <v>4.5</v>
      </c>
      <c r="E66" s="21">
        <f>21*4.5</f>
        <v>94.5</v>
      </c>
      <c r="F66" s="21"/>
      <c r="G66" s="21">
        <v>0</v>
      </c>
      <c r="H66" s="21">
        <v>0</v>
      </c>
    </row>
    <row r="67" spans="1:8" s="210" customFormat="1" ht="19.5" hidden="1" x14ac:dyDescent="0.25">
      <c r="A67" s="201">
        <v>2</v>
      </c>
      <c r="B67" s="202" t="s">
        <v>762</v>
      </c>
      <c r="C67" s="203">
        <v>555</v>
      </c>
      <c r="D67" s="209">
        <v>4.5</v>
      </c>
      <c r="E67" s="203">
        <f>C67*D67</f>
        <v>2497.5</v>
      </c>
      <c r="F67" s="203"/>
      <c r="G67" s="203">
        <f>E67</f>
        <v>2497.5</v>
      </c>
      <c r="H67" s="203">
        <f>G67</f>
        <v>2497.5</v>
      </c>
    </row>
    <row r="68" spans="1:8" s="50" customFormat="1" x14ac:dyDescent="0.25">
      <c r="A68" s="62">
        <v>2</v>
      </c>
      <c r="B68" s="63" t="s">
        <v>1470</v>
      </c>
      <c r="C68" s="64"/>
      <c r="D68" s="64"/>
      <c r="E68" s="64">
        <f>SUM(E69:E75)</f>
        <v>7066</v>
      </c>
      <c r="F68" s="64">
        <f>SUM(F69:F75)</f>
        <v>17944</v>
      </c>
      <c r="G68" s="64">
        <f t="shared" ref="G68:H68" si="6">SUM(G69:G75)</f>
        <v>13881</v>
      </c>
      <c r="H68" s="64">
        <f t="shared" si="6"/>
        <v>13881</v>
      </c>
    </row>
    <row r="69" spans="1:8" s="49" customFormat="1" x14ac:dyDescent="0.25">
      <c r="A69" s="58" t="s">
        <v>99</v>
      </c>
      <c r="B69" s="59" t="s">
        <v>1465</v>
      </c>
      <c r="C69" s="60"/>
      <c r="D69" s="60"/>
      <c r="E69" s="60">
        <v>731</v>
      </c>
      <c r="F69" s="60">
        <f>E69</f>
        <v>731</v>
      </c>
      <c r="G69" s="60">
        <f>E69</f>
        <v>731</v>
      </c>
      <c r="H69" s="60">
        <f>G69</f>
        <v>731</v>
      </c>
    </row>
    <row r="70" spans="1:8" s="49" customFormat="1" hidden="1" x14ac:dyDescent="0.3">
      <c r="A70" s="58" t="s">
        <v>99</v>
      </c>
      <c r="B70" s="65"/>
      <c r="C70" s="60"/>
      <c r="D70" s="60"/>
      <c r="E70" s="60"/>
      <c r="F70" s="60"/>
      <c r="G70" s="60">
        <f>E70</f>
        <v>0</v>
      </c>
      <c r="H70" s="60">
        <f>G70</f>
        <v>0</v>
      </c>
    </row>
    <row r="71" spans="1:8" s="49" customFormat="1" x14ac:dyDescent="0.25">
      <c r="A71" s="58" t="s">
        <v>99</v>
      </c>
      <c r="B71" s="59" t="s">
        <v>721</v>
      </c>
      <c r="C71" s="60"/>
      <c r="D71" s="60"/>
      <c r="E71" s="60">
        <v>50</v>
      </c>
      <c r="F71" s="60">
        <f>E71</f>
        <v>50</v>
      </c>
      <c r="G71" s="60">
        <f>E71</f>
        <v>50</v>
      </c>
      <c r="H71" s="60">
        <f>G71</f>
        <v>50</v>
      </c>
    </row>
    <row r="72" spans="1:8" s="49" customFormat="1" x14ac:dyDescent="0.25">
      <c r="A72" s="58" t="s">
        <v>99</v>
      </c>
      <c r="B72" s="59" t="s">
        <v>718</v>
      </c>
      <c r="C72" s="60"/>
      <c r="D72" s="60"/>
      <c r="E72" s="60">
        <v>5285</v>
      </c>
      <c r="F72" s="60">
        <f>1782+11318</f>
        <v>13100</v>
      </c>
      <c r="G72" s="60">
        <f>F72</f>
        <v>13100</v>
      </c>
      <c r="H72" s="60">
        <f>G72</f>
        <v>13100</v>
      </c>
    </row>
    <row r="73" spans="1:8" s="49" customFormat="1" x14ac:dyDescent="0.25">
      <c r="A73" s="58" t="s">
        <v>99</v>
      </c>
      <c r="B73" s="59" t="s">
        <v>1464</v>
      </c>
      <c r="C73" s="60"/>
      <c r="D73" s="60"/>
      <c r="E73" s="60"/>
      <c r="F73" s="60">
        <v>3063</v>
      </c>
      <c r="G73" s="60"/>
      <c r="H73" s="60"/>
    </row>
    <row r="74" spans="1:8" s="49" customFormat="1" x14ac:dyDescent="0.25">
      <c r="A74" s="58" t="s">
        <v>99</v>
      </c>
      <c r="B74" s="59" t="s">
        <v>1468</v>
      </c>
      <c r="C74" s="60"/>
      <c r="D74" s="60"/>
      <c r="E74" s="60">
        <v>1000</v>
      </c>
      <c r="F74" s="60">
        <v>500</v>
      </c>
      <c r="G74" s="60"/>
      <c r="H74" s="60"/>
    </row>
    <row r="75" spans="1:8" s="49" customFormat="1" x14ac:dyDescent="0.25">
      <c r="A75" s="392" t="s">
        <v>99</v>
      </c>
      <c r="B75" s="116" t="s">
        <v>1469</v>
      </c>
      <c r="C75" s="391"/>
      <c r="D75" s="391"/>
      <c r="E75" s="391"/>
      <c r="F75" s="391">
        <v>500</v>
      </c>
      <c r="G75" s="391"/>
      <c r="H75" s="391"/>
    </row>
    <row r="76" spans="1:8" s="49" customFormat="1" x14ac:dyDescent="0.25">
      <c r="A76" s="67"/>
      <c r="B76" s="68" t="s">
        <v>864</v>
      </c>
      <c r="C76" s="69"/>
      <c r="D76" s="69"/>
      <c r="E76" s="69"/>
      <c r="F76" s="69"/>
      <c r="G76" s="69"/>
      <c r="H76" s="69"/>
    </row>
    <row r="77" spans="1:8" s="49" customFormat="1" ht="40.5" customHeight="1" x14ac:dyDescent="0.25">
      <c r="A77" s="70"/>
      <c r="B77" s="575" t="s">
        <v>1471</v>
      </c>
      <c r="C77" s="575"/>
      <c r="D77" s="575"/>
      <c r="E77" s="575"/>
      <c r="F77" s="575"/>
      <c r="G77" s="575"/>
      <c r="H77" s="575"/>
    </row>
    <row r="78" spans="1:8" x14ac:dyDescent="0.25">
      <c r="A78" s="2"/>
      <c r="B78" s="7" t="s">
        <v>776</v>
      </c>
    </row>
    <row r="79" spans="1:8" x14ac:dyDescent="0.25">
      <c r="A79" s="2"/>
    </row>
    <row r="80" spans="1:8" x14ac:dyDescent="0.25">
      <c r="A80" s="550" t="s">
        <v>36</v>
      </c>
      <c r="B80" s="550"/>
      <c r="D80" s="550" t="s">
        <v>37</v>
      </c>
      <c r="E80" s="550"/>
      <c r="F80" s="550"/>
      <c r="G80" s="550"/>
      <c r="H80" s="550"/>
    </row>
  </sheetData>
  <mergeCells count="18">
    <mergeCell ref="B77:H77"/>
    <mergeCell ref="A80:B80"/>
    <mergeCell ref="D80:H80"/>
    <mergeCell ref="C22:H22"/>
    <mergeCell ref="C23:H23"/>
    <mergeCell ref="B24:H24"/>
    <mergeCell ref="C21:H21"/>
    <mergeCell ref="A1:H1"/>
    <mergeCell ref="B3:H3"/>
    <mergeCell ref="C6:H6"/>
    <mergeCell ref="C7:H7"/>
    <mergeCell ref="C8:H8"/>
    <mergeCell ref="C9:H9"/>
    <mergeCell ref="C10:H10"/>
    <mergeCell ref="C15:H15"/>
    <mergeCell ref="C17:H17"/>
    <mergeCell ref="C19:H19"/>
    <mergeCell ref="C20:H20"/>
  </mergeCells>
  <printOptions horizontalCentered="1"/>
  <pageMargins left="0.25" right="0.23622047244094499" top="0.53" bottom="0.21" header="0.31496062992126" footer="0.31496062992126"/>
  <pageSetup scale="90"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1"/>
  <sheetViews>
    <sheetView workbookViewId="0">
      <selection activeCell="C9" sqref="C9"/>
    </sheetView>
  </sheetViews>
  <sheetFormatPr defaultColWidth="9.140625" defaultRowHeight="18.75" x14ac:dyDescent="0.3"/>
  <cols>
    <col min="1" max="1" width="14.28515625" style="41" bestFit="1" customWidth="1"/>
    <col min="2" max="2" width="38.7109375" style="7" customWidth="1"/>
    <col min="3" max="3" width="79" style="176" customWidth="1"/>
    <col min="4" max="4" width="6.140625" style="39" bestFit="1" customWidth="1"/>
    <col min="5" max="5" width="21.85546875" style="40" bestFit="1" customWidth="1"/>
    <col min="6" max="6" width="9.42578125" style="171" bestFit="1" customWidth="1"/>
    <col min="7" max="16384" width="9.140625" style="39"/>
  </cols>
  <sheetData>
    <row r="1" spans="1:6" s="150" customFormat="1" x14ac:dyDescent="0.25">
      <c r="A1" s="154" t="s">
        <v>462</v>
      </c>
      <c r="B1" s="155" t="s">
        <v>463</v>
      </c>
      <c r="C1" s="175"/>
      <c r="E1" s="7" t="s">
        <v>489</v>
      </c>
      <c r="F1" s="149">
        <v>10</v>
      </c>
    </row>
    <row r="2" spans="1:6" x14ac:dyDescent="0.3">
      <c r="A2" s="152">
        <v>0.55000000000000004</v>
      </c>
      <c r="B2" s="153">
        <f>0.33*1.39*1.775*12</f>
        <v>9.7703100000000003</v>
      </c>
      <c r="E2" s="40" t="s">
        <v>490</v>
      </c>
      <c r="F2" s="171">
        <v>15</v>
      </c>
    </row>
    <row r="3" spans="1:6" x14ac:dyDescent="0.3">
      <c r="A3" s="152">
        <v>0.25</v>
      </c>
      <c r="B3" s="153">
        <f>0.33*1.39*1.475*12</f>
        <v>8.1189900000000002</v>
      </c>
      <c r="E3" s="40" t="s">
        <v>501</v>
      </c>
    </row>
    <row r="4" spans="1:6" x14ac:dyDescent="0.3">
      <c r="A4" s="158">
        <v>0</v>
      </c>
      <c r="B4" s="159">
        <f>0.33*1.39*1.225*12</f>
        <v>6.7428900000000001</v>
      </c>
      <c r="C4" s="176" t="s">
        <v>468</v>
      </c>
      <c r="E4" s="40" t="s">
        <v>502</v>
      </c>
      <c r="F4" s="171">
        <v>16</v>
      </c>
    </row>
    <row r="5" spans="1:6" s="120" customFormat="1" x14ac:dyDescent="0.25">
      <c r="A5" s="154" t="s">
        <v>133</v>
      </c>
      <c r="B5" s="154" t="s">
        <v>134</v>
      </c>
      <c r="C5" s="177" t="s">
        <v>2</v>
      </c>
      <c r="E5" s="7" t="s">
        <v>532</v>
      </c>
      <c r="F5" s="149">
        <v>5</v>
      </c>
    </row>
    <row r="6" spans="1:6" s="162" customFormat="1" x14ac:dyDescent="0.25">
      <c r="A6" s="163" t="s">
        <v>493</v>
      </c>
      <c r="B6" s="161"/>
      <c r="C6" s="178"/>
      <c r="E6" s="7" t="s">
        <v>533</v>
      </c>
      <c r="F6" s="149">
        <v>10</v>
      </c>
    </row>
    <row r="7" spans="1:6" s="162" customFormat="1" x14ac:dyDescent="0.25">
      <c r="A7" s="168" t="s">
        <v>534</v>
      </c>
      <c r="B7" s="161"/>
      <c r="C7" s="178"/>
      <c r="E7" s="7" t="s">
        <v>824</v>
      </c>
      <c r="F7" s="149"/>
    </row>
    <row r="8" spans="1:6" s="162" customFormat="1" x14ac:dyDescent="0.25">
      <c r="A8" s="161"/>
      <c r="B8" s="161"/>
      <c r="C8" s="178"/>
      <c r="E8" s="7"/>
      <c r="F8" s="149"/>
    </row>
    <row r="9" spans="1:6" s="162" customFormat="1" x14ac:dyDescent="0.25">
      <c r="A9" s="161"/>
      <c r="B9" s="161"/>
      <c r="C9" s="178"/>
      <c r="E9" s="7"/>
      <c r="F9" s="149"/>
    </row>
    <row r="10" spans="1:6" s="162" customFormat="1" x14ac:dyDescent="0.25">
      <c r="A10" s="161"/>
      <c r="B10" s="161"/>
      <c r="C10" s="178"/>
      <c r="E10" s="7"/>
      <c r="F10" s="149"/>
    </row>
    <row r="11" spans="1:6" s="162" customFormat="1" x14ac:dyDescent="0.25">
      <c r="A11" s="161"/>
      <c r="B11" s="161"/>
      <c r="C11" s="178"/>
      <c r="E11" s="7"/>
      <c r="F11" s="149"/>
    </row>
    <row r="12" spans="1:6" s="162" customFormat="1" x14ac:dyDescent="0.25">
      <c r="A12" s="161"/>
      <c r="B12" s="161"/>
      <c r="C12" s="178"/>
      <c r="E12" s="7"/>
      <c r="F12" s="149"/>
    </row>
    <row r="13" spans="1:6" x14ac:dyDescent="0.3">
      <c r="A13" s="157" t="s">
        <v>466</v>
      </c>
      <c r="B13" s="146" t="s">
        <v>467</v>
      </c>
    </row>
    <row r="15" spans="1:6" x14ac:dyDescent="0.3">
      <c r="A15" s="157" t="s">
        <v>466</v>
      </c>
      <c r="B15" s="146" t="s">
        <v>476</v>
      </c>
    </row>
    <row r="16" spans="1:6" x14ac:dyDescent="0.3">
      <c r="B16" s="160" t="s">
        <v>477</v>
      </c>
      <c r="C16" s="176" t="s">
        <v>478</v>
      </c>
    </row>
    <row r="17" spans="1:6" x14ac:dyDescent="0.3">
      <c r="B17" s="160" t="s">
        <v>479</v>
      </c>
    </row>
    <row r="18" spans="1:6" x14ac:dyDescent="0.3">
      <c r="A18" s="157" t="s">
        <v>466</v>
      </c>
      <c r="B18" s="146" t="s">
        <v>496</v>
      </c>
    </row>
    <row r="19" spans="1:6" ht="37.5" x14ac:dyDescent="0.3">
      <c r="B19" s="160" t="s">
        <v>477</v>
      </c>
      <c r="C19" s="176" t="s">
        <v>497</v>
      </c>
    </row>
    <row r="20" spans="1:6" x14ac:dyDescent="0.3">
      <c r="A20" s="157" t="s">
        <v>539</v>
      </c>
      <c r="B20" s="146" t="s">
        <v>540</v>
      </c>
    </row>
    <row r="21" spans="1:6" ht="19.5" x14ac:dyDescent="0.3">
      <c r="B21" s="174" t="s">
        <v>477</v>
      </c>
    </row>
    <row r="22" spans="1:6" ht="19.5" x14ac:dyDescent="0.3">
      <c r="B22" s="174"/>
      <c r="C22" s="176" t="s">
        <v>546</v>
      </c>
    </row>
    <row r="23" spans="1:6" ht="19.5" x14ac:dyDescent="0.3">
      <c r="B23" s="174"/>
      <c r="C23" s="176" t="s">
        <v>559</v>
      </c>
    </row>
    <row r="24" spans="1:6" s="191" customFormat="1" ht="19.5" x14ac:dyDescent="0.3">
      <c r="A24" s="194">
        <v>43350</v>
      </c>
      <c r="B24" s="174"/>
      <c r="C24" s="190"/>
      <c r="E24" s="192"/>
      <c r="F24" s="193"/>
    </row>
    <row r="25" spans="1:6" ht="19.5" x14ac:dyDescent="0.3">
      <c r="B25" s="174" t="s">
        <v>593</v>
      </c>
      <c r="C25" s="176" t="s">
        <v>594</v>
      </c>
    </row>
    <row r="26" spans="1:6" x14ac:dyDescent="0.3">
      <c r="B26" s="7" t="s">
        <v>541</v>
      </c>
      <c r="C26" s="176" t="s">
        <v>543</v>
      </c>
    </row>
    <row r="27" spans="1:6" x14ac:dyDescent="0.3">
      <c r="C27" s="176" t="s">
        <v>544</v>
      </c>
    </row>
    <row r="28" spans="1:6" x14ac:dyDescent="0.3">
      <c r="C28" s="176" t="s">
        <v>545</v>
      </c>
    </row>
    <row r="30" spans="1:6" s="191" customFormat="1" x14ac:dyDescent="0.3">
      <c r="A30" s="194">
        <v>43354</v>
      </c>
      <c r="B30" s="146"/>
      <c r="C30" s="190"/>
      <c r="E30" s="192"/>
      <c r="F30" s="193"/>
    </row>
    <row r="31" spans="1:6" x14ac:dyDescent="0.3">
      <c r="B31" s="7" t="s">
        <v>674</v>
      </c>
    </row>
  </sheetData>
  <pageMargins left="0.7" right="0.7" top="0.75" bottom="0.75" header="0.3" footer="0.3"/>
  <pageSetup orientation="portrait" r:id="rId1"/>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93"/>
  <sheetViews>
    <sheetView topLeftCell="A72" zoomScaleNormal="100" workbookViewId="0">
      <selection activeCell="B69" sqref="B69"/>
    </sheetView>
  </sheetViews>
  <sheetFormatPr defaultRowHeight="18.75" x14ac:dyDescent="0.25"/>
  <cols>
    <col min="1" max="1" width="4.85546875" style="49" customWidth="1"/>
    <col min="2" max="2" width="42.85546875" style="49" customWidth="1"/>
    <col min="3" max="3" width="7.140625" style="49" customWidth="1"/>
    <col min="4" max="4" width="6.7109375" style="49" customWidth="1"/>
    <col min="5" max="8" width="11.7109375" style="49" customWidth="1"/>
    <col min="9" max="16384" width="9.140625" style="49"/>
  </cols>
  <sheetData>
    <row r="1" spans="1:8" ht="41.25" customHeight="1" x14ac:dyDescent="0.25">
      <c r="A1" s="569" t="s">
        <v>1074</v>
      </c>
      <c r="B1" s="570"/>
      <c r="C1" s="570"/>
      <c r="D1" s="570"/>
      <c r="E1" s="570"/>
      <c r="F1" s="570"/>
      <c r="G1" s="570"/>
      <c r="H1" s="570"/>
    </row>
    <row r="2" spans="1:8" x14ac:dyDescent="0.25">
      <c r="A2" s="50"/>
      <c r="B2" s="50"/>
      <c r="C2" s="50"/>
      <c r="D2" s="51"/>
      <c r="E2" s="51"/>
      <c r="F2" s="51"/>
      <c r="G2" s="51"/>
      <c r="H2" s="51"/>
    </row>
    <row r="3" spans="1:8" ht="40.5" customHeight="1" x14ac:dyDescent="0.25">
      <c r="B3" s="565" t="s">
        <v>1501</v>
      </c>
      <c r="C3" s="565"/>
      <c r="D3" s="565"/>
      <c r="E3" s="565"/>
      <c r="F3" s="565"/>
      <c r="G3" s="565"/>
      <c r="H3" s="565"/>
    </row>
    <row r="4" spans="1:8" x14ac:dyDescent="0.25">
      <c r="B4" s="49" t="s">
        <v>39</v>
      </c>
      <c r="D4" s="52"/>
      <c r="E4" s="52"/>
      <c r="F4" s="52"/>
      <c r="G4" s="52"/>
      <c r="H4" s="52"/>
    </row>
    <row r="5" spans="1:8" s="50" customFormat="1" x14ac:dyDescent="0.25">
      <c r="B5" s="50" t="s">
        <v>18</v>
      </c>
    </row>
    <row r="6" spans="1:8" x14ac:dyDescent="0.25">
      <c r="B6" s="49" t="s">
        <v>23</v>
      </c>
      <c r="C6" s="566" t="s">
        <v>176</v>
      </c>
      <c r="D6" s="566"/>
      <c r="E6" s="566"/>
      <c r="F6" s="566"/>
      <c r="G6" s="566"/>
      <c r="H6" s="566"/>
    </row>
    <row r="7" spans="1:8" x14ac:dyDescent="0.25">
      <c r="B7" s="49" t="s">
        <v>19</v>
      </c>
      <c r="C7" s="566" t="s">
        <v>50</v>
      </c>
      <c r="D7" s="566"/>
      <c r="E7" s="566"/>
      <c r="F7" s="566"/>
      <c r="G7" s="566"/>
      <c r="H7" s="566"/>
    </row>
    <row r="8" spans="1:8" hidden="1" x14ac:dyDescent="0.25">
      <c r="B8" s="49" t="s">
        <v>90</v>
      </c>
      <c r="C8" s="566" t="s">
        <v>60</v>
      </c>
      <c r="D8" s="566"/>
      <c r="E8" s="566"/>
      <c r="F8" s="566"/>
      <c r="G8" s="566"/>
      <c r="H8" s="566"/>
    </row>
    <row r="9" spans="1:8" x14ac:dyDescent="0.25">
      <c r="B9" s="49" t="s">
        <v>59</v>
      </c>
      <c r="C9" s="566" t="s">
        <v>60</v>
      </c>
      <c r="D9" s="566"/>
      <c r="E9" s="566"/>
      <c r="F9" s="566"/>
      <c r="G9" s="566"/>
      <c r="H9" s="566"/>
    </row>
    <row r="10" spans="1:8" hidden="1" x14ac:dyDescent="0.25">
      <c r="B10" s="49" t="s">
        <v>20</v>
      </c>
      <c r="C10" s="566" t="s">
        <v>86</v>
      </c>
      <c r="D10" s="566"/>
      <c r="E10" s="566"/>
      <c r="F10" s="566"/>
      <c r="G10" s="566"/>
      <c r="H10" s="566"/>
    </row>
    <row r="11" spans="1:8" hidden="1" x14ac:dyDescent="0.25">
      <c r="B11" s="49" t="s">
        <v>21</v>
      </c>
      <c r="C11" s="187" t="s">
        <v>87</v>
      </c>
      <c r="D11" s="187"/>
      <c r="E11" s="187"/>
      <c r="F11" s="329"/>
      <c r="G11" s="187"/>
      <c r="H11" s="187"/>
    </row>
    <row r="12" spans="1:8" x14ac:dyDescent="0.25">
      <c r="B12" s="49" t="s">
        <v>306</v>
      </c>
      <c r="C12" s="187" t="s">
        <v>88</v>
      </c>
      <c r="D12" s="187"/>
      <c r="E12" s="187"/>
      <c r="F12" s="329"/>
      <c r="G12" s="187"/>
      <c r="H12" s="187"/>
    </row>
    <row r="13" spans="1:8" hidden="1" x14ac:dyDescent="0.25">
      <c r="B13" s="49" t="s">
        <v>94</v>
      </c>
      <c r="C13" s="187" t="s">
        <v>95</v>
      </c>
      <c r="D13" s="187"/>
      <c r="E13" s="187"/>
      <c r="F13" s="329"/>
      <c r="G13" s="187"/>
      <c r="H13" s="187"/>
    </row>
    <row r="14" spans="1:8" hidden="1" x14ac:dyDescent="0.25">
      <c r="C14" s="187"/>
      <c r="D14" s="187"/>
      <c r="E14" s="187"/>
      <c r="F14" s="329"/>
      <c r="G14" s="187"/>
      <c r="H14" s="187"/>
    </row>
    <row r="15" spans="1:8" ht="18" customHeight="1" x14ac:dyDescent="0.25">
      <c r="B15" s="49" t="s">
        <v>94</v>
      </c>
      <c r="C15" s="566" t="s">
        <v>518</v>
      </c>
      <c r="D15" s="566"/>
      <c r="E15" s="566"/>
      <c r="F15" s="566"/>
      <c r="G15" s="566"/>
      <c r="H15" s="566"/>
    </row>
    <row r="16" spans="1:8" s="50" customFormat="1" x14ac:dyDescent="0.25">
      <c r="B16" s="50" t="s">
        <v>517</v>
      </c>
    </row>
    <row r="17" spans="1:8" x14ac:dyDescent="0.25">
      <c r="B17" s="49" t="s">
        <v>516</v>
      </c>
      <c r="C17" s="566" t="s">
        <v>176</v>
      </c>
      <c r="D17" s="566"/>
      <c r="E17" s="566"/>
      <c r="F17" s="566"/>
      <c r="G17" s="566"/>
      <c r="H17" s="566"/>
    </row>
    <row r="18" spans="1:8" x14ac:dyDescent="0.25">
      <c r="B18" s="49" t="s">
        <v>515</v>
      </c>
      <c r="C18" s="566" t="s">
        <v>1472</v>
      </c>
      <c r="D18" s="566"/>
      <c r="E18" s="566"/>
      <c r="F18" s="566"/>
      <c r="G18" s="566"/>
      <c r="H18" s="566"/>
    </row>
    <row r="19" spans="1:8" x14ac:dyDescent="0.25">
      <c r="B19" s="49" t="s">
        <v>1496</v>
      </c>
      <c r="C19" s="393" t="s">
        <v>1497</v>
      </c>
      <c r="D19" s="393"/>
      <c r="E19" s="393"/>
      <c r="F19" s="393"/>
      <c r="G19" s="393"/>
      <c r="H19" s="393"/>
    </row>
    <row r="20" spans="1:8" x14ac:dyDescent="0.25">
      <c r="B20" s="49" t="s">
        <v>1473</v>
      </c>
      <c r="C20" s="393" t="s">
        <v>1474</v>
      </c>
      <c r="D20" s="393"/>
      <c r="E20" s="393"/>
      <c r="F20" s="393"/>
      <c r="G20" s="393"/>
      <c r="H20" s="393"/>
    </row>
    <row r="21" spans="1:8" x14ac:dyDescent="0.25">
      <c r="B21" s="49" t="s">
        <v>1475</v>
      </c>
      <c r="C21" s="393" t="s">
        <v>1476</v>
      </c>
      <c r="D21" s="393"/>
      <c r="E21" s="393"/>
      <c r="F21" s="393"/>
      <c r="G21" s="393"/>
      <c r="H21" s="393"/>
    </row>
    <row r="22" spans="1:8" x14ac:dyDescent="0.25">
      <c r="B22" s="49" t="s">
        <v>1498</v>
      </c>
      <c r="C22" s="393" t="s">
        <v>108</v>
      </c>
      <c r="D22" s="393"/>
      <c r="E22" s="393"/>
      <c r="F22" s="393"/>
      <c r="G22" s="393"/>
      <c r="H22" s="393"/>
    </row>
    <row r="23" spans="1:8" x14ac:dyDescent="0.25">
      <c r="B23" s="49" t="s">
        <v>1499</v>
      </c>
      <c r="C23" s="393" t="s">
        <v>108</v>
      </c>
      <c r="D23" s="393"/>
      <c r="E23" s="393"/>
      <c r="F23" s="393"/>
      <c r="G23" s="393"/>
      <c r="H23" s="393"/>
    </row>
    <row r="24" spans="1:8" ht="39.75" customHeight="1" x14ac:dyDescent="0.25">
      <c r="B24" s="556" t="s">
        <v>1073</v>
      </c>
      <c r="C24" s="556"/>
      <c r="D24" s="556"/>
      <c r="E24" s="556"/>
      <c r="F24" s="556"/>
      <c r="G24" s="556"/>
      <c r="H24" s="556"/>
    </row>
    <row r="25" spans="1:8" x14ac:dyDescent="0.25">
      <c r="A25" s="54"/>
      <c r="H25" s="54" t="s">
        <v>61</v>
      </c>
    </row>
    <row r="26" spans="1:8" s="330" customFormat="1" ht="75" x14ac:dyDescent="0.25">
      <c r="A26" s="331" t="s">
        <v>62</v>
      </c>
      <c r="B26" s="331" t="s">
        <v>2</v>
      </c>
      <c r="C26" s="331" t="s">
        <v>17</v>
      </c>
      <c r="D26" s="331" t="s">
        <v>5</v>
      </c>
      <c r="E26" s="327" t="s">
        <v>1099</v>
      </c>
      <c r="F26" s="327" t="s">
        <v>9</v>
      </c>
      <c r="G26" s="327" t="s">
        <v>461</v>
      </c>
      <c r="H26" s="327" t="s">
        <v>1046</v>
      </c>
    </row>
    <row r="27" spans="1:8" s="50" customFormat="1" x14ac:dyDescent="0.25">
      <c r="A27" s="188"/>
      <c r="B27" s="188" t="s">
        <v>97</v>
      </c>
      <c r="C27" s="57"/>
      <c r="D27" s="57"/>
      <c r="E27" s="57">
        <f>E28+E62+E71+E80</f>
        <v>10284</v>
      </c>
      <c r="F27" s="57">
        <f t="shared" ref="F27:H27" si="0">F28+F62+F71+F80</f>
        <v>9235</v>
      </c>
      <c r="G27" s="57">
        <f t="shared" si="0"/>
        <v>6543</v>
      </c>
      <c r="H27" s="57">
        <f t="shared" si="0"/>
        <v>6691</v>
      </c>
    </row>
    <row r="28" spans="1:8" s="50" customFormat="1" x14ac:dyDescent="0.25">
      <c r="A28" s="9" t="s">
        <v>6</v>
      </c>
      <c r="B28" s="97" t="s">
        <v>1500</v>
      </c>
      <c r="C28" s="20"/>
      <c r="D28" s="20"/>
      <c r="E28" s="20">
        <f>E32+E41</f>
        <v>8458</v>
      </c>
      <c r="F28" s="20">
        <f>F32+F41</f>
        <v>7077</v>
      </c>
      <c r="G28" s="20">
        <f>G32+G41</f>
        <v>5831</v>
      </c>
      <c r="H28" s="20">
        <f>H32+H41</f>
        <v>5963</v>
      </c>
    </row>
    <row r="29" spans="1:8" s="50" customFormat="1" x14ac:dyDescent="0.25">
      <c r="A29" s="11" t="s">
        <v>99</v>
      </c>
      <c r="B29" s="12" t="s">
        <v>64</v>
      </c>
      <c r="C29" s="21"/>
      <c r="D29" s="21"/>
      <c r="E29" s="21">
        <v>2153</v>
      </c>
      <c r="F29" s="21">
        <v>1193</v>
      </c>
      <c r="G29" s="21">
        <f>E29</f>
        <v>2153</v>
      </c>
      <c r="H29" s="21">
        <f>G29</f>
        <v>2153</v>
      </c>
    </row>
    <row r="30" spans="1:8" s="50" customFormat="1" ht="37.5" x14ac:dyDescent="0.25">
      <c r="A30" s="11" t="s">
        <v>99</v>
      </c>
      <c r="B30" s="12" t="s">
        <v>186</v>
      </c>
      <c r="C30" s="21"/>
      <c r="D30" s="21"/>
      <c r="E30" s="21">
        <v>428</v>
      </c>
      <c r="F30" s="21">
        <v>363</v>
      </c>
      <c r="G30" s="21">
        <f>E30</f>
        <v>428</v>
      </c>
      <c r="H30" s="21">
        <f>G30</f>
        <v>428</v>
      </c>
    </row>
    <row r="31" spans="1:8" s="50" customFormat="1" x14ac:dyDescent="0.25">
      <c r="A31" s="11" t="s">
        <v>99</v>
      </c>
      <c r="B31" s="12" t="s">
        <v>14</v>
      </c>
      <c r="C31" s="21"/>
      <c r="D31" s="21"/>
      <c r="E31" s="21">
        <f>+E29-E30</f>
        <v>1725</v>
      </c>
      <c r="F31" s="21">
        <f>+F29-F30</f>
        <v>830</v>
      </c>
      <c r="G31" s="21">
        <f>+G29-G30</f>
        <v>1725</v>
      </c>
      <c r="H31" s="21">
        <f>+H29-H30</f>
        <v>1725</v>
      </c>
    </row>
    <row r="32" spans="1:8" s="142" customFormat="1" ht="21" customHeight="1" x14ac:dyDescent="0.25">
      <c r="A32" s="139" t="s">
        <v>51</v>
      </c>
      <c r="B32" s="140" t="s">
        <v>10</v>
      </c>
      <c r="C32" s="141"/>
      <c r="D32" s="141"/>
      <c r="E32" s="141">
        <f>+E33+E37-E38</f>
        <v>4986</v>
      </c>
      <c r="F32" s="141">
        <f>+F33+F37-F38</f>
        <v>5641</v>
      </c>
      <c r="G32" s="141">
        <f>+G33+G37-G38</f>
        <v>5428</v>
      </c>
      <c r="H32" s="141">
        <f>+H33+H37-H38</f>
        <v>5560</v>
      </c>
    </row>
    <row r="33" spans="1:8" ht="56.25" x14ac:dyDescent="0.25">
      <c r="A33" s="58">
        <v>1</v>
      </c>
      <c r="B33" s="59" t="s">
        <v>1185</v>
      </c>
      <c r="C33" s="60"/>
      <c r="D33" s="60"/>
      <c r="E33" s="60">
        <f>SUM(E34:E36)</f>
        <v>4776</v>
      </c>
      <c r="F33" s="60">
        <f t="shared" ref="F33:H33" si="1">SUM(F34:F36)</f>
        <v>5091</v>
      </c>
      <c r="G33" s="60">
        <f t="shared" si="1"/>
        <v>5236</v>
      </c>
      <c r="H33" s="60">
        <f t="shared" si="1"/>
        <v>5368</v>
      </c>
    </row>
    <row r="34" spans="1:8" x14ac:dyDescent="0.25">
      <c r="A34" s="58"/>
      <c r="B34" s="59" t="s">
        <v>1466</v>
      </c>
      <c r="C34" s="60">
        <v>49</v>
      </c>
      <c r="D34" s="61">
        <v>45</v>
      </c>
      <c r="E34" s="60">
        <v>4528</v>
      </c>
      <c r="F34" s="60">
        <v>4642</v>
      </c>
      <c r="G34" s="60">
        <f>ROUND(F34+C34*0.3*8.8,0)</f>
        <v>4771</v>
      </c>
      <c r="H34" s="60">
        <f>ROUND(G34+D34*0.3*8.8,0)</f>
        <v>4890</v>
      </c>
    </row>
    <row r="35" spans="1:8" x14ac:dyDescent="0.25">
      <c r="A35" s="58"/>
      <c r="B35" s="59" t="s">
        <v>1333</v>
      </c>
      <c r="C35" s="60"/>
      <c r="D35" s="61"/>
      <c r="E35" s="60"/>
      <c r="F35" s="60">
        <v>207</v>
      </c>
      <c r="G35" s="60">
        <f>F35</f>
        <v>207</v>
      </c>
      <c r="H35" s="60">
        <f>G35</f>
        <v>207</v>
      </c>
    </row>
    <row r="36" spans="1:8" ht="37.5" x14ac:dyDescent="0.25">
      <c r="A36" s="58"/>
      <c r="B36" s="59" t="s">
        <v>1079</v>
      </c>
      <c r="C36" s="60">
        <v>6</v>
      </c>
      <c r="D36" s="60">
        <v>5</v>
      </c>
      <c r="E36" s="60">
        <v>248</v>
      </c>
      <c r="F36" s="60">
        <v>242</v>
      </c>
      <c r="G36" s="60">
        <f>ROUND(F36+C36*0.3*8.8,0)</f>
        <v>258</v>
      </c>
      <c r="H36" s="60">
        <f>ROUND(G36+D36*0.3*8.8,0)</f>
        <v>271</v>
      </c>
    </row>
    <row r="37" spans="1:8" ht="37.5" x14ac:dyDescent="0.25">
      <c r="A37" s="58">
        <v>2</v>
      </c>
      <c r="B37" s="59" t="s">
        <v>1467</v>
      </c>
      <c r="C37" s="60">
        <v>49</v>
      </c>
      <c r="D37" s="60"/>
      <c r="E37" s="60">
        <v>1000</v>
      </c>
      <c r="F37" s="60">
        <f>C37*20</f>
        <v>980</v>
      </c>
      <c r="G37" s="60">
        <f>F37</f>
        <v>980</v>
      </c>
      <c r="H37" s="60">
        <f>G37</f>
        <v>980</v>
      </c>
    </row>
    <row r="38" spans="1:8" x14ac:dyDescent="0.25">
      <c r="A38" s="58">
        <v>3</v>
      </c>
      <c r="B38" s="59" t="s">
        <v>1092</v>
      </c>
      <c r="C38" s="60"/>
      <c r="D38" s="60"/>
      <c r="E38" s="60">
        <f>SUM(E39:E40)</f>
        <v>790</v>
      </c>
      <c r="F38" s="60">
        <f>SUM(F39:F40)</f>
        <v>430</v>
      </c>
      <c r="G38" s="60">
        <f>SUM(G39:G40)</f>
        <v>788</v>
      </c>
      <c r="H38" s="60">
        <f>SUM(H39:H40)</f>
        <v>788</v>
      </c>
    </row>
    <row r="39" spans="1:8" x14ac:dyDescent="0.25">
      <c r="A39" s="58"/>
      <c r="B39" s="59" t="s">
        <v>969</v>
      </c>
      <c r="C39" s="60"/>
      <c r="D39" s="60"/>
      <c r="E39" s="60">
        <v>100</v>
      </c>
      <c r="F39" s="60">
        <v>98</v>
      </c>
      <c r="G39" s="60">
        <f>F39</f>
        <v>98</v>
      </c>
      <c r="H39" s="60">
        <f>G39</f>
        <v>98</v>
      </c>
    </row>
    <row r="40" spans="1:8" x14ac:dyDescent="0.25">
      <c r="A40" s="58"/>
      <c r="B40" s="12" t="s">
        <v>968</v>
      </c>
      <c r="C40" s="60"/>
      <c r="D40" s="60"/>
      <c r="E40" s="60">
        <f>E31*40%</f>
        <v>690</v>
      </c>
      <c r="F40" s="60">
        <f>F31*0.4</f>
        <v>332</v>
      </c>
      <c r="G40" s="60">
        <f>E40</f>
        <v>690</v>
      </c>
      <c r="H40" s="60">
        <f>G40</f>
        <v>690</v>
      </c>
    </row>
    <row r="41" spans="1:8" s="142" customFormat="1" ht="19.5" x14ac:dyDescent="0.25">
      <c r="A41" s="139" t="s">
        <v>52</v>
      </c>
      <c r="B41" s="140" t="s">
        <v>11</v>
      </c>
      <c r="C41" s="141"/>
      <c r="D41" s="141"/>
      <c r="E41" s="141">
        <f>E42+E56+E58</f>
        <v>3472</v>
      </c>
      <c r="F41" s="141">
        <f t="shared" ref="F41:H41" si="2">F42+F56+F58</f>
        <v>1436</v>
      </c>
      <c r="G41" s="141">
        <f t="shared" si="2"/>
        <v>403</v>
      </c>
      <c r="H41" s="141">
        <f t="shared" si="2"/>
        <v>403</v>
      </c>
    </row>
    <row r="42" spans="1:8" s="50" customFormat="1" x14ac:dyDescent="0.25">
      <c r="A42" s="62"/>
      <c r="B42" s="63" t="s">
        <v>526</v>
      </c>
      <c r="C42" s="64"/>
      <c r="D42" s="64"/>
      <c r="E42" s="64">
        <f>SUM(E43:E55)</f>
        <v>1446</v>
      </c>
      <c r="F42" s="64">
        <f>SUM(F43:F55)</f>
        <v>1336</v>
      </c>
      <c r="G42" s="64">
        <f>SUM(G43:G55)</f>
        <v>303</v>
      </c>
      <c r="H42" s="64">
        <f>SUM(H43:H55)</f>
        <v>303</v>
      </c>
    </row>
    <row r="43" spans="1:8" ht="19.5" x14ac:dyDescent="0.25">
      <c r="A43" s="139" t="s">
        <v>99</v>
      </c>
      <c r="B43" s="59" t="s">
        <v>482</v>
      </c>
      <c r="C43" s="60"/>
      <c r="D43" s="60"/>
      <c r="E43" s="60">
        <v>15</v>
      </c>
      <c r="F43" s="60">
        <f>E43</f>
        <v>15</v>
      </c>
      <c r="G43" s="60">
        <f>E43</f>
        <v>15</v>
      </c>
      <c r="H43" s="60">
        <f>G43</f>
        <v>15</v>
      </c>
    </row>
    <row r="44" spans="1:8" ht="37.5" x14ac:dyDescent="0.25">
      <c r="A44" s="139" t="s">
        <v>99</v>
      </c>
      <c r="B44" s="59" t="s">
        <v>181</v>
      </c>
      <c r="C44" s="60"/>
      <c r="D44" s="60"/>
      <c r="E44" s="60">
        <v>150</v>
      </c>
      <c r="F44" s="60">
        <f>E44</f>
        <v>150</v>
      </c>
      <c r="G44" s="60">
        <v>150</v>
      </c>
      <c r="H44" s="60">
        <v>150</v>
      </c>
    </row>
    <row r="45" spans="1:8" ht="19.5" x14ac:dyDescent="0.25">
      <c r="A45" s="139" t="s">
        <v>99</v>
      </c>
      <c r="B45" s="59" t="s">
        <v>183</v>
      </c>
      <c r="C45" s="60"/>
      <c r="D45" s="60"/>
      <c r="E45" s="60">
        <v>36</v>
      </c>
      <c r="F45" s="60">
        <v>40</v>
      </c>
      <c r="G45" s="60">
        <v>29</v>
      </c>
      <c r="H45" s="60">
        <v>29</v>
      </c>
    </row>
    <row r="46" spans="1:8" ht="19.5" x14ac:dyDescent="0.25">
      <c r="A46" s="139" t="s">
        <v>99</v>
      </c>
      <c r="B46" s="59" t="s">
        <v>1491</v>
      </c>
      <c r="C46" s="60"/>
      <c r="D46" s="60"/>
      <c r="E46" s="60">
        <v>29</v>
      </c>
      <c r="F46" s="60">
        <f>E46+25</f>
        <v>54</v>
      </c>
      <c r="G46" s="60">
        <v>29</v>
      </c>
      <c r="H46" s="60">
        <v>29</v>
      </c>
    </row>
    <row r="47" spans="1:8" ht="19.5" x14ac:dyDescent="0.25">
      <c r="A47" s="139" t="s">
        <v>99</v>
      </c>
      <c r="B47" s="59" t="s">
        <v>114</v>
      </c>
      <c r="C47" s="60"/>
      <c r="D47" s="60"/>
      <c r="E47" s="60">
        <v>30</v>
      </c>
      <c r="F47" s="60">
        <v>20</v>
      </c>
      <c r="G47" s="60"/>
      <c r="H47" s="60"/>
    </row>
    <row r="48" spans="1:8" ht="19.5" x14ac:dyDescent="0.25">
      <c r="A48" s="139" t="s">
        <v>99</v>
      </c>
      <c r="B48" s="59" t="s">
        <v>520</v>
      </c>
      <c r="C48" s="60"/>
      <c r="D48" s="60"/>
      <c r="E48" s="60">
        <v>385</v>
      </c>
      <c r="F48" s="60"/>
      <c r="G48" s="60"/>
      <c r="H48" s="60"/>
    </row>
    <row r="49" spans="1:8" ht="19.5" x14ac:dyDescent="0.25">
      <c r="A49" s="139" t="s">
        <v>99</v>
      </c>
      <c r="B49" s="59" t="s">
        <v>513</v>
      </c>
      <c r="C49" s="60"/>
      <c r="D49" s="60"/>
      <c r="E49" s="60">
        <v>32</v>
      </c>
      <c r="F49" s="60">
        <v>32</v>
      </c>
      <c r="G49" s="60"/>
      <c r="H49" s="60"/>
    </row>
    <row r="50" spans="1:8" ht="19.5" x14ac:dyDescent="0.25">
      <c r="A50" s="139" t="s">
        <v>99</v>
      </c>
      <c r="B50" s="59" t="s">
        <v>514</v>
      </c>
      <c r="C50" s="60"/>
      <c r="D50" s="60"/>
      <c r="E50" s="60">
        <v>80</v>
      </c>
      <c r="F50" s="60">
        <f>E50</f>
        <v>80</v>
      </c>
      <c r="G50" s="60">
        <f>E50</f>
        <v>80</v>
      </c>
      <c r="H50" s="60">
        <f>G50</f>
        <v>80</v>
      </c>
    </row>
    <row r="51" spans="1:8" ht="56.25" x14ac:dyDescent="0.25">
      <c r="A51" s="139" t="s">
        <v>99</v>
      </c>
      <c r="B51" s="59" t="s">
        <v>529</v>
      </c>
      <c r="C51" s="60"/>
      <c r="D51" s="60"/>
      <c r="E51" s="60">
        <v>50</v>
      </c>
      <c r="F51" s="60">
        <v>50</v>
      </c>
      <c r="G51" s="60"/>
      <c r="H51" s="60"/>
    </row>
    <row r="52" spans="1:8" ht="75" x14ac:dyDescent="0.25">
      <c r="A52" s="139" t="s">
        <v>99</v>
      </c>
      <c r="B52" s="59" t="s">
        <v>521</v>
      </c>
      <c r="C52" s="60"/>
      <c r="D52" s="60"/>
      <c r="E52" s="60">
        <v>392</v>
      </c>
      <c r="F52" s="60">
        <v>182</v>
      </c>
      <c r="G52" s="60"/>
      <c r="H52" s="60"/>
    </row>
    <row r="53" spans="1:8" ht="75" x14ac:dyDescent="0.25">
      <c r="A53" s="58" t="s">
        <v>99</v>
      </c>
      <c r="B53" s="59" t="s">
        <v>522</v>
      </c>
      <c r="C53" s="60"/>
      <c r="D53" s="60"/>
      <c r="E53" s="60">
        <f>60+64+5+10+108</f>
        <v>247</v>
      </c>
      <c r="F53" s="60"/>
      <c r="G53" s="60"/>
      <c r="H53" s="60"/>
    </row>
    <row r="54" spans="1:8" ht="75" x14ac:dyDescent="0.25">
      <c r="A54" s="58" t="s">
        <v>99</v>
      </c>
      <c r="B54" s="59" t="s">
        <v>1492</v>
      </c>
      <c r="C54" s="60"/>
      <c r="D54" s="60"/>
      <c r="E54" s="60"/>
      <c r="F54" s="60">
        <f>140+30+20+60+30+5</f>
        <v>285</v>
      </c>
      <c r="G54" s="60"/>
      <c r="H54" s="60"/>
    </row>
    <row r="55" spans="1:8" ht="37.5" x14ac:dyDescent="0.25">
      <c r="A55" s="58" t="s">
        <v>99</v>
      </c>
      <c r="B55" s="59" t="s">
        <v>1493</v>
      </c>
      <c r="C55" s="60"/>
      <c r="D55" s="60"/>
      <c r="E55" s="60"/>
      <c r="F55" s="60">
        <v>428</v>
      </c>
      <c r="G55" s="60"/>
      <c r="H55" s="60"/>
    </row>
    <row r="56" spans="1:8" x14ac:dyDescent="0.25">
      <c r="A56" s="167"/>
      <c r="B56" s="63" t="s">
        <v>527</v>
      </c>
      <c r="C56" s="60"/>
      <c r="D56" s="60"/>
      <c r="E56" s="64">
        <f>E57</f>
        <v>100</v>
      </c>
      <c r="F56" s="64">
        <f>F57</f>
        <v>100</v>
      </c>
      <c r="G56" s="64">
        <f>G57</f>
        <v>100</v>
      </c>
      <c r="H56" s="64">
        <f>H57</f>
        <v>100</v>
      </c>
    </row>
    <row r="57" spans="1:8" ht="56.25" x14ac:dyDescent="0.25">
      <c r="A57" s="58" t="s">
        <v>99</v>
      </c>
      <c r="B57" s="59" t="s">
        <v>512</v>
      </c>
      <c r="C57" s="60"/>
      <c r="D57" s="60"/>
      <c r="E57" s="60">
        <v>100</v>
      </c>
      <c r="F57" s="60">
        <v>100</v>
      </c>
      <c r="G57" s="60">
        <f>E57</f>
        <v>100</v>
      </c>
      <c r="H57" s="60">
        <f>G57</f>
        <v>100</v>
      </c>
    </row>
    <row r="58" spans="1:8" x14ac:dyDescent="0.25">
      <c r="A58" s="167"/>
      <c r="B58" s="63" t="s">
        <v>528</v>
      </c>
      <c r="C58" s="60"/>
      <c r="D58" s="60"/>
      <c r="E58" s="64">
        <f>SUM(E59:E61)</f>
        <v>1926</v>
      </c>
      <c r="F58" s="64">
        <f>SUM(F59:F61)</f>
        <v>0</v>
      </c>
      <c r="G58" s="64">
        <f>SUM(G59:G61)</f>
        <v>0</v>
      </c>
      <c r="H58" s="64">
        <f>SUM(H59:H61)</f>
        <v>0</v>
      </c>
    </row>
    <row r="59" spans="1:8" ht="37.5" x14ac:dyDescent="0.25">
      <c r="A59" s="169" t="s">
        <v>99</v>
      </c>
      <c r="B59" s="59" t="s">
        <v>523</v>
      </c>
      <c r="C59" s="60"/>
      <c r="D59" s="60"/>
      <c r="E59" s="60">
        <v>300</v>
      </c>
      <c r="F59" s="60"/>
      <c r="G59" s="60"/>
      <c r="H59" s="60"/>
    </row>
    <row r="60" spans="1:8" x14ac:dyDescent="0.25">
      <c r="A60" s="169" t="s">
        <v>99</v>
      </c>
      <c r="B60" s="59" t="s">
        <v>524</v>
      </c>
      <c r="C60" s="60"/>
      <c r="D60" s="60"/>
      <c r="E60" s="60">
        <v>1210</v>
      </c>
      <c r="F60" s="60"/>
      <c r="G60" s="60"/>
      <c r="H60" s="60"/>
    </row>
    <row r="61" spans="1:8" ht="56.25" x14ac:dyDescent="0.25">
      <c r="A61" s="169" t="s">
        <v>99</v>
      </c>
      <c r="B61" s="59" t="s">
        <v>525</v>
      </c>
      <c r="C61" s="60"/>
      <c r="D61" s="60"/>
      <c r="E61" s="60">
        <f>183+233</f>
        <v>416</v>
      </c>
      <c r="F61" s="60"/>
      <c r="G61" s="60"/>
      <c r="H61" s="60"/>
    </row>
    <row r="62" spans="1:8" x14ac:dyDescent="0.25">
      <c r="A62" s="62" t="s">
        <v>7</v>
      </c>
      <c r="B62" s="63" t="s">
        <v>511</v>
      </c>
      <c r="C62" s="60"/>
      <c r="D62" s="60"/>
      <c r="E62" s="64">
        <f>E63+E67</f>
        <v>726</v>
      </c>
      <c r="F62" s="64">
        <f>F63+F67</f>
        <v>816</v>
      </c>
      <c r="G62" s="64">
        <f>G63+G67</f>
        <v>712</v>
      </c>
      <c r="H62" s="64">
        <f>H63+H67</f>
        <v>728</v>
      </c>
    </row>
    <row r="63" spans="1:8" s="50" customFormat="1" ht="21" customHeight="1" x14ac:dyDescent="0.25">
      <c r="A63" s="62" t="s">
        <v>51</v>
      </c>
      <c r="B63" s="63" t="s">
        <v>1078</v>
      </c>
      <c r="C63" s="64"/>
      <c r="D63" s="64"/>
      <c r="E63" s="64">
        <f>+E64+E65-E66</f>
        <v>646</v>
      </c>
      <c r="F63" s="64">
        <f>+F64+F65-F66</f>
        <v>722</v>
      </c>
      <c r="G63" s="64">
        <f>+G64+G65-G66</f>
        <v>662</v>
      </c>
      <c r="H63" s="64">
        <f>+H64+H65-H66</f>
        <v>678</v>
      </c>
    </row>
    <row r="64" spans="1:8" ht="37.5" x14ac:dyDescent="0.25">
      <c r="A64" s="58">
        <v>1</v>
      </c>
      <c r="B64" s="59" t="s">
        <v>1111</v>
      </c>
      <c r="C64" s="60">
        <v>6</v>
      </c>
      <c r="D64" s="61">
        <v>6</v>
      </c>
      <c r="E64" s="60">
        <v>543</v>
      </c>
      <c r="F64" s="60">
        <v>619</v>
      </c>
      <c r="G64" s="60">
        <f>ROUND(E64+C64*0.3*8.8,0)</f>
        <v>559</v>
      </c>
      <c r="H64" s="60">
        <f>ROUND(G64+C64*0.3*8.8,0)</f>
        <v>575</v>
      </c>
    </row>
    <row r="65" spans="1:8" ht="37.5" x14ac:dyDescent="0.25">
      <c r="A65" s="58">
        <v>2</v>
      </c>
      <c r="B65" s="59" t="s">
        <v>530</v>
      </c>
      <c r="C65" s="60">
        <v>6</v>
      </c>
      <c r="D65" s="60"/>
      <c r="E65" s="60">
        <f>C65*19</f>
        <v>114</v>
      </c>
      <c r="F65" s="60">
        <f>C65*19</f>
        <v>114</v>
      </c>
      <c r="G65" s="60">
        <f>E65</f>
        <v>114</v>
      </c>
      <c r="H65" s="60">
        <f>G65</f>
        <v>114</v>
      </c>
    </row>
    <row r="66" spans="1:8" ht="37.5" x14ac:dyDescent="0.25">
      <c r="A66" s="58">
        <v>3</v>
      </c>
      <c r="B66" s="59" t="s">
        <v>103</v>
      </c>
      <c r="C66" s="60"/>
      <c r="D66" s="60"/>
      <c r="E66" s="60">
        <v>11</v>
      </c>
      <c r="F66" s="60">
        <v>11</v>
      </c>
      <c r="G66" s="60">
        <f>F66</f>
        <v>11</v>
      </c>
      <c r="H66" s="60">
        <f>G66</f>
        <v>11</v>
      </c>
    </row>
    <row r="67" spans="1:8" s="50" customFormat="1" x14ac:dyDescent="0.25">
      <c r="A67" s="62" t="s">
        <v>52</v>
      </c>
      <c r="B67" s="63" t="s">
        <v>11</v>
      </c>
      <c r="C67" s="64"/>
      <c r="D67" s="64"/>
      <c r="E67" s="64">
        <f>SUM(E68:E70)</f>
        <v>80</v>
      </c>
      <c r="F67" s="64">
        <f t="shared" ref="F67:H67" si="3">SUM(F68:F70)</f>
        <v>94</v>
      </c>
      <c r="G67" s="64">
        <f t="shared" si="3"/>
        <v>50</v>
      </c>
      <c r="H67" s="64">
        <f t="shared" si="3"/>
        <v>50</v>
      </c>
    </row>
    <row r="68" spans="1:8" ht="37.5" x14ac:dyDescent="0.25">
      <c r="A68" s="170" t="s">
        <v>510</v>
      </c>
      <c r="B68" s="59" t="s">
        <v>531</v>
      </c>
      <c r="C68" s="60"/>
      <c r="D68" s="60"/>
      <c r="E68" s="60">
        <f>15+10+5</f>
        <v>30</v>
      </c>
      <c r="F68" s="60"/>
      <c r="G68" s="60"/>
      <c r="H68" s="60"/>
    </row>
    <row r="69" spans="1:8" ht="37.5" x14ac:dyDescent="0.25">
      <c r="A69" s="170" t="s">
        <v>510</v>
      </c>
      <c r="B69" s="59" t="s">
        <v>1494</v>
      </c>
      <c r="C69" s="60"/>
      <c r="D69" s="60"/>
      <c r="E69" s="60"/>
      <c r="F69" s="60">
        <v>44</v>
      </c>
      <c r="G69" s="60"/>
      <c r="H69" s="60"/>
    </row>
    <row r="70" spans="1:8" ht="19.5" x14ac:dyDescent="0.25">
      <c r="A70" s="170" t="s">
        <v>510</v>
      </c>
      <c r="B70" s="59" t="s">
        <v>519</v>
      </c>
      <c r="C70" s="60"/>
      <c r="D70" s="60"/>
      <c r="E70" s="60">
        <v>50</v>
      </c>
      <c r="F70" s="60">
        <v>50</v>
      </c>
      <c r="G70" s="60">
        <f>E70</f>
        <v>50</v>
      </c>
      <c r="H70" s="60">
        <f>G70</f>
        <v>50</v>
      </c>
    </row>
    <row r="71" spans="1:8" s="50" customFormat="1" ht="37.5" x14ac:dyDescent="0.25">
      <c r="A71" s="62" t="s">
        <v>16</v>
      </c>
      <c r="B71" s="63" t="s">
        <v>1490</v>
      </c>
      <c r="C71" s="64"/>
      <c r="D71" s="64"/>
      <c r="E71" s="64">
        <v>1100</v>
      </c>
      <c r="F71" s="64">
        <f>F74+F75-F76-F79</f>
        <v>800</v>
      </c>
      <c r="G71" s="64">
        <f t="shared" ref="G71:H71" si="4">G74+G75-G76-G79</f>
        <v>0</v>
      </c>
      <c r="H71" s="64">
        <f t="shared" si="4"/>
        <v>0</v>
      </c>
    </row>
    <row r="72" spans="1:8" x14ac:dyDescent="0.25">
      <c r="A72" s="58"/>
      <c r="B72" s="59" t="s">
        <v>1485</v>
      </c>
      <c r="C72" s="60"/>
      <c r="D72" s="61"/>
      <c r="E72" s="60">
        <v>2500</v>
      </c>
      <c r="F72" s="60">
        <v>2700</v>
      </c>
      <c r="G72" s="60"/>
      <c r="H72" s="60"/>
    </row>
    <row r="73" spans="1:8" ht="37.5" x14ac:dyDescent="0.25">
      <c r="A73" s="58"/>
      <c r="B73" s="59" t="s">
        <v>1486</v>
      </c>
      <c r="C73" s="60"/>
      <c r="D73" s="60"/>
      <c r="E73" s="60"/>
      <c r="F73" s="60">
        <f>-45+2000</f>
        <v>1955</v>
      </c>
      <c r="G73" s="60"/>
      <c r="H73" s="60"/>
    </row>
    <row r="74" spans="1:8" ht="37.5" x14ac:dyDescent="0.25">
      <c r="A74" s="58">
        <v>1</v>
      </c>
      <c r="B74" s="59" t="s">
        <v>1487</v>
      </c>
      <c r="C74" s="60">
        <v>33</v>
      </c>
      <c r="D74" s="60"/>
      <c r="E74" s="60">
        <v>1831</v>
      </c>
      <c r="F74" s="60">
        <v>2190</v>
      </c>
      <c r="G74" s="60"/>
      <c r="H74" s="60"/>
    </row>
    <row r="75" spans="1:8" x14ac:dyDescent="0.25">
      <c r="A75" s="58">
        <v>2</v>
      </c>
      <c r="B75" s="59" t="s">
        <v>1488</v>
      </c>
      <c r="C75" s="60"/>
      <c r="D75" s="60"/>
      <c r="E75" s="60"/>
      <c r="F75" s="60">
        <f>33*19</f>
        <v>627</v>
      </c>
      <c r="G75" s="60"/>
      <c r="H75" s="60"/>
    </row>
    <row r="76" spans="1:8" x14ac:dyDescent="0.25">
      <c r="A76" s="58">
        <v>3</v>
      </c>
      <c r="B76" s="59" t="s">
        <v>1092</v>
      </c>
      <c r="C76" s="60"/>
      <c r="D76" s="60"/>
      <c r="E76" s="60"/>
      <c r="F76" s="60">
        <f>SUM(F77:F78)</f>
        <v>844</v>
      </c>
      <c r="G76" s="60"/>
      <c r="H76" s="60"/>
    </row>
    <row r="77" spans="1:8" x14ac:dyDescent="0.25">
      <c r="A77" s="58"/>
      <c r="B77" s="59" t="s">
        <v>968</v>
      </c>
      <c r="C77" s="60"/>
      <c r="D77" s="60"/>
      <c r="E77" s="60"/>
      <c r="F77" s="60">
        <f>F73*0.4</f>
        <v>782</v>
      </c>
      <c r="G77" s="60"/>
      <c r="H77" s="60"/>
    </row>
    <row r="78" spans="1:8" x14ac:dyDescent="0.25">
      <c r="A78" s="58"/>
      <c r="B78" s="59" t="s">
        <v>969</v>
      </c>
      <c r="C78" s="60"/>
      <c r="D78" s="60"/>
      <c r="E78" s="60"/>
      <c r="F78" s="60">
        <v>62</v>
      </c>
      <c r="G78" s="60"/>
      <c r="H78" s="60"/>
    </row>
    <row r="79" spans="1:8" x14ac:dyDescent="0.25">
      <c r="A79" s="58">
        <v>4</v>
      </c>
      <c r="B79" s="59" t="s">
        <v>1489</v>
      </c>
      <c r="C79" s="60"/>
      <c r="D79" s="60"/>
      <c r="E79" s="60"/>
      <c r="F79" s="60">
        <f>F73-F77</f>
        <v>1173</v>
      </c>
      <c r="G79" s="60"/>
      <c r="H79" s="60"/>
    </row>
    <row r="80" spans="1:8" s="50" customFormat="1" ht="21" customHeight="1" x14ac:dyDescent="0.25">
      <c r="A80" s="62" t="s">
        <v>418</v>
      </c>
      <c r="B80" s="63" t="s">
        <v>1477</v>
      </c>
      <c r="C80" s="64"/>
      <c r="D80" s="64"/>
      <c r="E80" s="64"/>
      <c r="F80" s="64">
        <f>F88</f>
        <v>542</v>
      </c>
      <c r="G80" s="64"/>
      <c r="H80" s="64"/>
    </row>
    <row r="81" spans="1:8" hidden="1" x14ac:dyDescent="0.25">
      <c r="A81" s="58"/>
      <c r="B81" s="59" t="s">
        <v>1478</v>
      </c>
      <c r="C81" s="60"/>
      <c r="D81" s="60"/>
      <c r="E81" s="60"/>
      <c r="F81" s="60">
        <f>1500*80000/1000000*12</f>
        <v>1440</v>
      </c>
      <c r="G81" s="60"/>
      <c r="H81" s="60"/>
    </row>
    <row r="82" spans="1:8" ht="37.5" hidden="1" x14ac:dyDescent="0.25">
      <c r="A82" s="58"/>
      <c r="B82" s="59" t="s">
        <v>1481</v>
      </c>
      <c r="C82" s="60"/>
      <c r="D82" s="60"/>
      <c r="E82" s="60"/>
      <c r="F82" s="60">
        <f>ROUND(F81*0.6,0)</f>
        <v>864</v>
      </c>
      <c r="G82" s="60"/>
      <c r="H82" s="60"/>
    </row>
    <row r="83" spans="1:8" hidden="1" x14ac:dyDescent="0.25">
      <c r="A83" s="58"/>
      <c r="B83" s="59" t="s">
        <v>1480</v>
      </c>
      <c r="C83" s="60"/>
      <c r="D83" s="61"/>
      <c r="E83" s="60"/>
      <c r="F83" s="60">
        <f>39*0.805*12</f>
        <v>376.74</v>
      </c>
      <c r="G83" s="60"/>
      <c r="H83" s="60"/>
    </row>
    <row r="84" spans="1:8" ht="37.5" hidden="1" x14ac:dyDescent="0.25">
      <c r="A84" s="58"/>
      <c r="B84" s="59" t="s">
        <v>1481</v>
      </c>
      <c r="C84" s="60"/>
      <c r="D84" s="60"/>
      <c r="E84" s="60"/>
      <c r="F84" s="60">
        <f>F83-8</f>
        <v>368.74</v>
      </c>
      <c r="G84" s="60"/>
      <c r="H84" s="60"/>
    </row>
    <row r="85" spans="1:8" hidden="1" x14ac:dyDescent="0.25">
      <c r="A85" s="58"/>
      <c r="B85" s="59" t="s">
        <v>1482</v>
      </c>
      <c r="C85" s="60"/>
      <c r="D85" s="60"/>
      <c r="E85" s="60"/>
      <c r="F85" s="60">
        <f>F82+F84</f>
        <v>1232.74</v>
      </c>
      <c r="G85" s="60"/>
      <c r="H85" s="60"/>
    </row>
    <row r="86" spans="1:8" x14ac:dyDescent="0.25">
      <c r="A86" s="58"/>
      <c r="B86" s="59" t="s">
        <v>1479</v>
      </c>
      <c r="C86" s="60"/>
      <c r="D86" s="60"/>
      <c r="E86" s="60"/>
      <c r="F86" s="60">
        <v>910</v>
      </c>
      <c r="G86" s="60"/>
      <c r="H86" s="60"/>
    </row>
    <row r="87" spans="1:8" ht="37.5" x14ac:dyDescent="0.25">
      <c r="A87" s="58"/>
      <c r="B87" s="59" t="s">
        <v>1483</v>
      </c>
      <c r="C87" s="60"/>
      <c r="D87" s="60"/>
      <c r="E87" s="60"/>
      <c r="F87" s="60">
        <v>1452</v>
      </c>
      <c r="G87" s="60"/>
      <c r="H87" s="60"/>
    </row>
    <row r="88" spans="1:8" x14ac:dyDescent="0.25">
      <c r="A88" s="58"/>
      <c r="B88" s="59" t="s">
        <v>1484</v>
      </c>
      <c r="C88" s="60"/>
      <c r="D88" s="60"/>
      <c r="E88" s="60"/>
      <c r="F88" s="60">
        <f>F87-F86</f>
        <v>542</v>
      </c>
      <c r="G88" s="60"/>
      <c r="H88" s="60"/>
    </row>
    <row r="89" spans="1:8" x14ac:dyDescent="0.25">
      <c r="A89" s="67"/>
      <c r="B89" s="68"/>
      <c r="C89" s="69"/>
      <c r="D89" s="69"/>
      <c r="E89" s="69"/>
      <c r="F89" s="69"/>
      <c r="G89" s="69"/>
      <c r="H89" s="69"/>
    </row>
    <row r="90" spans="1:8" ht="40.5" customHeight="1" x14ac:dyDescent="0.25">
      <c r="A90" s="70"/>
      <c r="B90" s="575" t="s">
        <v>1495</v>
      </c>
      <c r="C90" s="575"/>
      <c r="D90" s="575"/>
      <c r="E90" s="575"/>
      <c r="F90" s="575"/>
      <c r="G90" s="575"/>
      <c r="H90" s="575"/>
    </row>
    <row r="91" spans="1:8" x14ac:dyDescent="0.25">
      <c r="B91" s="49" t="s">
        <v>1442</v>
      </c>
    </row>
    <row r="93" spans="1:8" x14ac:dyDescent="0.25">
      <c r="A93" s="568" t="s">
        <v>36</v>
      </c>
      <c r="B93" s="568"/>
      <c r="D93" s="568" t="s">
        <v>37</v>
      </c>
      <c r="E93" s="568"/>
      <c r="F93" s="568"/>
      <c r="G93" s="568"/>
      <c r="H93" s="568"/>
    </row>
  </sheetData>
  <mergeCells count="14">
    <mergeCell ref="B90:H90"/>
    <mergeCell ref="A93:B93"/>
    <mergeCell ref="D93:H93"/>
    <mergeCell ref="C10:H10"/>
    <mergeCell ref="C15:H15"/>
    <mergeCell ref="C17:H17"/>
    <mergeCell ref="C18:H18"/>
    <mergeCell ref="B24:H24"/>
    <mergeCell ref="C9:H9"/>
    <mergeCell ref="A1:H1"/>
    <mergeCell ref="B3:H3"/>
    <mergeCell ref="C6:H6"/>
    <mergeCell ref="C7:H7"/>
    <mergeCell ref="C8:H8"/>
  </mergeCells>
  <printOptions horizontalCentered="1"/>
  <pageMargins left="0" right="0" top="0.75" bottom="0.5" header="0.17" footer="0.24"/>
  <pageSetup paperSize="9" scale="90" orientation="portrait" r:id="rId1"/>
  <legacyDrawing r:id="rId2"/>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86"/>
  <sheetViews>
    <sheetView topLeftCell="A64" zoomScaleNormal="100" workbookViewId="0">
      <selection activeCell="B74" sqref="B74"/>
    </sheetView>
  </sheetViews>
  <sheetFormatPr defaultRowHeight="18.75" x14ac:dyDescent="0.25"/>
  <cols>
    <col min="1" max="1" width="4.85546875" style="49" customWidth="1"/>
    <col min="2" max="2" width="42.85546875" style="49" customWidth="1"/>
    <col min="3" max="4" width="6.7109375" style="49" customWidth="1"/>
    <col min="5" max="8" width="11.7109375" style="49" customWidth="1"/>
    <col min="9" max="16384" width="9.140625" style="49"/>
  </cols>
  <sheetData>
    <row r="1" spans="1:8" ht="41.25" customHeight="1" x14ac:dyDescent="0.25">
      <c r="A1" s="549" t="s">
        <v>1074</v>
      </c>
      <c r="B1" s="555"/>
      <c r="C1" s="555"/>
      <c r="D1" s="555"/>
      <c r="E1" s="555"/>
      <c r="F1" s="555"/>
      <c r="G1" s="555"/>
      <c r="H1" s="555"/>
    </row>
    <row r="2" spans="1:8" x14ac:dyDescent="0.25">
      <c r="A2" s="146"/>
      <c r="B2" s="146"/>
      <c r="C2" s="146"/>
      <c r="D2" s="1"/>
      <c r="E2" s="1"/>
      <c r="F2" s="1"/>
      <c r="G2" s="1"/>
      <c r="H2" s="1"/>
    </row>
    <row r="3" spans="1:8" ht="40.5" customHeight="1" x14ac:dyDescent="0.25">
      <c r="A3" s="7"/>
      <c r="B3" s="556" t="s">
        <v>1502</v>
      </c>
      <c r="C3" s="556"/>
      <c r="D3" s="556"/>
      <c r="E3" s="556"/>
      <c r="F3" s="556"/>
      <c r="G3" s="556"/>
      <c r="H3" s="556"/>
    </row>
    <row r="4" spans="1:8" x14ac:dyDescent="0.25">
      <c r="B4" s="49" t="s">
        <v>39</v>
      </c>
      <c r="D4" s="52"/>
      <c r="E4" s="52"/>
      <c r="F4" s="52"/>
      <c r="G4" s="52"/>
      <c r="H4" s="52"/>
    </row>
    <row r="5" spans="1:8" s="50" customFormat="1" x14ac:dyDescent="0.25">
      <c r="B5" s="50" t="s">
        <v>18</v>
      </c>
    </row>
    <row r="6" spans="1:8" x14ac:dyDescent="0.25">
      <c r="B6" s="49" t="s">
        <v>23</v>
      </c>
      <c r="C6" s="566" t="s">
        <v>49</v>
      </c>
      <c r="D6" s="566"/>
      <c r="E6" s="566"/>
      <c r="F6" s="566"/>
      <c r="G6" s="566"/>
      <c r="H6" s="566"/>
    </row>
    <row r="7" spans="1:8" x14ac:dyDescent="0.25">
      <c r="B7" s="49" t="s">
        <v>19</v>
      </c>
      <c r="C7" s="566" t="s">
        <v>50</v>
      </c>
      <c r="D7" s="566"/>
      <c r="E7" s="566"/>
      <c r="F7" s="566"/>
      <c r="G7" s="566"/>
      <c r="H7" s="566"/>
    </row>
    <row r="8" spans="1:8" hidden="1" x14ac:dyDescent="0.25">
      <c r="B8" s="49" t="s">
        <v>90</v>
      </c>
      <c r="C8" s="566" t="s">
        <v>60</v>
      </c>
      <c r="D8" s="566"/>
      <c r="E8" s="566"/>
      <c r="F8" s="566"/>
      <c r="G8" s="566"/>
      <c r="H8" s="566"/>
    </row>
    <row r="9" spans="1:8" x14ac:dyDescent="0.25">
      <c r="B9" s="49" t="s">
        <v>59</v>
      </c>
      <c r="C9" s="566" t="s">
        <v>60</v>
      </c>
      <c r="D9" s="566"/>
      <c r="E9" s="566"/>
      <c r="F9" s="566"/>
      <c r="G9" s="566"/>
      <c r="H9" s="566"/>
    </row>
    <row r="10" spans="1:8" hidden="1" x14ac:dyDescent="0.25">
      <c r="B10" s="49" t="s">
        <v>20</v>
      </c>
      <c r="C10" s="566" t="s">
        <v>86</v>
      </c>
      <c r="D10" s="566"/>
      <c r="E10" s="566"/>
      <c r="F10" s="566"/>
      <c r="G10" s="566"/>
      <c r="H10" s="566"/>
    </row>
    <row r="11" spans="1:8" hidden="1" x14ac:dyDescent="0.25">
      <c r="B11" s="49" t="s">
        <v>21</v>
      </c>
      <c r="C11" s="265" t="s">
        <v>87</v>
      </c>
      <c r="D11" s="265"/>
      <c r="E11" s="265"/>
      <c r="F11" s="329"/>
      <c r="G11" s="265"/>
      <c r="H11" s="265"/>
    </row>
    <row r="12" spans="1:8" x14ac:dyDescent="0.25">
      <c r="B12" s="49" t="s">
        <v>306</v>
      </c>
      <c r="C12" s="265" t="s">
        <v>88</v>
      </c>
      <c r="D12" s="265"/>
      <c r="E12" s="265"/>
      <c r="F12" s="329"/>
      <c r="G12" s="265"/>
      <c r="H12" s="265"/>
    </row>
    <row r="13" spans="1:8" hidden="1" x14ac:dyDescent="0.25">
      <c r="B13" s="49" t="s">
        <v>94</v>
      </c>
      <c r="C13" s="265" t="s">
        <v>95</v>
      </c>
      <c r="D13" s="265"/>
      <c r="E13" s="265"/>
      <c r="F13" s="329"/>
      <c r="G13" s="265"/>
      <c r="H13" s="265"/>
    </row>
    <row r="14" spans="1:8" hidden="1" x14ac:dyDescent="0.25">
      <c r="C14" s="265"/>
      <c r="D14" s="265"/>
      <c r="E14" s="265"/>
      <c r="F14" s="329"/>
      <c r="G14" s="265"/>
      <c r="H14" s="265"/>
    </row>
    <row r="15" spans="1:8" ht="18" customHeight="1" x14ac:dyDescent="0.25">
      <c r="B15" s="49" t="s">
        <v>94</v>
      </c>
      <c r="C15" s="566" t="s">
        <v>518</v>
      </c>
      <c r="D15" s="566"/>
      <c r="E15" s="566"/>
      <c r="F15" s="566"/>
      <c r="G15" s="566"/>
      <c r="H15" s="566"/>
    </row>
    <row r="16" spans="1:8" s="50" customFormat="1" x14ac:dyDescent="0.25">
      <c r="B16" s="50" t="s">
        <v>722</v>
      </c>
    </row>
    <row r="17" spans="1:8" x14ac:dyDescent="0.25">
      <c r="B17" s="49" t="s">
        <v>780</v>
      </c>
      <c r="C17" s="566" t="s">
        <v>212</v>
      </c>
      <c r="D17" s="566"/>
      <c r="E17" s="566"/>
      <c r="F17" s="566"/>
      <c r="G17" s="566"/>
      <c r="H17" s="566"/>
    </row>
    <row r="18" spans="1:8" hidden="1" x14ac:dyDescent="0.25">
      <c r="B18" s="49" t="s">
        <v>781</v>
      </c>
      <c r="C18" s="265" t="s">
        <v>691</v>
      </c>
      <c r="D18" s="265"/>
      <c r="E18" s="265"/>
      <c r="F18" s="329"/>
      <c r="G18" s="265"/>
      <c r="H18" s="265"/>
    </row>
    <row r="19" spans="1:8" x14ac:dyDescent="0.25">
      <c r="B19" s="49" t="s">
        <v>723</v>
      </c>
      <c r="C19" s="566" t="s">
        <v>334</v>
      </c>
      <c r="D19" s="566"/>
      <c r="E19" s="566"/>
      <c r="F19" s="566"/>
      <c r="G19" s="566"/>
      <c r="H19" s="566"/>
    </row>
    <row r="20" spans="1:8" hidden="1" x14ac:dyDescent="0.25">
      <c r="B20" s="49" t="s">
        <v>724</v>
      </c>
      <c r="C20" s="265" t="s">
        <v>108</v>
      </c>
      <c r="D20" s="265"/>
      <c r="E20" s="265"/>
      <c r="F20" s="329"/>
      <c r="G20" s="265"/>
      <c r="H20" s="265"/>
    </row>
    <row r="21" spans="1:8" x14ac:dyDescent="0.25">
      <c r="B21" s="49" t="s">
        <v>782</v>
      </c>
      <c r="C21" s="393" t="s">
        <v>725</v>
      </c>
      <c r="D21" s="393"/>
      <c r="E21" s="393"/>
      <c r="F21" s="393"/>
      <c r="G21" s="393"/>
      <c r="H21" s="393"/>
    </row>
    <row r="22" spans="1:8" hidden="1" x14ac:dyDescent="0.25">
      <c r="B22" s="49" t="s">
        <v>726</v>
      </c>
      <c r="C22" s="265" t="s">
        <v>727</v>
      </c>
      <c r="D22" s="265"/>
      <c r="E22" s="265"/>
      <c r="F22" s="329"/>
      <c r="G22" s="265"/>
      <c r="H22" s="265"/>
    </row>
    <row r="23" spans="1:8" x14ac:dyDescent="0.25">
      <c r="C23" s="265"/>
      <c r="D23" s="265"/>
      <c r="E23" s="265"/>
      <c r="F23" s="329"/>
      <c r="G23" s="265"/>
      <c r="H23" s="265"/>
    </row>
    <row r="24" spans="1:8" x14ac:dyDescent="0.25">
      <c r="B24" s="556" t="s">
        <v>1073</v>
      </c>
      <c r="C24" s="556"/>
      <c r="D24" s="556"/>
      <c r="E24" s="556"/>
      <c r="F24" s="556"/>
      <c r="G24" s="556"/>
      <c r="H24" s="556"/>
    </row>
    <row r="25" spans="1:8" x14ac:dyDescent="0.25">
      <c r="A25" s="54"/>
      <c r="H25" s="54" t="s">
        <v>61</v>
      </c>
    </row>
    <row r="26" spans="1:8" s="330" customFormat="1" ht="78.75" x14ac:dyDescent="0.25">
      <c r="A26" s="331" t="s">
        <v>62</v>
      </c>
      <c r="B26" s="331" t="s">
        <v>2</v>
      </c>
      <c r="C26" s="396" t="s">
        <v>1526</v>
      </c>
      <c r="D26" s="396" t="s">
        <v>1527</v>
      </c>
      <c r="E26" s="327" t="s">
        <v>1099</v>
      </c>
      <c r="F26" s="327" t="s">
        <v>9</v>
      </c>
      <c r="G26" s="327" t="s">
        <v>461</v>
      </c>
      <c r="H26" s="327" t="s">
        <v>1046</v>
      </c>
    </row>
    <row r="27" spans="1:8" s="50" customFormat="1" ht="21" customHeight="1" x14ac:dyDescent="0.25">
      <c r="A27" s="397"/>
      <c r="B27" s="397" t="s">
        <v>97</v>
      </c>
      <c r="C27" s="398"/>
      <c r="D27" s="398"/>
      <c r="E27" s="398">
        <f>E34+E43</f>
        <v>11352.384</v>
      </c>
      <c r="F27" s="398">
        <f>F34+F43</f>
        <v>13009.384</v>
      </c>
      <c r="G27" s="398">
        <f t="shared" ref="G27:H27" si="0">G34+G43</f>
        <v>8526.384</v>
      </c>
      <c r="H27" s="398">
        <f t="shared" si="0"/>
        <v>8723.384</v>
      </c>
    </row>
    <row r="28" spans="1:8" s="50" customFormat="1" x14ac:dyDescent="0.25">
      <c r="A28" s="9"/>
      <c r="B28" s="10" t="s">
        <v>737</v>
      </c>
      <c r="C28" s="20"/>
      <c r="D28" s="20"/>
      <c r="E28" s="20"/>
      <c r="F28" s="20"/>
      <c r="G28" s="20"/>
      <c r="H28" s="20"/>
    </row>
    <row r="29" spans="1:8" s="50" customFormat="1" x14ac:dyDescent="0.25">
      <c r="A29" s="11"/>
      <c r="B29" s="12" t="s">
        <v>736</v>
      </c>
      <c r="C29" s="21"/>
      <c r="D29" s="21"/>
      <c r="E29" s="21">
        <f>SUM(E30:E32)</f>
        <v>866</v>
      </c>
      <c r="F29" s="21">
        <f t="shared" ref="F29:H29" si="1">SUM(F30:F32)</f>
        <v>970</v>
      </c>
      <c r="G29" s="21">
        <f t="shared" si="1"/>
        <v>970</v>
      </c>
      <c r="H29" s="21">
        <f t="shared" si="1"/>
        <v>970</v>
      </c>
    </row>
    <row r="30" spans="1:8" s="50" customFormat="1" ht="37.5" x14ac:dyDescent="0.25">
      <c r="A30" s="11"/>
      <c r="B30" s="12" t="s">
        <v>785</v>
      </c>
      <c r="C30" s="21"/>
      <c r="D30" s="399">
        <f>F30-15</f>
        <v>655</v>
      </c>
      <c r="E30" s="21">
        <v>545</v>
      </c>
      <c r="F30" s="21">
        <v>670</v>
      </c>
      <c r="G30" s="21">
        <f t="shared" ref="G30:H33" si="2">F30</f>
        <v>670</v>
      </c>
      <c r="H30" s="21">
        <f t="shared" si="2"/>
        <v>670</v>
      </c>
    </row>
    <row r="31" spans="1:8" s="50" customFormat="1" x14ac:dyDescent="0.25">
      <c r="A31" s="11"/>
      <c r="B31" s="12" t="s">
        <v>1505</v>
      </c>
      <c r="C31" s="21"/>
      <c r="D31" s="400">
        <f>291*0.75</f>
        <v>218.25</v>
      </c>
      <c r="E31" s="21">
        <v>250</v>
      </c>
      <c r="F31" s="21">
        <v>300</v>
      </c>
      <c r="G31" s="21">
        <f t="shared" si="2"/>
        <v>300</v>
      </c>
      <c r="H31" s="21">
        <f t="shared" si="2"/>
        <v>300</v>
      </c>
    </row>
    <row r="32" spans="1:8" s="50" customFormat="1" ht="37.5" x14ac:dyDescent="0.25">
      <c r="A32" s="11"/>
      <c r="B32" s="12" t="s">
        <v>784</v>
      </c>
      <c r="C32" s="21"/>
      <c r="D32" s="21"/>
      <c r="E32" s="21">
        <v>71</v>
      </c>
      <c r="F32" s="21"/>
      <c r="G32" s="21">
        <f t="shared" si="2"/>
        <v>0</v>
      </c>
      <c r="H32" s="21">
        <f t="shared" si="2"/>
        <v>0</v>
      </c>
    </row>
    <row r="33" spans="1:10" s="50" customFormat="1" x14ac:dyDescent="0.25">
      <c r="A33" s="11"/>
      <c r="B33" s="12" t="s">
        <v>783</v>
      </c>
      <c r="C33" s="21"/>
      <c r="D33" s="21"/>
      <c r="E33" s="21">
        <f>E30+E31+E32-75</f>
        <v>791</v>
      </c>
      <c r="F33" s="21">
        <f>F30+F31-96</f>
        <v>874</v>
      </c>
      <c r="G33" s="21">
        <f t="shared" si="2"/>
        <v>874</v>
      </c>
      <c r="H33" s="21">
        <f t="shared" si="2"/>
        <v>874</v>
      </c>
    </row>
    <row r="34" spans="1:10" s="50" customFormat="1" x14ac:dyDescent="0.25">
      <c r="A34" s="62">
        <v>1</v>
      </c>
      <c r="B34" s="63" t="s">
        <v>660</v>
      </c>
      <c r="C34" s="64"/>
      <c r="D34" s="64"/>
      <c r="E34" s="64">
        <f>646+2887</f>
        <v>3533</v>
      </c>
      <c r="F34" s="64">
        <f>+F35+F39-F40</f>
        <v>3758</v>
      </c>
      <c r="G34" s="64">
        <f>+G35+G39-G40</f>
        <v>3868</v>
      </c>
      <c r="H34" s="64">
        <f>+H35+H39-H40</f>
        <v>3978</v>
      </c>
    </row>
    <row r="35" spans="1:10" ht="56.25" x14ac:dyDescent="0.25">
      <c r="A35" s="58" t="s">
        <v>53</v>
      </c>
      <c r="B35" s="59" t="s">
        <v>1504</v>
      </c>
      <c r="C35" s="60">
        <v>39</v>
      </c>
      <c r="D35" s="60">
        <v>33</v>
      </c>
      <c r="E35" s="60"/>
      <c r="F35" s="60">
        <f>SUM(F36:F38)</f>
        <v>3406</v>
      </c>
      <c r="G35" s="60">
        <f>SUM(G36:G38)</f>
        <v>3516</v>
      </c>
      <c r="H35" s="60">
        <f>SUM(H36:H38)</f>
        <v>3626</v>
      </c>
    </row>
    <row r="36" spans="1:10" x14ac:dyDescent="0.25">
      <c r="A36" s="58"/>
      <c r="B36" s="59" t="s">
        <v>1507</v>
      </c>
      <c r="C36" s="60"/>
      <c r="D36" s="60"/>
      <c r="E36" s="60"/>
      <c r="F36" s="60">
        <f>3406-F37-F38</f>
        <v>2867</v>
      </c>
      <c r="G36" s="60">
        <f>ROUND(F36+13*7.3,0)</f>
        <v>2962</v>
      </c>
      <c r="H36" s="60">
        <f>ROUND(G36+13*7.3,0)</f>
        <v>3057</v>
      </c>
    </row>
    <row r="37" spans="1:10" x14ac:dyDescent="0.25">
      <c r="A37" s="58"/>
      <c r="B37" s="59" t="s">
        <v>1240</v>
      </c>
      <c r="C37" s="60"/>
      <c r="D37" s="60"/>
      <c r="E37" s="60"/>
      <c r="F37" s="60">
        <f>52*6</f>
        <v>312</v>
      </c>
      <c r="G37" s="60">
        <f>F37</f>
        <v>312</v>
      </c>
      <c r="H37" s="60">
        <f>G37</f>
        <v>312</v>
      </c>
      <c r="J37" s="148"/>
    </row>
    <row r="38" spans="1:10" x14ac:dyDescent="0.25">
      <c r="A38" s="58"/>
      <c r="B38" s="59" t="s">
        <v>1506</v>
      </c>
      <c r="C38" s="60">
        <v>6</v>
      </c>
      <c r="D38" s="60">
        <v>5</v>
      </c>
      <c r="E38" s="60"/>
      <c r="F38" s="60">
        <v>227</v>
      </c>
      <c r="G38" s="60">
        <f>ROUND(F38+2*7.3,0)</f>
        <v>242</v>
      </c>
      <c r="H38" s="60">
        <f>ROUND(G38+2*7.3,0)</f>
        <v>257</v>
      </c>
    </row>
    <row r="39" spans="1:10" ht="37.5" x14ac:dyDescent="0.25">
      <c r="A39" s="58" t="s">
        <v>54</v>
      </c>
      <c r="B39" s="59" t="s">
        <v>1503</v>
      </c>
      <c r="C39" s="60">
        <v>39</v>
      </c>
      <c r="D39" s="60"/>
      <c r="E39" s="60"/>
      <c r="F39" s="60">
        <f>C39*20</f>
        <v>780</v>
      </c>
      <c r="G39" s="60">
        <f>F39</f>
        <v>780</v>
      </c>
      <c r="H39" s="60">
        <f>G39</f>
        <v>780</v>
      </c>
    </row>
    <row r="40" spans="1:10" x14ac:dyDescent="0.25">
      <c r="A40" s="58" t="s">
        <v>55</v>
      </c>
      <c r="B40" s="59" t="s">
        <v>1092</v>
      </c>
      <c r="C40" s="60"/>
      <c r="D40" s="60"/>
      <c r="E40" s="60"/>
      <c r="F40" s="60">
        <f>SUM(F41:F42)</f>
        <v>428</v>
      </c>
      <c r="G40" s="60">
        <f t="shared" ref="G40:H40" si="3">SUM(G41:G42)</f>
        <v>428</v>
      </c>
      <c r="H40" s="60">
        <f t="shared" si="3"/>
        <v>428</v>
      </c>
    </row>
    <row r="41" spans="1:10" x14ac:dyDescent="0.25">
      <c r="A41" s="58"/>
      <c r="B41" s="59" t="s">
        <v>969</v>
      </c>
      <c r="C41" s="60"/>
      <c r="D41" s="60"/>
      <c r="E41" s="60"/>
      <c r="F41" s="60">
        <v>78</v>
      </c>
      <c r="G41" s="60">
        <f>F41</f>
        <v>78</v>
      </c>
      <c r="H41" s="60">
        <f>G41</f>
        <v>78</v>
      </c>
    </row>
    <row r="42" spans="1:10" x14ac:dyDescent="0.25">
      <c r="A42" s="58"/>
      <c r="B42" s="59" t="s">
        <v>968</v>
      </c>
      <c r="C42" s="60"/>
      <c r="D42" s="60"/>
      <c r="E42" s="60"/>
      <c r="F42" s="60">
        <f>ROUND(F33*0.4,0)</f>
        <v>350</v>
      </c>
      <c r="G42" s="60">
        <f>F42</f>
        <v>350</v>
      </c>
      <c r="H42" s="60">
        <f>G42</f>
        <v>350</v>
      </c>
    </row>
    <row r="43" spans="1:10" s="50" customFormat="1" x14ac:dyDescent="0.25">
      <c r="A43" s="62">
        <v>2</v>
      </c>
      <c r="B43" s="63" t="s">
        <v>11</v>
      </c>
      <c r="C43" s="64"/>
      <c r="D43" s="64"/>
      <c r="E43" s="64">
        <f>SUM(E44:E81)-E44-E50-E76-E62</f>
        <v>7819.384</v>
      </c>
      <c r="F43" s="64">
        <f>SUM(F44:F81)-F44-F50-F76-F62</f>
        <v>9251.384</v>
      </c>
      <c r="G43" s="64">
        <f>SUM(G44:G81)-G44-G50-G76-G62</f>
        <v>4658.384</v>
      </c>
      <c r="H43" s="64">
        <f>SUM(H44:H81)-H44-H50-H76-H62</f>
        <v>4745.384</v>
      </c>
    </row>
    <row r="44" spans="1:10" ht="37.5" x14ac:dyDescent="0.25">
      <c r="A44" s="58" t="s">
        <v>99</v>
      </c>
      <c r="B44" s="59" t="s">
        <v>786</v>
      </c>
      <c r="C44" s="60">
        <v>50</v>
      </c>
      <c r="D44" s="60">
        <v>42</v>
      </c>
      <c r="E44" s="60">
        <f>E45+E46</f>
        <v>1962</v>
      </c>
      <c r="F44" s="60">
        <f>F45+F46</f>
        <v>2465</v>
      </c>
      <c r="G44" s="60">
        <f>G45+G46</f>
        <v>2049</v>
      </c>
      <c r="H44" s="60">
        <f>H45+H46</f>
        <v>2136</v>
      </c>
    </row>
    <row r="45" spans="1:10" s="87" customFormat="1" x14ac:dyDescent="0.25">
      <c r="A45" s="84"/>
      <c r="B45" s="85" t="s">
        <v>1508</v>
      </c>
      <c r="C45" s="86"/>
      <c r="D45" s="86"/>
      <c r="E45" s="86">
        <v>1838</v>
      </c>
      <c r="F45" s="86">
        <v>2102</v>
      </c>
      <c r="G45" s="86">
        <f>ROUND(E45+13*6.7,0)</f>
        <v>1925</v>
      </c>
      <c r="H45" s="86">
        <f>ROUND(G45+13*6.7,0)</f>
        <v>2012</v>
      </c>
    </row>
    <row r="46" spans="1:10" s="87" customFormat="1" x14ac:dyDescent="0.25">
      <c r="A46" s="84"/>
      <c r="B46" s="85" t="s">
        <v>1509</v>
      </c>
      <c r="C46" s="86"/>
      <c r="D46" s="86"/>
      <c r="E46" s="86">
        <v>124</v>
      </c>
      <c r="F46" s="86">
        <v>363</v>
      </c>
      <c r="G46" s="86">
        <f>ROUND(E46+C46*0.3*6.7,0)</f>
        <v>124</v>
      </c>
      <c r="H46" s="86">
        <f>ROUND(G46+D46*0.3*6.7,0)</f>
        <v>124</v>
      </c>
    </row>
    <row r="47" spans="1:10" x14ac:dyDescent="0.25">
      <c r="A47" s="58" t="s">
        <v>99</v>
      </c>
      <c r="B47" s="59" t="s">
        <v>796</v>
      </c>
      <c r="C47" s="60"/>
      <c r="D47" s="60"/>
      <c r="E47" s="60">
        <v>50</v>
      </c>
      <c r="F47" s="60">
        <f>E47</f>
        <v>50</v>
      </c>
      <c r="G47" s="60">
        <f>E47</f>
        <v>50</v>
      </c>
      <c r="H47" s="60">
        <f>G47</f>
        <v>50</v>
      </c>
    </row>
    <row r="48" spans="1:10" ht="37.5" x14ac:dyDescent="0.25">
      <c r="A48" s="58" t="s">
        <v>99</v>
      </c>
      <c r="B48" s="59" t="s">
        <v>787</v>
      </c>
      <c r="C48" s="60"/>
      <c r="D48" s="60"/>
      <c r="E48" s="60">
        <f>0.412*11*12</f>
        <v>54.384</v>
      </c>
      <c r="F48" s="60">
        <f>E48</f>
        <v>54.384</v>
      </c>
      <c r="G48" s="60">
        <f>E48</f>
        <v>54.384</v>
      </c>
      <c r="H48" s="60">
        <f>G48</f>
        <v>54.384</v>
      </c>
    </row>
    <row r="49" spans="1:8" x14ac:dyDescent="0.25">
      <c r="A49" s="58" t="s">
        <v>99</v>
      </c>
      <c r="B49" s="59" t="s">
        <v>1510</v>
      </c>
      <c r="C49" s="60"/>
      <c r="D49" s="60"/>
      <c r="E49" s="60">
        <v>230</v>
      </c>
      <c r="F49" s="60">
        <v>230</v>
      </c>
      <c r="G49" s="60"/>
      <c r="H49" s="60"/>
    </row>
    <row r="50" spans="1:8" x14ac:dyDescent="0.25">
      <c r="A50" s="58" t="s">
        <v>99</v>
      </c>
      <c r="B50" s="59" t="s">
        <v>788</v>
      </c>
      <c r="C50" s="60"/>
      <c r="D50" s="60"/>
      <c r="E50" s="60">
        <f>E51+E52</f>
        <v>73</v>
      </c>
      <c r="F50" s="60">
        <f>F51+F52</f>
        <v>225</v>
      </c>
      <c r="G50" s="60">
        <f t="shared" ref="G50:G52" si="4">E50</f>
        <v>73</v>
      </c>
      <c r="H50" s="60">
        <f t="shared" ref="H50:H54" si="5">G50</f>
        <v>73</v>
      </c>
    </row>
    <row r="51" spans="1:8" s="87" customFormat="1" ht="75" x14ac:dyDescent="0.25">
      <c r="A51" s="84"/>
      <c r="B51" s="85" t="s">
        <v>1516</v>
      </c>
      <c r="C51" s="86"/>
      <c r="D51" s="86"/>
      <c r="E51" s="86">
        <v>32</v>
      </c>
      <c r="F51" s="86">
        <f>46*4</f>
        <v>184</v>
      </c>
      <c r="G51" s="86">
        <f t="shared" si="4"/>
        <v>32</v>
      </c>
      <c r="H51" s="86">
        <f t="shared" si="5"/>
        <v>32</v>
      </c>
    </row>
    <row r="52" spans="1:8" s="87" customFormat="1" ht="56.25" x14ac:dyDescent="0.25">
      <c r="A52" s="84"/>
      <c r="B52" s="85" t="s">
        <v>1517</v>
      </c>
      <c r="C52" s="86"/>
      <c r="D52" s="86"/>
      <c r="E52" s="86">
        <f>7+34</f>
        <v>41</v>
      </c>
      <c r="F52" s="86">
        <v>41</v>
      </c>
      <c r="G52" s="86">
        <f t="shared" si="4"/>
        <v>41</v>
      </c>
      <c r="H52" s="86">
        <f t="shared" si="5"/>
        <v>41</v>
      </c>
    </row>
    <row r="53" spans="1:8" x14ac:dyDescent="0.25">
      <c r="A53" s="58" t="s">
        <v>99</v>
      </c>
      <c r="B53" s="59" t="s">
        <v>206</v>
      </c>
      <c r="C53" s="60"/>
      <c r="D53" s="60"/>
      <c r="E53" s="60">
        <v>200</v>
      </c>
      <c r="F53" s="60">
        <v>300</v>
      </c>
      <c r="G53" s="60">
        <f>F53</f>
        <v>300</v>
      </c>
      <c r="H53" s="60">
        <f t="shared" si="5"/>
        <v>300</v>
      </c>
    </row>
    <row r="54" spans="1:8" ht="37.5" x14ac:dyDescent="0.25">
      <c r="A54" s="58" t="s">
        <v>99</v>
      </c>
      <c r="B54" s="59" t="s">
        <v>789</v>
      </c>
      <c r="C54" s="60"/>
      <c r="D54" s="60"/>
      <c r="E54" s="60">
        <v>1700</v>
      </c>
      <c r="F54" s="60">
        <v>2100</v>
      </c>
      <c r="G54" s="60">
        <f>F54</f>
        <v>2100</v>
      </c>
      <c r="H54" s="60">
        <f t="shared" si="5"/>
        <v>2100</v>
      </c>
    </row>
    <row r="55" spans="1:8" ht="56.25" x14ac:dyDescent="0.25">
      <c r="A55" s="58" t="s">
        <v>99</v>
      </c>
      <c r="B55" s="59" t="s">
        <v>1521</v>
      </c>
      <c r="C55" s="60"/>
      <c r="D55" s="60"/>
      <c r="E55" s="60">
        <v>807</v>
      </c>
      <c r="F55" s="60">
        <v>815</v>
      </c>
      <c r="G55" s="60"/>
      <c r="H55" s="60"/>
    </row>
    <row r="56" spans="1:8" ht="56.25" x14ac:dyDescent="0.25">
      <c r="A56" s="58" t="s">
        <v>99</v>
      </c>
      <c r="B56" s="59" t="s">
        <v>1520</v>
      </c>
      <c r="C56" s="60"/>
      <c r="D56" s="60"/>
      <c r="E56" s="60">
        <v>419</v>
      </c>
      <c r="F56" s="60">
        <v>917</v>
      </c>
      <c r="G56" s="60"/>
      <c r="H56" s="60"/>
    </row>
    <row r="57" spans="1:8" ht="37.5" x14ac:dyDescent="0.25">
      <c r="A57" s="58" t="s">
        <v>99</v>
      </c>
      <c r="B57" s="59" t="s">
        <v>1519</v>
      </c>
      <c r="C57" s="60"/>
      <c r="D57" s="60"/>
      <c r="E57" s="60">
        <v>612</v>
      </c>
      <c r="F57" s="60">
        <v>285</v>
      </c>
      <c r="G57" s="60"/>
      <c r="H57" s="60"/>
    </row>
    <row r="58" spans="1:8" ht="37.5" x14ac:dyDescent="0.25">
      <c r="A58" s="58" t="s">
        <v>99</v>
      </c>
      <c r="B58" s="59" t="s">
        <v>1518</v>
      </c>
      <c r="C58" s="60"/>
      <c r="D58" s="60"/>
      <c r="E58" s="60">
        <v>982</v>
      </c>
      <c r="F58" s="60">
        <v>1038</v>
      </c>
      <c r="G58" s="60"/>
      <c r="H58" s="60"/>
    </row>
    <row r="59" spans="1:8" ht="56.25" x14ac:dyDescent="0.25">
      <c r="A59" s="58" t="s">
        <v>99</v>
      </c>
      <c r="B59" s="59" t="s">
        <v>1523</v>
      </c>
      <c r="C59" s="60"/>
      <c r="D59" s="60"/>
      <c r="E59" s="60">
        <v>353</v>
      </c>
      <c r="F59" s="60">
        <v>515</v>
      </c>
      <c r="G59" s="60"/>
      <c r="H59" s="60"/>
    </row>
    <row r="60" spans="1:8" x14ac:dyDescent="0.25">
      <c r="A60" s="58" t="s">
        <v>99</v>
      </c>
      <c r="B60" s="59" t="s">
        <v>803</v>
      </c>
      <c r="C60" s="60"/>
      <c r="D60" s="60"/>
      <c r="E60" s="60">
        <v>20</v>
      </c>
      <c r="F60" s="60">
        <f>E60</f>
        <v>20</v>
      </c>
      <c r="G60" s="60">
        <f>E60</f>
        <v>20</v>
      </c>
      <c r="H60" s="60">
        <f>G60</f>
        <v>20</v>
      </c>
    </row>
    <row r="61" spans="1:8" ht="37.5" x14ac:dyDescent="0.25">
      <c r="A61" s="58" t="s">
        <v>99</v>
      </c>
      <c r="B61" s="59" t="s">
        <v>1522</v>
      </c>
      <c r="C61" s="60"/>
      <c r="D61" s="60"/>
      <c r="E61" s="60">
        <v>12</v>
      </c>
      <c r="F61" s="60">
        <v>12</v>
      </c>
      <c r="G61" s="60">
        <f>E61</f>
        <v>12</v>
      </c>
      <c r="H61" s="60">
        <f>G61</f>
        <v>12</v>
      </c>
    </row>
    <row r="62" spans="1:8" x14ac:dyDescent="0.25">
      <c r="A62" s="58" t="s">
        <v>99</v>
      </c>
      <c r="B62" s="59" t="s">
        <v>438</v>
      </c>
      <c r="C62" s="60"/>
      <c r="D62" s="60"/>
      <c r="E62" s="60">
        <f>SUM(E63:E68)</f>
        <v>260</v>
      </c>
      <c r="F62" s="60">
        <f>SUM(F63:F74)</f>
        <v>225</v>
      </c>
      <c r="G62" s="60"/>
      <c r="H62" s="60"/>
    </row>
    <row r="63" spans="1:8" s="87" customFormat="1" ht="37.5" x14ac:dyDescent="0.3">
      <c r="A63" s="84"/>
      <c r="B63" s="216" t="s">
        <v>793</v>
      </c>
      <c r="C63" s="86"/>
      <c r="D63" s="86"/>
      <c r="E63" s="86">
        <v>168</v>
      </c>
      <c r="F63" s="86"/>
      <c r="G63" s="86"/>
      <c r="H63" s="86"/>
    </row>
    <row r="64" spans="1:8" s="87" customFormat="1" x14ac:dyDescent="0.3">
      <c r="A64" s="84"/>
      <c r="B64" s="216" t="s">
        <v>794</v>
      </c>
      <c r="C64" s="86"/>
      <c r="D64" s="86"/>
      <c r="E64" s="86">
        <f>6+7</f>
        <v>13</v>
      </c>
      <c r="F64" s="86"/>
      <c r="G64" s="86"/>
      <c r="H64" s="86"/>
    </row>
    <row r="65" spans="1:8" s="87" customFormat="1" ht="75" x14ac:dyDescent="0.3">
      <c r="A65" s="84"/>
      <c r="B65" s="216" t="s">
        <v>792</v>
      </c>
      <c r="C65" s="86"/>
      <c r="D65" s="86"/>
      <c r="E65" s="86">
        <v>45</v>
      </c>
      <c r="F65" s="86"/>
      <c r="G65" s="86"/>
      <c r="H65" s="86"/>
    </row>
    <row r="66" spans="1:8" s="87" customFormat="1" ht="37.5" x14ac:dyDescent="0.3">
      <c r="A66" s="84"/>
      <c r="B66" s="216" t="s">
        <v>791</v>
      </c>
      <c r="C66" s="86"/>
      <c r="D66" s="86"/>
      <c r="E66" s="86">
        <v>12</v>
      </c>
      <c r="F66" s="86"/>
      <c r="G66" s="86"/>
      <c r="H66" s="86"/>
    </row>
    <row r="67" spans="1:8" s="87" customFormat="1" ht="37.5" x14ac:dyDescent="0.3">
      <c r="A67" s="84"/>
      <c r="B67" s="216" t="s">
        <v>790</v>
      </c>
      <c r="C67" s="86"/>
      <c r="D67" s="86"/>
      <c r="E67" s="86">
        <v>6</v>
      </c>
      <c r="F67" s="86"/>
      <c r="G67" s="86"/>
      <c r="H67" s="86"/>
    </row>
    <row r="68" spans="1:8" s="87" customFormat="1" x14ac:dyDescent="0.25">
      <c r="A68" s="84"/>
      <c r="B68" s="85" t="s">
        <v>795</v>
      </c>
      <c r="C68" s="86"/>
      <c r="D68" s="86"/>
      <c r="E68" s="86">
        <f>13+3</f>
        <v>16</v>
      </c>
      <c r="F68" s="86"/>
      <c r="G68" s="86"/>
      <c r="H68" s="86"/>
    </row>
    <row r="69" spans="1:8" s="87" customFormat="1" x14ac:dyDescent="0.25">
      <c r="A69" s="84"/>
      <c r="B69" s="85" t="s">
        <v>1511</v>
      </c>
      <c r="C69" s="86"/>
      <c r="D69" s="86"/>
      <c r="E69" s="401"/>
      <c r="F69" s="86">
        <v>60</v>
      </c>
      <c r="G69" s="86"/>
      <c r="H69" s="86"/>
    </row>
    <row r="70" spans="1:8" s="87" customFormat="1" x14ac:dyDescent="0.25">
      <c r="A70" s="84"/>
      <c r="B70" s="85" t="s">
        <v>1512</v>
      </c>
      <c r="C70" s="86"/>
      <c r="D70" s="86"/>
      <c r="E70" s="401"/>
      <c r="F70" s="86">
        <v>10</v>
      </c>
      <c r="G70" s="86"/>
      <c r="H70" s="86"/>
    </row>
    <row r="71" spans="1:8" s="87" customFormat="1" x14ac:dyDescent="0.25">
      <c r="A71" s="84"/>
      <c r="B71" s="85" t="s">
        <v>1513</v>
      </c>
      <c r="C71" s="86"/>
      <c r="D71" s="86"/>
      <c r="E71" s="401"/>
      <c r="F71" s="86">
        <v>10</v>
      </c>
      <c r="G71" s="86"/>
      <c r="H71" s="86"/>
    </row>
    <row r="72" spans="1:8" s="87" customFormat="1" x14ac:dyDescent="0.25">
      <c r="A72" s="84"/>
      <c r="B72" s="85" t="s">
        <v>1514</v>
      </c>
      <c r="C72" s="86"/>
      <c r="D72" s="86"/>
      <c r="E72" s="401"/>
      <c r="F72" s="86">
        <v>50</v>
      </c>
      <c r="G72" s="86"/>
      <c r="H72" s="86"/>
    </row>
    <row r="73" spans="1:8" s="87" customFormat="1" x14ac:dyDescent="0.25">
      <c r="A73" s="84"/>
      <c r="B73" s="85" t="s">
        <v>1515</v>
      </c>
      <c r="C73" s="86"/>
      <c r="D73" s="86"/>
      <c r="E73" s="401"/>
      <c r="F73" s="86">
        <v>5</v>
      </c>
      <c r="G73" s="86"/>
      <c r="H73" s="86"/>
    </row>
    <row r="74" spans="1:8" s="87" customFormat="1" x14ac:dyDescent="0.25">
      <c r="A74" s="84"/>
      <c r="B74" s="85" t="s">
        <v>1525</v>
      </c>
      <c r="C74" s="86"/>
      <c r="D74" s="86"/>
      <c r="E74" s="401"/>
      <c r="F74" s="86">
        <v>90</v>
      </c>
      <c r="G74" s="86"/>
      <c r="H74" s="86"/>
    </row>
    <row r="75" spans="1:8" s="87" customFormat="1" x14ac:dyDescent="0.25">
      <c r="A75" s="84"/>
      <c r="B75" s="85" t="s">
        <v>1528</v>
      </c>
      <c r="C75" s="86"/>
      <c r="D75" s="86"/>
      <c r="E75" s="401"/>
      <c r="F75" s="86"/>
      <c r="G75" s="86"/>
      <c r="H75" s="86"/>
    </row>
    <row r="76" spans="1:8" x14ac:dyDescent="0.25">
      <c r="A76" s="58" t="s">
        <v>99</v>
      </c>
      <c r="B76" s="59" t="s">
        <v>1524</v>
      </c>
      <c r="C76" s="60"/>
      <c r="D76" s="60"/>
      <c r="E76" s="60">
        <f>SUM(E77:E81)</f>
        <v>85</v>
      </c>
      <c r="F76" s="60"/>
      <c r="G76" s="60"/>
      <c r="H76" s="60"/>
    </row>
    <row r="77" spans="1:8" s="87" customFormat="1" ht="37.5" x14ac:dyDescent="0.25">
      <c r="A77" s="206"/>
      <c r="B77" s="217" t="s">
        <v>801</v>
      </c>
      <c r="C77" s="86"/>
      <c r="D77" s="86"/>
      <c r="E77" s="86">
        <v>30</v>
      </c>
      <c r="F77" s="86"/>
      <c r="G77" s="86"/>
      <c r="H77" s="86"/>
    </row>
    <row r="78" spans="1:8" s="87" customFormat="1" ht="93.75" x14ac:dyDescent="0.3">
      <c r="A78" s="206"/>
      <c r="B78" s="216" t="s">
        <v>802</v>
      </c>
      <c r="C78" s="86"/>
      <c r="D78" s="86"/>
      <c r="E78" s="86">
        <v>43</v>
      </c>
      <c r="F78" s="86"/>
      <c r="G78" s="86"/>
      <c r="H78" s="86"/>
    </row>
    <row r="79" spans="1:8" s="87" customFormat="1" x14ac:dyDescent="0.3">
      <c r="A79" s="206"/>
      <c r="B79" s="216" t="s">
        <v>798</v>
      </c>
      <c r="C79" s="86"/>
      <c r="D79" s="86"/>
      <c r="E79" s="86">
        <v>3</v>
      </c>
      <c r="F79" s="86"/>
      <c r="G79" s="86"/>
      <c r="H79" s="86"/>
    </row>
    <row r="80" spans="1:8" s="87" customFormat="1" x14ac:dyDescent="0.3">
      <c r="A80" s="206"/>
      <c r="B80" s="216" t="s">
        <v>800</v>
      </c>
      <c r="C80" s="86"/>
      <c r="D80" s="86"/>
      <c r="E80" s="86">
        <v>5</v>
      </c>
      <c r="F80" s="86"/>
      <c r="G80" s="86"/>
      <c r="H80" s="86"/>
    </row>
    <row r="81" spans="1:8" s="87" customFormat="1" x14ac:dyDescent="0.3">
      <c r="A81" s="206"/>
      <c r="B81" s="216" t="s">
        <v>799</v>
      </c>
      <c r="C81" s="86"/>
      <c r="D81" s="86"/>
      <c r="E81" s="86">
        <v>4</v>
      </c>
      <c r="F81" s="86"/>
      <c r="G81" s="86"/>
      <c r="H81" s="86"/>
    </row>
    <row r="82" spans="1:8" x14ac:dyDescent="0.25">
      <c r="A82" s="67"/>
      <c r="B82" s="68"/>
      <c r="C82" s="69"/>
      <c r="D82" s="69"/>
      <c r="E82" s="69"/>
      <c r="F82" s="69"/>
      <c r="G82" s="69"/>
      <c r="H82" s="69"/>
    </row>
    <row r="83" spans="1:8" ht="40.5" customHeight="1" x14ac:dyDescent="0.25">
      <c r="A83" s="70"/>
      <c r="B83" s="575" t="s">
        <v>1529</v>
      </c>
      <c r="C83" s="575"/>
      <c r="D83" s="575"/>
      <c r="E83" s="575"/>
      <c r="F83" s="575"/>
      <c r="G83" s="575"/>
      <c r="H83" s="575"/>
    </row>
    <row r="84" spans="1:8" x14ac:dyDescent="0.25">
      <c r="B84" s="49" t="s">
        <v>865</v>
      </c>
    </row>
    <row r="86" spans="1:8" x14ac:dyDescent="0.25">
      <c r="A86" s="568" t="s">
        <v>36</v>
      </c>
      <c r="B86" s="568"/>
      <c r="D86" s="568" t="s">
        <v>37</v>
      </c>
      <c r="E86" s="568"/>
      <c r="F86" s="568"/>
      <c r="G86" s="568"/>
      <c r="H86" s="568"/>
    </row>
  </sheetData>
  <mergeCells count="14">
    <mergeCell ref="B83:H83"/>
    <mergeCell ref="A86:B86"/>
    <mergeCell ref="D86:H86"/>
    <mergeCell ref="C10:H10"/>
    <mergeCell ref="C15:H15"/>
    <mergeCell ref="C17:H17"/>
    <mergeCell ref="C19:H19"/>
    <mergeCell ref="B24:H24"/>
    <mergeCell ref="C9:H9"/>
    <mergeCell ref="A1:H1"/>
    <mergeCell ref="B3:H3"/>
    <mergeCell ref="C6:H6"/>
    <mergeCell ref="C7:H7"/>
    <mergeCell ref="C8:H8"/>
  </mergeCells>
  <printOptions horizontalCentered="1"/>
  <pageMargins left="0" right="0" top="0.75" bottom="0.5" header="0.31496062992126" footer="0.47"/>
  <pageSetup paperSize="9" scale="91" orientation="portrait" r:id="rId1"/>
  <legacyDrawing r:id="rId2"/>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84"/>
  <sheetViews>
    <sheetView topLeftCell="A54" zoomScaleNormal="100" workbookViewId="0">
      <selection activeCell="B57" sqref="B57"/>
    </sheetView>
  </sheetViews>
  <sheetFormatPr defaultColWidth="9.140625" defaultRowHeight="18.75" x14ac:dyDescent="0.25"/>
  <cols>
    <col min="1" max="1" width="4.85546875" style="162" customWidth="1"/>
    <col min="2" max="2" width="43.42578125" style="7" customWidth="1"/>
    <col min="3" max="4" width="7.85546875" style="7" customWidth="1"/>
    <col min="5" max="8" width="11.7109375" style="7" customWidth="1"/>
    <col min="9" max="16384" width="9.140625" style="7"/>
  </cols>
  <sheetData>
    <row r="1" spans="1:8" ht="41.25" customHeight="1" x14ac:dyDescent="0.25">
      <c r="A1" s="549" t="s">
        <v>1074</v>
      </c>
      <c r="B1" s="555"/>
      <c r="C1" s="555"/>
      <c r="D1" s="555"/>
      <c r="E1" s="555"/>
      <c r="F1" s="555"/>
      <c r="G1" s="555"/>
      <c r="H1" s="555"/>
    </row>
    <row r="2" spans="1:8" x14ac:dyDescent="0.25">
      <c r="A2" s="215"/>
      <c r="B2" s="88"/>
      <c r="C2" s="88"/>
      <c r="D2" s="1"/>
      <c r="E2" s="1"/>
      <c r="F2" s="1"/>
      <c r="G2" s="1"/>
      <c r="H2" s="1"/>
    </row>
    <row r="3" spans="1:8" ht="40.5" customHeight="1" x14ac:dyDescent="0.25">
      <c r="B3" s="565" t="s">
        <v>1540</v>
      </c>
      <c r="C3" s="565"/>
      <c r="D3" s="565"/>
      <c r="E3" s="565"/>
      <c r="F3" s="565"/>
      <c r="G3" s="565"/>
      <c r="H3" s="565"/>
    </row>
    <row r="4" spans="1:8" x14ac:dyDescent="0.25">
      <c r="B4" s="7" t="s">
        <v>39</v>
      </c>
      <c r="D4" s="8"/>
      <c r="E4" s="8"/>
      <c r="F4" s="8"/>
      <c r="G4" s="8"/>
      <c r="H4" s="8"/>
    </row>
    <row r="5" spans="1:8" s="88" customFormat="1" x14ac:dyDescent="0.25">
      <c r="A5" s="215"/>
      <c r="B5" s="3" t="s">
        <v>18</v>
      </c>
      <c r="F5" s="146"/>
    </row>
    <row r="6" spans="1:8" x14ac:dyDescent="0.25">
      <c r="B6" s="2" t="s">
        <v>23</v>
      </c>
      <c r="C6" s="558" t="s">
        <v>49</v>
      </c>
      <c r="D6" s="558"/>
      <c r="E6" s="558"/>
      <c r="F6" s="558"/>
      <c r="G6" s="558"/>
      <c r="H6" s="558"/>
    </row>
    <row r="7" spans="1:8" x14ac:dyDescent="0.25">
      <c r="A7" s="221"/>
      <c r="B7" s="2" t="s">
        <v>19</v>
      </c>
      <c r="C7" s="558" t="s">
        <v>50</v>
      </c>
      <c r="D7" s="558"/>
      <c r="E7" s="558"/>
      <c r="F7" s="558"/>
      <c r="G7" s="558"/>
      <c r="H7" s="558"/>
    </row>
    <row r="8" spans="1:8" hidden="1" x14ac:dyDescent="0.25">
      <c r="A8" s="221"/>
      <c r="B8" s="2" t="s">
        <v>90</v>
      </c>
      <c r="C8" s="558" t="s">
        <v>60</v>
      </c>
      <c r="D8" s="558"/>
      <c r="E8" s="558"/>
      <c r="F8" s="558"/>
      <c r="G8" s="558"/>
      <c r="H8" s="558"/>
    </row>
    <row r="9" spans="1:8" x14ac:dyDescent="0.25">
      <c r="A9" s="221"/>
      <c r="B9" s="2" t="s">
        <v>59</v>
      </c>
      <c r="C9" s="558" t="s">
        <v>60</v>
      </c>
      <c r="D9" s="558"/>
      <c r="E9" s="558"/>
      <c r="F9" s="558"/>
      <c r="G9" s="558"/>
      <c r="H9" s="558"/>
    </row>
    <row r="10" spans="1:8" hidden="1" x14ac:dyDescent="0.25">
      <c r="A10" s="221"/>
      <c r="B10" s="2" t="s">
        <v>20</v>
      </c>
      <c r="C10" s="558" t="s">
        <v>86</v>
      </c>
      <c r="D10" s="558"/>
      <c r="E10" s="558"/>
      <c r="F10" s="558"/>
      <c r="G10" s="558"/>
      <c r="H10" s="558"/>
    </row>
    <row r="11" spans="1:8" x14ac:dyDescent="0.25">
      <c r="A11" s="221"/>
      <c r="B11" s="2" t="s">
        <v>1205</v>
      </c>
      <c r="C11" s="89" t="s">
        <v>87</v>
      </c>
      <c r="D11" s="89"/>
      <c r="E11" s="89"/>
      <c r="F11" s="328"/>
      <c r="G11" s="89"/>
      <c r="H11" s="89"/>
    </row>
    <row r="12" spans="1:8" x14ac:dyDescent="0.25">
      <c r="A12" s="221"/>
      <c r="B12" s="2" t="s">
        <v>213</v>
      </c>
      <c r="C12" s="89" t="s">
        <v>88</v>
      </c>
      <c r="D12" s="89"/>
      <c r="E12" s="89"/>
      <c r="F12" s="328"/>
      <c r="G12" s="89"/>
      <c r="H12" s="89"/>
    </row>
    <row r="13" spans="1:8" hidden="1" x14ac:dyDescent="0.25">
      <c r="A13" s="221"/>
      <c r="B13" s="2" t="s">
        <v>94</v>
      </c>
      <c r="C13" s="89" t="s">
        <v>95</v>
      </c>
      <c r="D13" s="89"/>
      <c r="E13" s="89"/>
      <c r="F13" s="328"/>
      <c r="G13" s="89"/>
      <c r="H13" s="89"/>
    </row>
    <row r="14" spans="1:8" x14ac:dyDescent="0.25">
      <c r="A14" s="221"/>
      <c r="B14" s="2"/>
      <c r="C14" s="89"/>
      <c r="D14" s="89"/>
      <c r="E14" s="89"/>
      <c r="F14" s="328"/>
      <c r="G14" s="89"/>
      <c r="H14" s="89"/>
    </row>
    <row r="15" spans="1:8" hidden="1" x14ac:dyDescent="0.25">
      <c r="A15" s="221"/>
      <c r="B15" s="2" t="s">
        <v>21</v>
      </c>
      <c r="C15" s="558"/>
      <c r="D15" s="558"/>
      <c r="E15" s="558"/>
      <c r="F15" s="558"/>
      <c r="G15" s="558"/>
      <c r="H15" s="558"/>
    </row>
    <row r="16" spans="1:8" s="88" customFormat="1" x14ac:dyDescent="0.25">
      <c r="A16" s="222"/>
      <c r="B16" s="3" t="s">
        <v>251</v>
      </c>
      <c r="C16" s="3"/>
      <c r="D16" s="3"/>
      <c r="E16" s="3"/>
      <c r="F16" s="3"/>
      <c r="G16" s="3"/>
      <c r="H16" s="3"/>
    </row>
    <row r="17" spans="1:8" x14ac:dyDescent="0.25">
      <c r="A17" s="221"/>
      <c r="B17" s="2" t="s">
        <v>808</v>
      </c>
      <c r="C17" s="558" t="s">
        <v>176</v>
      </c>
      <c r="D17" s="558"/>
      <c r="E17" s="558"/>
      <c r="F17" s="558"/>
      <c r="G17" s="558"/>
      <c r="H17" s="558"/>
    </row>
    <row r="18" spans="1:8" x14ac:dyDescent="0.25">
      <c r="A18" s="221"/>
      <c r="B18" s="2" t="s">
        <v>809</v>
      </c>
      <c r="C18" s="214" t="s">
        <v>80</v>
      </c>
      <c r="D18" s="214"/>
      <c r="E18" s="214"/>
      <c r="F18" s="328"/>
      <c r="G18" s="214"/>
      <c r="H18" s="214"/>
    </row>
    <row r="19" spans="1:8" s="404" customFormat="1" hidden="1" x14ac:dyDescent="0.25">
      <c r="A19" s="402"/>
      <c r="B19" s="403" t="s">
        <v>20</v>
      </c>
      <c r="C19" s="576" t="s">
        <v>272</v>
      </c>
      <c r="D19" s="576"/>
      <c r="E19" s="576"/>
      <c r="F19" s="576"/>
      <c r="G19" s="576"/>
      <c r="H19" s="576"/>
    </row>
    <row r="20" spans="1:8" x14ac:dyDescent="0.25">
      <c r="A20" s="221"/>
      <c r="B20" s="83" t="s">
        <v>810</v>
      </c>
      <c r="C20" s="214" t="s">
        <v>811</v>
      </c>
      <c r="D20" s="214"/>
      <c r="E20" s="214"/>
      <c r="F20" s="328"/>
      <c r="G20" s="214"/>
      <c r="H20" s="214"/>
    </row>
    <row r="21" spans="1:8" x14ac:dyDescent="0.25">
      <c r="A21" s="221"/>
      <c r="B21" s="2" t="s">
        <v>273</v>
      </c>
      <c r="C21" s="558" t="s">
        <v>108</v>
      </c>
      <c r="D21" s="558"/>
      <c r="E21" s="558"/>
      <c r="F21" s="558"/>
      <c r="G21" s="558"/>
      <c r="H21" s="558"/>
    </row>
    <row r="22" spans="1:8" x14ac:dyDescent="0.25">
      <c r="A22" s="221"/>
      <c r="B22" s="2" t="s">
        <v>274</v>
      </c>
      <c r="C22" s="558" t="s">
        <v>108</v>
      </c>
      <c r="D22" s="558"/>
      <c r="E22" s="558"/>
      <c r="F22" s="558"/>
      <c r="G22" s="558"/>
      <c r="H22" s="558"/>
    </row>
    <row r="23" spans="1:8" hidden="1" x14ac:dyDescent="0.25">
      <c r="A23" s="221"/>
      <c r="B23" s="2" t="s">
        <v>21</v>
      </c>
      <c r="C23" s="558" t="s">
        <v>108</v>
      </c>
      <c r="D23" s="558"/>
      <c r="E23" s="558"/>
      <c r="F23" s="558"/>
      <c r="G23" s="558"/>
      <c r="H23" s="558"/>
    </row>
    <row r="24" spans="1:8" hidden="1" x14ac:dyDescent="0.25">
      <c r="A24" s="221"/>
      <c r="B24" s="2" t="s">
        <v>21</v>
      </c>
      <c r="C24" s="558" t="s">
        <v>108</v>
      </c>
      <c r="D24" s="558"/>
      <c r="E24" s="558"/>
      <c r="F24" s="558"/>
      <c r="G24" s="558"/>
      <c r="H24" s="558"/>
    </row>
    <row r="25" spans="1:8" hidden="1" x14ac:dyDescent="0.25">
      <c r="A25" s="221"/>
      <c r="B25" s="2" t="s">
        <v>21</v>
      </c>
      <c r="C25" s="558"/>
      <c r="D25" s="558"/>
      <c r="E25" s="558"/>
      <c r="F25" s="558"/>
      <c r="G25" s="558"/>
      <c r="H25" s="558"/>
    </row>
    <row r="26" spans="1:8" ht="39.75" customHeight="1" x14ac:dyDescent="0.25">
      <c r="A26" s="221"/>
      <c r="B26" s="556" t="s">
        <v>1073</v>
      </c>
      <c r="C26" s="556"/>
      <c r="D26" s="556"/>
      <c r="E26" s="556"/>
      <c r="F26" s="556"/>
      <c r="G26" s="556"/>
      <c r="H26" s="556"/>
    </row>
    <row r="27" spans="1:8" x14ac:dyDescent="0.25">
      <c r="A27" s="223"/>
      <c r="H27" s="4" t="s">
        <v>61</v>
      </c>
    </row>
    <row r="28" spans="1:8" s="325" customFormat="1" ht="75" x14ac:dyDescent="0.25">
      <c r="A28" s="394" t="s">
        <v>62</v>
      </c>
      <c r="B28" s="394" t="s">
        <v>2</v>
      </c>
      <c r="C28" s="394" t="s">
        <v>17</v>
      </c>
      <c r="D28" s="395" t="s">
        <v>464</v>
      </c>
      <c r="E28" s="394" t="s">
        <v>1099</v>
      </c>
      <c r="F28" s="394" t="s">
        <v>9</v>
      </c>
      <c r="G28" s="394" t="s">
        <v>461</v>
      </c>
      <c r="H28" s="394" t="s">
        <v>1046</v>
      </c>
    </row>
    <row r="29" spans="1:8" s="88" customFormat="1" x14ac:dyDescent="0.25">
      <c r="A29" s="394"/>
      <c r="B29" s="394" t="s">
        <v>365</v>
      </c>
      <c r="C29" s="32"/>
      <c r="D29" s="32"/>
      <c r="E29" s="32">
        <f>E30+E60</f>
        <v>11245</v>
      </c>
      <c r="F29" s="32">
        <f t="shared" ref="F29:H29" si="0">F30+F60</f>
        <v>13408</v>
      </c>
      <c r="G29" s="32">
        <f t="shared" si="0"/>
        <v>9656</v>
      </c>
      <c r="H29" s="32">
        <f t="shared" si="0"/>
        <v>9813</v>
      </c>
    </row>
    <row r="30" spans="1:8" s="146" customFormat="1" x14ac:dyDescent="0.25">
      <c r="A30" s="9" t="s">
        <v>6</v>
      </c>
      <c r="B30" s="10" t="s">
        <v>179</v>
      </c>
      <c r="C30" s="20"/>
      <c r="D30" s="20"/>
      <c r="E30" s="20">
        <f>E31+E44</f>
        <v>6392</v>
      </c>
      <c r="F30" s="20">
        <f t="shared" ref="F30:H30" si="1">F31+F44</f>
        <v>9848</v>
      </c>
      <c r="G30" s="20">
        <f t="shared" si="1"/>
        <v>6367</v>
      </c>
      <c r="H30" s="20">
        <f t="shared" si="1"/>
        <v>6473</v>
      </c>
    </row>
    <row r="31" spans="1:8" s="146" customFormat="1" x14ac:dyDescent="0.25">
      <c r="A31" s="13" t="s">
        <v>51</v>
      </c>
      <c r="B31" s="14" t="s">
        <v>1078</v>
      </c>
      <c r="C31" s="22"/>
      <c r="D31" s="22"/>
      <c r="E31" s="22">
        <f>+E36+E40-E41</f>
        <v>4370</v>
      </c>
      <c r="F31" s="22">
        <f t="shared" ref="F31:H31" si="2">+F36+F40-F41</f>
        <v>4306</v>
      </c>
      <c r="G31" s="22">
        <f t="shared" si="2"/>
        <v>4412</v>
      </c>
      <c r="H31" s="22">
        <f t="shared" si="2"/>
        <v>4518</v>
      </c>
    </row>
    <row r="32" spans="1:8" x14ac:dyDescent="0.25">
      <c r="A32" s="13"/>
      <c r="B32" s="14" t="s">
        <v>797</v>
      </c>
      <c r="C32" s="22"/>
      <c r="D32" s="22"/>
      <c r="E32" s="22"/>
      <c r="F32" s="22"/>
      <c r="G32" s="22"/>
      <c r="H32" s="22"/>
    </row>
    <row r="33" spans="1:8" x14ac:dyDescent="0.25">
      <c r="A33" s="11"/>
      <c r="B33" s="12" t="s">
        <v>626</v>
      </c>
      <c r="C33" s="21"/>
      <c r="D33" s="21"/>
      <c r="E33" s="21">
        <v>1776</v>
      </c>
      <c r="F33" s="21">
        <f>230+1500</f>
        <v>1730</v>
      </c>
      <c r="G33" s="21">
        <f>F33</f>
        <v>1730</v>
      </c>
      <c r="H33" s="21">
        <f>G33</f>
        <v>1730</v>
      </c>
    </row>
    <row r="34" spans="1:8" ht="37.5" x14ac:dyDescent="0.25">
      <c r="A34" s="11"/>
      <c r="B34" s="12" t="s">
        <v>1546</v>
      </c>
      <c r="C34" s="21"/>
      <c r="D34" s="21"/>
      <c r="E34" s="21">
        <f>E33-323</f>
        <v>1453</v>
      </c>
      <c r="F34" s="21">
        <f>F33-315</f>
        <v>1415</v>
      </c>
      <c r="G34" s="21">
        <f t="shared" ref="G34:H34" si="3">F34</f>
        <v>1415</v>
      </c>
      <c r="H34" s="21">
        <f t="shared" si="3"/>
        <v>1415</v>
      </c>
    </row>
    <row r="35" spans="1:8" ht="56.25" x14ac:dyDescent="0.25">
      <c r="A35" s="11"/>
      <c r="B35" s="12" t="s">
        <v>819</v>
      </c>
      <c r="C35" s="21"/>
      <c r="D35" s="21"/>
      <c r="E35" s="21">
        <f>E33-E34</f>
        <v>323</v>
      </c>
      <c r="F35" s="21">
        <v>315</v>
      </c>
      <c r="G35" s="21">
        <f t="shared" ref="G35:H35" si="4">F35</f>
        <v>315</v>
      </c>
      <c r="H35" s="21">
        <f t="shared" si="4"/>
        <v>315</v>
      </c>
    </row>
    <row r="36" spans="1:8" s="146" customFormat="1" ht="37.5" x14ac:dyDescent="0.25">
      <c r="A36" s="13">
        <v>1</v>
      </c>
      <c r="B36" s="14" t="s">
        <v>1077</v>
      </c>
      <c r="C36" s="22">
        <v>35</v>
      </c>
      <c r="D36" s="22">
        <v>28</v>
      </c>
      <c r="E36" s="22">
        <v>3854</v>
      </c>
      <c r="F36" s="22">
        <f>SUM(F37:F39)</f>
        <v>3802</v>
      </c>
      <c r="G36" s="22">
        <f>SUM(G37:G39)</f>
        <v>3908</v>
      </c>
      <c r="H36" s="22">
        <f>SUM(H37:H39)</f>
        <v>4014</v>
      </c>
    </row>
    <row r="37" spans="1:8" x14ac:dyDescent="0.25">
      <c r="A37" s="11"/>
      <c r="B37" s="59" t="s">
        <v>1538</v>
      </c>
      <c r="C37" s="21"/>
      <c r="D37" s="36"/>
      <c r="E37" s="21"/>
      <c r="F37" s="21">
        <v>3157</v>
      </c>
      <c r="G37" s="21">
        <f>ROUND(F37+10*8.8,0)</f>
        <v>3245</v>
      </c>
      <c r="H37" s="21">
        <f>ROUND(G37+10*8.8,0)</f>
        <v>3333</v>
      </c>
    </row>
    <row r="38" spans="1:8" x14ac:dyDescent="0.25">
      <c r="A38" s="11"/>
      <c r="B38" s="59" t="s">
        <v>1539</v>
      </c>
      <c r="C38" s="21"/>
      <c r="D38" s="36"/>
      <c r="E38" s="21"/>
      <c r="F38" s="21">
        <v>362</v>
      </c>
      <c r="G38" s="21">
        <f>F38</f>
        <v>362</v>
      </c>
      <c r="H38" s="21">
        <f>G38</f>
        <v>362</v>
      </c>
    </row>
    <row r="39" spans="1:8" ht="37.5" x14ac:dyDescent="0.25">
      <c r="A39" s="11"/>
      <c r="B39" s="59" t="s">
        <v>1079</v>
      </c>
      <c r="C39" s="21">
        <v>6</v>
      </c>
      <c r="D39" s="21">
        <v>4</v>
      </c>
      <c r="E39" s="21"/>
      <c r="F39" s="21">
        <v>283</v>
      </c>
      <c r="G39" s="21">
        <f>ROUND(F39+2*8.8,0)</f>
        <v>301</v>
      </c>
      <c r="H39" s="21">
        <f>ROUND(G39+2*8.8,0)</f>
        <v>319</v>
      </c>
    </row>
    <row r="40" spans="1:8" s="146" customFormat="1" ht="37.5" x14ac:dyDescent="0.25">
      <c r="A40" s="13">
        <v>2</v>
      </c>
      <c r="B40" s="63" t="s">
        <v>816</v>
      </c>
      <c r="C40" s="22">
        <v>35</v>
      </c>
      <c r="D40" s="22"/>
      <c r="E40" s="75">
        <v>720</v>
      </c>
      <c r="F40" s="75">
        <f>C40*20</f>
        <v>700</v>
      </c>
      <c r="G40" s="75">
        <f>F40</f>
        <v>700</v>
      </c>
      <c r="H40" s="75">
        <f>G40</f>
        <v>700</v>
      </c>
    </row>
    <row r="41" spans="1:8" s="146" customFormat="1" ht="37.5" x14ac:dyDescent="0.25">
      <c r="A41" s="13">
        <v>3</v>
      </c>
      <c r="B41" s="14" t="s">
        <v>1092</v>
      </c>
      <c r="C41" s="22"/>
      <c r="D41" s="22"/>
      <c r="E41" s="75">
        <f>SUM(E42:E43)</f>
        <v>204</v>
      </c>
      <c r="F41" s="75">
        <f>SUM(F42:F43)</f>
        <v>196</v>
      </c>
      <c r="G41" s="75">
        <f>SUM(G42:G43)</f>
        <v>196</v>
      </c>
      <c r="H41" s="75">
        <f>SUM(H42:H43)</f>
        <v>196</v>
      </c>
    </row>
    <row r="42" spans="1:8" x14ac:dyDescent="0.25">
      <c r="A42" s="11"/>
      <c r="B42" s="59" t="s">
        <v>969</v>
      </c>
      <c r="C42" s="21"/>
      <c r="D42" s="21"/>
      <c r="E42" s="21">
        <v>72</v>
      </c>
      <c r="F42" s="21">
        <v>70</v>
      </c>
      <c r="G42" s="21">
        <f>F42</f>
        <v>70</v>
      </c>
      <c r="H42" s="21">
        <f>G42</f>
        <v>70</v>
      </c>
    </row>
    <row r="43" spans="1:8" x14ac:dyDescent="0.25">
      <c r="A43" s="11"/>
      <c r="B43" s="59" t="s">
        <v>968</v>
      </c>
      <c r="C43" s="21"/>
      <c r="D43" s="21"/>
      <c r="E43" s="21">
        <v>132</v>
      </c>
      <c r="F43" s="21">
        <v>126</v>
      </c>
      <c r="G43" s="21">
        <f>F43</f>
        <v>126</v>
      </c>
      <c r="H43" s="21">
        <f>G43</f>
        <v>126</v>
      </c>
    </row>
    <row r="44" spans="1:8" s="146" customFormat="1" x14ac:dyDescent="0.25">
      <c r="A44" s="13" t="s">
        <v>52</v>
      </c>
      <c r="B44" s="63" t="s">
        <v>11</v>
      </c>
      <c r="C44" s="22"/>
      <c r="D44" s="22"/>
      <c r="E44" s="75">
        <f>E45+E56+E58</f>
        <v>2022</v>
      </c>
      <c r="F44" s="75">
        <f t="shared" ref="F44:H44" si="5">F45+F56+F58</f>
        <v>5542</v>
      </c>
      <c r="G44" s="75">
        <f t="shared" si="5"/>
        <v>1955</v>
      </c>
      <c r="H44" s="75">
        <f t="shared" si="5"/>
        <v>1955</v>
      </c>
    </row>
    <row r="45" spans="1:8" s="210" customFormat="1" ht="19.5" x14ac:dyDescent="0.25">
      <c r="A45" s="201">
        <v>1</v>
      </c>
      <c r="B45" s="140" t="s">
        <v>807</v>
      </c>
      <c r="C45" s="203"/>
      <c r="D45" s="203"/>
      <c r="E45" s="205">
        <f>SUM(E46:E55)</f>
        <v>222</v>
      </c>
      <c r="F45" s="205">
        <f t="shared" ref="F45:H45" si="6">SUM(F46:F55)</f>
        <v>446</v>
      </c>
      <c r="G45" s="205">
        <f t="shared" si="6"/>
        <v>155</v>
      </c>
      <c r="H45" s="205">
        <f t="shared" si="6"/>
        <v>155</v>
      </c>
    </row>
    <row r="46" spans="1:8" s="49" customFormat="1" x14ac:dyDescent="0.25">
      <c r="A46" s="58" t="s">
        <v>817</v>
      </c>
      <c r="B46" s="59" t="s">
        <v>1352</v>
      </c>
      <c r="C46" s="60"/>
      <c r="D46" s="60"/>
      <c r="E46" s="60">
        <v>32</v>
      </c>
      <c r="F46" s="60">
        <f>E46+23</f>
        <v>55</v>
      </c>
      <c r="G46" s="60">
        <f t="shared" ref="G46:G50" si="7">E46</f>
        <v>32</v>
      </c>
      <c r="H46" s="60">
        <f t="shared" ref="H46:H51" si="8">G46</f>
        <v>32</v>
      </c>
    </row>
    <row r="47" spans="1:8" s="49" customFormat="1" x14ac:dyDescent="0.25">
      <c r="A47" s="58" t="s">
        <v>817</v>
      </c>
      <c r="B47" s="59" t="s">
        <v>482</v>
      </c>
      <c r="C47" s="60"/>
      <c r="D47" s="60"/>
      <c r="E47" s="60">
        <v>15</v>
      </c>
      <c r="F47" s="60">
        <f>E47</f>
        <v>15</v>
      </c>
      <c r="G47" s="60">
        <f t="shared" si="7"/>
        <v>15</v>
      </c>
      <c r="H47" s="60">
        <f t="shared" si="8"/>
        <v>15</v>
      </c>
    </row>
    <row r="48" spans="1:8" s="49" customFormat="1" x14ac:dyDescent="0.25">
      <c r="A48" s="58" t="s">
        <v>817</v>
      </c>
      <c r="B48" s="59" t="s">
        <v>183</v>
      </c>
      <c r="C48" s="60"/>
      <c r="D48" s="60"/>
      <c r="E48" s="60">
        <v>17</v>
      </c>
      <c r="F48" s="60">
        <v>11</v>
      </c>
      <c r="G48" s="60">
        <f t="shared" si="7"/>
        <v>17</v>
      </c>
      <c r="H48" s="60">
        <f t="shared" si="8"/>
        <v>17</v>
      </c>
    </row>
    <row r="49" spans="1:8" s="49" customFormat="1" x14ac:dyDescent="0.25">
      <c r="A49" s="58" t="s">
        <v>817</v>
      </c>
      <c r="B49" s="59" t="s">
        <v>279</v>
      </c>
      <c r="C49" s="60"/>
      <c r="D49" s="60"/>
      <c r="E49" s="60">
        <v>11</v>
      </c>
      <c r="F49" s="60">
        <v>20</v>
      </c>
      <c r="G49" s="60">
        <f t="shared" si="7"/>
        <v>11</v>
      </c>
      <c r="H49" s="60">
        <f t="shared" si="8"/>
        <v>11</v>
      </c>
    </row>
    <row r="50" spans="1:8" s="49" customFormat="1" hidden="1" x14ac:dyDescent="0.25">
      <c r="A50" s="58" t="s">
        <v>817</v>
      </c>
      <c r="B50" s="59" t="s">
        <v>731</v>
      </c>
      <c r="C50" s="60"/>
      <c r="D50" s="60"/>
      <c r="E50" s="60"/>
      <c r="F50" s="60"/>
      <c r="G50" s="60">
        <f t="shared" si="7"/>
        <v>0</v>
      </c>
      <c r="H50" s="60">
        <f t="shared" si="8"/>
        <v>0</v>
      </c>
    </row>
    <row r="51" spans="1:8" s="49" customFormat="1" ht="37.5" x14ac:dyDescent="0.25">
      <c r="A51" s="58" t="s">
        <v>817</v>
      </c>
      <c r="B51" s="59" t="s">
        <v>1547</v>
      </c>
      <c r="C51" s="60"/>
      <c r="D51" s="60"/>
      <c r="E51" s="60">
        <v>30</v>
      </c>
      <c r="F51" s="60">
        <v>80</v>
      </c>
      <c r="G51" s="60">
        <f>F51</f>
        <v>80</v>
      </c>
      <c r="H51" s="60">
        <f t="shared" si="8"/>
        <v>80</v>
      </c>
    </row>
    <row r="52" spans="1:8" s="49" customFormat="1" ht="37.5" x14ac:dyDescent="0.25">
      <c r="A52" s="58" t="s">
        <v>817</v>
      </c>
      <c r="B52" s="59" t="s">
        <v>818</v>
      </c>
      <c r="C52" s="60"/>
      <c r="D52" s="60"/>
      <c r="E52" s="60">
        <f>30+20+27</f>
        <v>77</v>
      </c>
      <c r="F52" s="60"/>
      <c r="G52" s="60"/>
      <c r="H52" s="60"/>
    </row>
    <row r="53" spans="1:8" s="49" customFormat="1" ht="93.75" x14ac:dyDescent="0.25">
      <c r="A53" s="58" t="s">
        <v>817</v>
      </c>
      <c r="B53" s="59" t="s">
        <v>1542</v>
      </c>
      <c r="C53" s="60"/>
      <c r="D53" s="60"/>
      <c r="E53" s="60"/>
      <c r="F53" s="60">
        <f>5*15+140</f>
        <v>215</v>
      </c>
      <c r="G53" s="60"/>
      <c r="H53" s="60"/>
    </row>
    <row r="54" spans="1:8" s="49" customFormat="1" x14ac:dyDescent="0.25">
      <c r="A54" s="58" t="s">
        <v>817</v>
      </c>
      <c r="B54" s="59" t="s">
        <v>520</v>
      </c>
      <c r="C54" s="60"/>
      <c r="D54" s="60"/>
      <c r="E54" s="60"/>
      <c r="F54" s="60">
        <v>50</v>
      </c>
      <c r="G54" s="60"/>
      <c r="H54" s="60"/>
    </row>
    <row r="55" spans="1:8" s="49" customFormat="1" x14ac:dyDescent="0.25">
      <c r="A55" s="58" t="s">
        <v>817</v>
      </c>
      <c r="B55" s="59" t="s">
        <v>114</v>
      </c>
      <c r="C55" s="60"/>
      <c r="D55" s="60"/>
      <c r="E55" s="60">
        <v>40</v>
      </c>
      <c r="F55" s="60"/>
      <c r="G55" s="60"/>
      <c r="H55" s="60"/>
    </row>
    <row r="56" spans="1:8" s="142" customFormat="1" ht="19.5" x14ac:dyDescent="0.35">
      <c r="A56" s="139">
        <v>2</v>
      </c>
      <c r="B56" s="189" t="s">
        <v>82</v>
      </c>
      <c r="C56" s="141"/>
      <c r="D56" s="141"/>
      <c r="E56" s="141">
        <f>E57</f>
        <v>0</v>
      </c>
      <c r="F56" s="141">
        <f>F57</f>
        <v>3296</v>
      </c>
      <c r="G56" s="141">
        <f>G57</f>
        <v>0</v>
      </c>
      <c r="H56" s="141">
        <f>H57</f>
        <v>0</v>
      </c>
    </row>
    <row r="57" spans="1:8" s="49" customFormat="1" ht="56.25" x14ac:dyDescent="0.25">
      <c r="A57" s="58" t="s">
        <v>817</v>
      </c>
      <c r="B57" s="59" t="s">
        <v>1543</v>
      </c>
      <c r="C57" s="60"/>
      <c r="D57" s="60"/>
      <c r="E57" s="60"/>
      <c r="F57" s="60">
        <v>3296</v>
      </c>
      <c r="G57" s="60"/>
      <c r="H57" s="60"/>
    </row>
    <row r="58" spans="1:8" s="142" customFormat="1" ht="19.5" x14ac:dyDescent="0.35">
      <c r="A58" s="139">
        <v>3</v>
      </c>
      <c r="B58" s="189" t="s">
        <v>83</v>
      </c>
      <c r="C58" s="141"/>
      <c r="D58" s="141"/>
      <c r="E58" s="141">
        <f>E59</f>
        <v>1800</v>
      </c>
      <c r="F58" s="141">
        <f>F59</f>
        <v>1800</v>
      </c>
      <c r="G58" s="141">
        <f>G59</f>
        <v>1800</v>
      </c>
      <c r="H58" s="141">
        <f>H59</f>
        <v>1800</v>
      </c>
    </row>
    <row r="59" spans="1:8" s="49" customFormat="1" ht="93.75" x14ac:dyDescent="0.25">
      <c r="A59" s="58" t="s">
        <v>99</v>
      </c>
      <c r="B59" s="59" t="s">
        <v>1537</v>
      </c>
      <c r="C59" s="60"/>
      <c r="D59" s="60"/>
      <c r="E59" s="60">
        <v>1800</v>
      </c>
      <c r="F59" s="60">
        <f>E59</f>
        <v>1800</v>
      </c>
      <c r="G59" s="60">
        <v>1800</v>
      </c>
      <c r="H59" s="60">
        <v>1800</v>
      </c>
    </row>
    <row r="60" spans="1:8" s="49" customFormat="1" x14ac:dyDescent="0.25">
      <c r="A60" s="73" t="s">
        <v>7</v>
      </c>
      <c r="B60" s="14" t="s">
        <v>1536</v>
      </c>
      <c r="C60" s="60"/>
      <c r="D60" s="60"/>
      <c r="E60" s="64">
        <f>E61+E68</f>
        <v>4853</v>
      </c>
      <c r="F60" s="64">
        <f>F61+F68</f>
        <v>3560</v>
      </c>
      <c r="G60" s="64">
        <f>G61+G68</f>
        <v>3289</v>
      </c>
      <c r="H60" s="64">
        <f>H61+H68</f>
        <v>3340</v>
      </c>
    </row>
    <row r="61" spans="1:8" s="76" customFormat="1" ht="21" customHeight="1" x14ac:dyDescent="0.25">
      <c r="A61" s="73" t="s">
        <v>51</v>
      </c>
      <c r="B61" s="14" t="s">
        <v>1078</v>
      </c>
      <c r="C61" s="75"/>
      <c r="D61" s="75"/>
      <c r="E61" s="75">
        <v>2051</v>
      </c>
      <c r="F61" s="75">
        <f>+F62+F66-F67</f>
        <v>1876</v>
      </c>
      <c r="G61" s="75">
        <f>+G62+G66-G67</f>
        <v>1927</v>
      </c>
      <c r="H61" s="75">
        <f>+H62+H66-H67</f>
        <v>1978</v>
      </c>
    </row>
    <row r="62" spans="1:8" s="76" customFormat="1" ht="56.25" x14ac:dyDescent="0.25">
      <c r="A62" s="77">
        <v>1</v>
      </c>
      <c r="B62" s="12" t="s">
        <v>1341</v>
      </c>
      <c r="C62" s="75"/>
      <c r="D62" s="75"/>
      <c r="E62" s="36"/>
      <c r="F62" s="36">
        <f>SUM(F63:F65)</f>
        <v>1534</v>
      </c>
      <c r="G62" s="36">
        <f>SUM(G63:G65)</f>
        <v>1585</v>
      </c>
      <c r="H62" s="36">
        <f>SUM(H63:H65)</f>
        <v>1636</v>
      </c>
    </row>
    <row r="63" spans="1:8" s="79" customFormat="1" x14ac:dyDescent="0.25">
      <c r="A63" s="77"/>
      <c r="B63" s="95" t="s">
        <v>1530</v>
      </c>
      <c r="C63" s="36">
        <v>20</v>
      </c>
      <c r="D63" s="36">
        <v>9</v>
      </c>
      <c r="E63" s="36"/>
      <c r="F63" s="36">
        <v>876</v>
      </c>
      <c r="G63" s="36">
        <f>ROUND(F63+7*7.3,0)</f>
        <v>927</v>
      </c>
      <c r="H63" s="36">
        <f>ROUND(G63+7*7.3,0)</f>
        <v>978</v>
      </c>
    </row>
    <row r="64" spans="1:8" s="107" customFormat="1" ht="37.5" x14ac:dyDescent="0.25">
      <c r="A64" s="224"/>
      <c r="B64" s="95" t="s">
        <v>1531</v>
      </c>
      <c r="C64" s="61"/>
      <c r="D64" s="61"/>
      <c r="E64" s="61"/>
      <c r="F64" s="61">
        <v>568</v>
      </c>
      <c r="G64" s="61">
        <f t="shared" ref="G64:H67" si="9">F64</f>
        <v>568</v>
      </c>
      <c r="H64" s="61">
        <f t="shared" si="9"/>
        <v>568</v>
      </c>
    </row>
    <row r="65" spans="1:8" s="107" customFormat="1" ht="37.5" x14ac:dyDescent="0.25">
      <c r="A65" s="224"/>
      <c r="B65" s="95" t="s">
        <v>1533</v>
      </c>
      <c r="C65" s="61">
        <v>2</v>
      </c>
      <c r="D65" s="61">
        <v>2</v>
      </c>
      <c r="E65" s="61"/>
      <c r="F65" s="61">
        <v>90</v>
      </c>
      <c r="G65" s="61">
        <f t="shared" si="9"/>
        <v>90</v>
      </c>
      <c r="H65" s="61">
        <f t="shared" si="9"/>
        <v>90</v>
      </c>
    </row>
    <row r="66" spans="1:8" s="79" customFormat="1" ht="37.5" x14ac:dyDescent="0.25">
      <c r="A66" s="77">
        <v>2</v>
      </c>
      <c r="B66" s="78" t="s">
        <v>1532</v>
      </c>
      <c r="C66" s="36">
        <v>20</v>
      </c>
      <c r="D66" s="36"/>
      <c r="E66" s="36"/>
      <c r="F66" s="36">
        <f>C66*19</f>
        <v>380</v>
      </c>
      <c r="G66" s="36">
        <f t="shared" si="9"/>
        <v>380</v>
      </c>
      <c r="H66" s="36">
        <f t="shared" si="9"/>
        <v>380</v>
      </c>
    </row>
    <row r="67" spans="1:8" s="79" customFormat="1" ht="37.5" x14ac:dyDescent="0.25">
      <c r="A67" s="77">
        <v>3</v>
      </c>
      <c r="B67" s="78" t="s">
        <v>103</v>
      </c>
      <c r="C67" s="36"/>
      <c r="D67" s="36"/>
      <c r="E67" s="36"/>
      <c r="F67" s="36">
        <v>38</v>
      </c>
      <c r="G67" s="36">
        <f t="shared" si="9"/>
        <v>38</v>
      </c>
      <c r="H67" s="36">
        <f t="shared" si="9"/>
        <v>38</v>
      </c>
    </row>
    <row r="68" spans="1:8" s="50" customFormat="1" x14ac:dyDescent="0.25">
      <c r="A68" s="62" t="s">
        <v>52</v>
      </c>
      <c r="B68" s="63" t="s">
        <v>11</v>
      </c>
      <c r="C68" s="64"/>
      <c r="D68" s="64"/>
      <c r="E68" s="64">
        <f>SUM(E69:E79)</f>
        <v>2802</v>
      </c>
      <c r="F68" s="64">
        <f>SUM(F69:F79)</f>
        <v>1684</v>
      </c>
      <c r="G68" s="64">
        <f>SUM(G69:G79)</f>
        <v>1362</v>
      </c>
      <c r="H68" s="64">
        <f>SUM(H69:H79)</f>
        <v>1362</v>
      </c>
    </row>
    <row r="69" spans="1:8" s="49" customFormat="1" x14ac:dyDescent="0.25">
      <c r="A69" s="58" t="s">
        <v>99</v>
      </c>
      <c r="B69" s="59" t="s">
        <v>277</v>
      </c>
      <c r="C69" s="60"/>
      <c r="D69" s="60"/>
      <c r="E69" s="60">
        <v>26</v>
      </c>
      <c r="F69" s="60">
        <v>12</v>
      </c>
      <c r="G69" s="60">
        <f t="shared" ref="G69:G75" si="10">F69</f>
        <v>12</v>
      </c>
      <c r="H69" s="60">
        <f t="shared" ref="H69:H71" si="11">G69</f>
        <v>12</v>
      </c>
    </row>
    <row r="70" spans="1:8" s="49" customFormat="1" ht="37.5" x14ac:dyDescent="0.25">
      <c r="A70" s="58" t="s">
        <v>99</v>
      </c>
      <c r="B70" s="59" t="s">
        <v>812</v>
      </c>
      <c r="C70" s="60"/>
      <c r="D70" s="60"/>
      <c r="E70" s="60">
        <v>1216</v>
      </c>
      <c r="F70" s="60">
        <v>1064</v>
      </c>
      <c r="G70" s="60">
        <f t="shared" si="10"/>
        <v>1064</v>
      </c>
      <c r="H70" s="60">
        <f t="shared" si="11"/>
        <v>1064</v>
      </c>
    </row>
    <row r="71" spans="1:8" s="49" customFormat="1" ht="37.5" x14ac:dyDescent="0.25">
      <c r="A71" s="58" t="s">
        <v>99</v>
      </c>
      <c r="B71" s="59" t="s">
        <v>275</v>
      </c>
      <c r="C71" s="60"/>
      <c r="D71" s="60"/>
      <c r="E71" s="60">
        <v>124</v>
      </c>
      <c r="F71" s="60">
        <v>108</v>
      </c>
      <c r="G71" s="60">
        <f t="shared" si="10"/>
        <v>108</v>
      </c>
      <c r="H71" s="60">
        <f t="shared" si="11"/>
        <v>108</v>
      </c>
    </row>
    <row r="72" spans="1:8" s="49" customFormat="1" ht="37.5" x14ac:dyDescent="0.25">
      <c r="A72" s="58" t="s">
        <v>99</v>
      </c>
      <c r="B72" s="59" t="s">
        <v>813</v>
      </c>
      <c r="C72" s="60"/>
      <c r="D72" s="60"/>
      <c r="E72" s="60">
        <v>107</v>
      </c>
      <c r="F72" s="60">
        <v>107</v>
      </c>
      <c r="G72" s="60"/>
      <c r="H72" s="60"/>
    </row>
    <row r="73" spans="1:8" s="49" customFormat="1" ht="37.5" x14ac:dyDescent="0.25">
      <c r="A73" s="58" t="s">
        <v>99</v>
      </c>
      <c r="B73" s="59" t="s">
        <v>276</v>
      </c>
      <c r="C73" s="60"/>
      <c r="D73" s="60"/>
      <c r="E73" s="60">
        <v>60</v>
      </c>
      <c r="F73" s="60">
        <f>E73</f>
        <v>60</v>
      </c>
      <c r="G73" s="60"/>
      <c r="H73" s="60"/>
    </row>
    <row r="74" spans="1:8" s="49" customFormat="1" ht="56.25" x14ac:dyDescent="0.25">
      <c r="A74" s="58" t="s">
        <v>99</v>
      </c>
      <c r="B74" s="59" t="s">
        <v>820</v>
      </c>
      <c r="C74" s="60"/>
      <c r="D74" s="60"/>
      <c r="E74" s="60">
        <v>88</v>
      </c>
      <c r="F74" s="60">
        <v>98</v>
      </c>
      <c r="G74" s="60">
        <f t="shared" si="10"/>
        <v>98</v>
      </c>
      <c r="H74" s="60">
        <f>G74</f>
        <v>98</v>
      </c>
    </row>
    <row r="75" spans="1:8" s="49" customFormat="1" x14ac:dyDescent="0.25">
      <c r="A75" s="58" t="s">
        <v>99</v>
      </c>
      <c r="B75" s="59" t="s">
        <v>278</v>
      </c>
      <c r="C75" s="60"/>
      <c r="D75" s="60"/>
      <c r="E75" s="60">
        <v>80</v>
      </c>
      <c r="F75" s="60">
        <v>80</v>
      </c>
      <c r="G75" s="60">
        <f t="shared" si="10"/>
        <v>80</v>
      </c>
      <c r="H75" s="60">
        <f>G75</f>
        <v>80</v>
      </c>
    </row>
    <row r="76" spans="1:8" s="49" customFormat="1" ht="37.5" x14ac:dyDescent="0.25">
      <c r="A76" s="58" t="s">
        <v>99</v>
      </c>
      <c r="B76" s="59" t="s">
        <v>814</v>
      </c>
      <c r="C76" s="60"/>
      <c r="D76" s="60"/>
      <c r="E76" s="60">
        <v>75</v>
      </c>
      <c r="F76" s="60"/>
      <c r="G76" s="60"/>
      <c r="H76" s="60"/>
    </row>
    <row r="77" spans="1:8" s="49" customFormat="1" ht="37.5" x14ac:dyDescent="0.25">
      <c r="A77" s="58" t="s">
        <v>99</v>
      </c>
      <c r="B77" s="59" t="s">
        <v>1535</v>
      </c>
      <c r="C77" s="60"/>
      <c r="D77" s="60"/>
      <c r="E77" s="60"/>
      <c r="F77" s="60">
        <f>35+15*8</f>
        <v>155</v>
      </c>
      <c r="G77" s="60"/>
      <c r="H77" s="60"/>
    </row>
    <row r="78" spans="1:8" s="49" customFormat="1" x14ac:dyDescent="0.25">
      <c r="A78" s="58" t="s">
        <v>99</v>
      </c>
      <c r="B78" s="59" t="s">
        <v>815</v>
      </c>
      <c r="C78" s="60"/>
      <c r="D78" s="60"/>
      <c r="E78" s="60">
        <v>950</v>
      </c>
      <c r="F78" s="60"/>
      <c r="G78" s="60"/>
      <c r="H78" s="60"/>
    </row>
    <row r="79" spans="1:8" s="49" customFormat="1" ht="37.5" x14ac:dyDescent="0.25">
      <c r="A79" s="58" t="s">
        <v>99</v>
      </c>
      <c r="B79" s="59" t="s">
        <v>1534</v>
      </c>
      <c r="C79" s="60"/>
      <c r="D79" s="60"/>
      <c r="E79" s="60">
        <v>76</v>
      </c>
      <c r="F79" s="60"/>
      <c r="G79" s="60"/>
      <c r="H79" s="60"/>
    </row>
    <row r="80" spans="1:8" s="49" customFormat="1" x14ac:dyDescent="0.25">
      <c r="A80" s="67"/>
      <c r="B80" s="68"/>
      <c r="C80" s="69"/>
      <c r="D80" s="69"/>
      <c r="E80" s="69"/>
      <c r="F80" s="69"/>
      <c r="G80" s="69"/>
      <c r="H80" s="69"/>
    </row>
    <row r="81" spans="1:8" s="49" customFormat="1" ht="43.5" customHeight="1" x14ac:dyDescent="0.25">
      <c r="A81" s="70"/>
      <c r="B81" s="567" t="s">
        <v>1544</v>
      </c>
      <c r="C81" s="567"/>
      <c r="D81" s="567"/>
      <c r="E81" s="567"/>
      <c r="F81" s="567"/>
      <c r="G81" s="567"/>
      <c r="H81" s="567"/>
    </row>
    <row r="82" spans="1:8" x14ac:dyDescent="0.25">
      <c r="A82" s="221"/>
      <c r="B82" s="7" t="s">
        <v>1545</v>
      </c>
    </row>
    <row r="83" spans="1:8" x14ac:dyDescent="0.25">
      <c r="A83" s="221"/>
    </row>
    <row r="84" spans="1:8" x14ac:dyDescent="0.25">
      <c r="A84" s="550" t="s">
        <v>36</v>
      </c>
      <c r="B84" s="550"/>
      <c r="D84" s="550" t="s">
        <v>37</v>
      </c>
      <c r="E84" s="550"/>
      <c r="F84" s="550"/>
      <c r="G84" s="550"/>
      <c r="H84" s="550"/>
    </row>
  </sheetData>
  <mergeCells count="19">
    <mergeCell ref="C22:H22"/>
    <mergeCell ref="A1:H1"/>
    <mergeCell ref="B3:H3"/>
    <mergeCell ref="C6:H6"/>
    <mergeCell ref="C7:H7"/>
    <mergeCell ref="C8:H8"/>
    <mergeCell ref="C9:H9"/>
    <mergeCell ref="C10:H10"/>
    <mergeCell ref="C15:H15"/>
    <mergeCell ref="C17:H17"/>
    <mergeCell ref="C21:H21"/>
    <mergeCell ref="C19:H19"/>
    <mergeCell ref="B81:H81"/>
    <mergeCell ref="A84:B84"/>
    <mergeCell ref="D84:H84"/>
    <mergeCell ref="C23:H23"/>
    <mergeCell ref="C24:H24"/>
    <mergeCell ref="C25:H25"/>
    <mergeCell ref="B26:H26"/>
  </mergeCells>
  <printOptions horizontalCentered="1"/>
  <pageMargins left="0.196850393700787" right="0.196850393700787" top="1" bottom="0.5" header="0.31496062992126" footer="0.31496062992126"/>
  <pageSetup paperSize="9" scale="89" orientation="portrait" r:id="rId1"/>
  <headerFooter>
    <oddFooter>&amp;C&amp;P/&amp;N</oddFooter>
  </headerFooter>
  <legacyDrawing r:id="rId2"/>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67"/>
  <sheetViews>
    <sheetView topLeftCell="A45" zoomScaleNormal="100" workbookViewId="0">
      <selection activeCell="B46" sqref="B46"/>
    </sheetView>
  </sheetViews>
  <sheetFormatPr defaultColWidth="9.140625" defaultRowHeight="18.75" x14ac:dyDescent="0.25"/>
  <cols>
    <col min="1" max="1" width="4.85546875" style="49" customWidth="1"/>
    <col min="2" max="2" width="43.28515625" style="49" customWidth="1"/>
    <col min="3" max="4" width="7.85546875" style="49" customWidth="1"/>
    <col min="5" max="8" width="11.7109375" style="49" customWidth="1"/>
    <col min="9" max="16384" width="9.140625" style="49"/>
  </cols>
  <sheetData>
    <row r="1" spans="1:8" ht="41.25" customHeight="1" x14ac:dyDescent="0.25">
      <c r="A1" s="569" t="s">
        <v>1074</v>
      </c>
      <c r="B1" s="570"/>
      <c r="C1" s="570"/>
      <c r="D1" s="570"/>
      <c r="E1" s="570"/>
      <c r="F1" s="570"/>
      <c r="G1" s="570"/>
      <c r="H1" s="570"/>
    </row>
    <row r="2" spans="1:8" x14ac:dyDescent="0.25">
      <c r="A2" s="50"/>
      <c r="B2" s="50"/>
      <c r="C2" s="50"/>
      <c r="D2" s="51"/>
      <c r="E2" s="51"/>
      <c r="F2" s="51"/>
      <c r="G2" s="51"/>
      <c r="H2" s="51"/>
    </row>
    <row r="3" spans="1:8" ht="40.5" customHeight="1" x14ac:dyDescent="0.25">
      <c r="B3" s="565" t="s">
        <v>1855</v>
      </c>
      <c r="C3" s="565"/>
      <c r="D3" s="565"/>
      <c r="E3" s="565"/>
      <c r="F3" s="565"/>
      <c r="G3" s="565"/>
      <c r="H3" s="565"/>
    </row>
    <row r="4" spans="1:8" x14ac:dyDescent="0.25">
      <c r="B4" s="49" t="s">
        <v>39</v>
      </c>
      <c r="D4" s="52"/>
      <c r="E4" s="52"/>
      <c r="F4" s="52"/>
      <c r="G4" s="52"/>
      <c r="H4" s="52"/>
    </row>
    <row r="5" spans="1:8" s="50" customFormat="1" x14ac:dyDescent="0.25">
      <c r="B5" s="50" t="s">
        <v>18</v>
      </c>
    </row>
    <row r="6" spans="1:8" x14ac:dyDescent="0.25">
      <c r="B6" s="49" t="s">
        <v>23</v>
      </c>
      <c r="C6" s="566" t="s">
        <v>49</v>
      </c>
      <c r="D6" s="566"/>
      <c r="E6" s="566"/>
      <c r="F6" s="566"/>
      <c r="G6" s="566"/>
      <c r="H6" s="566"/>
    </row>
    <row r="7" spans="1:8" x14ac:dyDescent="0.25">
      <c r="B7" s="49" t="s">
        <v>19</v>
      </c>
      <c r="C7" s="566" t="s">
        <v>50</v>
      </c>
      <c r="D7" s="566"/>
      <c r="E7" s="566"/>
      <c r="F7" s="566"/>
      <c r="G7" s="566"/>
      <c r="H7" s="566"/>
    </row>
    <row r="8" spans="1:8" hidden="1" x14ac:dyDescent="0.25">
      <c r="B8" s="49" t="s">
        <v>90</v>
      </c>
      <c r="C8" s="566" t="s">
        <v>60</v>
      </c>
      <c r="D8" s="566"/>
      <c r="E8" s="566"/>
      <c r="F8" s="566"/>
      <c r="G8" s="566"/>
      <c r="H8" s="566"/>
    </row>
    <row r="9" spans="1:8" x14ac:dyDescent="0.25">
      <c r="B9" s="49" t="s">
        <v>59</v>
      </c>
      <c r="C9" s="566" t="s">
        <v>60</v>
      </c>
      <c r="D9" s="566"/>
      <c r="E9" s="566"/>
      <c r="F9" s="566"/>
      <c r="G9" s="566"/>
      <c r="H9" s="566"/>
    </row>
    <row r="10" spans="1:8" hidden="1" x14ac:dyDescent="0.25">
      <c r="B10" s="49" t="s">
        <v>20</v>
      </c>
      <c r="C10" s="566" t="s">
        <v>86</v>
      </c>
      <c r="D10" s="566"/>
      <c r="E10" s="566"/>
      <c r="F10" s="566"/>
      <c r="G10" s="566"/>
      <c r="H10" s="566"/>
    </row>
    <row r="11" spans="1:8" hidden="1" x14ac:dyDescent="0.25">
      <c r="B11" s="49" t="s">
        <v>21</v>
      </c>
      <c r="C11" s="100" t="s">
        <v>87</v>
      </c>
      <c r="D11" s="100"/>
      <c r="E11" s="100"/>
      <c r="F11" s="329"/>
      <c r="G11" s="100"/>
      <c r="H11" s="100"/>
    </row>
    <row r="12" spans="1:8" x14ac:dyDescent="0.25">
      <c r="B12" s="49" t="s">
        <v>306</v>
      </c>
      <c r="C12" s="100" t="s">
        <v>88</v>
      </c>
      <c r="D12" s="100"/>
      <c r="E12" s="100"/>
      <c r="F12" s="329"/>
      <c r="G12" s="100"/>
      <c r="H12" s="100"/>
    </row>
    <row r="13" spans="1:8" hidden="1" x14ac:dyDescent="0.25">
      <c r="B13" s="49" t="s">
        <v>94</v>
      </c>
      <c r="C13" s="100" t="s">
        <v>95</v>
      </c>
      <c r="D13" s="100"/>
      <c r="E13" s="100"/>
      <c r="F13" s="329"/>
      <c r="G13" s="100"/>
      <c r="H13" s="100"/>
    </row>
    <row r="14" spans="1:8" x14ac:dyDescent="0.25">
      <c r="C14" s="100"/>
      <c r="D14" s="100"/>
      <c r="E14" s="100"/>
      <c r="F14" s="329"/>
      <c r="G14" s="100"/>
      <c r="H14" s="100"/>
    </row>
    <row r="15" spans="1:8" hidden="1" x14ac:dyDescent="0.25">
      <c r="B15" s="49" t="s">
        <v>21</v>
      </c>
      <c r="C15" s="566"/>
      <c r="D15" s="566"/>
      <c r="E15" s="566"/>
      <c r="F15" s="566"/>
      <c r="G15" s="566"/>
      <c r="H15" s="566"/>
    </row>
    <row r="16" spans="1:8" s="50" customFormat="1" x14ac:dyDescent="0.25">
      <c r="B16" s="50" t="s">
        <v>305</v>
      </c>
    </row>
    <row r="17" spans="1:8" x14ac:dyDescent="0.25">
      <c r="B17" s="49" t="s">
        <v>307</v>
      </c>
      <c r="C17" s="566" t="s">
        <v>176</v>
      </c>
      <c r="D17" s="566"/>
      <c r="E17" s="566"/>
      <c r="F17" s="566"/>
      <c r="G17" s="566"/>
      <c r="H17" s="566"/>
    </row>
    <row r="18" spans="1:8" hidden="1" x14ac:dyDescent="0.25">
      <c r="B18" s="49" t="s">
        <v>20</v>
      </c>
      <c r="C18" s="100"/>
      <c r="D18" s="100"/>
      <c r="E18" s="100"/>
      <c r="F18" s="329"/>
      <c r="G18" s="100"/>
      <c r="H18" s="100"/>
    </row>
    <row r="19" spans="1:8" x14ac:dyDescent="0.25">
      <c r="B19" s="49" t="s">
        <v>308</v>
      </c>
      <c r="C19" s="566" t="s">
        <v>108</v>
      </c>
      <c r="D19" s="566"/>
      <c r="E19" s="566"/>
      <c r="F19" s="566"/>
      <c r="G19" s="566"/>
      <c r="H19" s="566"/>
    </row>
    <row r="20" spans="1:8" hidden="1" x14ac:dyDescent="0.25">
      <c r="B20" s="49" t="s">
        <v>20</v>
      </c>
      <c r="C20" s="566"/>
      <c r="D20" s="566"/>
      <c r="E20" s="566"/>
      <c r="F20" s="566"/>
      <c r="G20" s="566"/>
      <c r="H20" s="566"/>
    </row>
    <row r="21" spans="1:8" hidden="1" x14ac:dyDescent="0.25">
      <c r="B21" s="49" t="s">
        <v>21</v>
      </c>
      <c r="C21" s="566"/>
      <c r="D21" s="566"/>
      <c r="E21" s="566"/>
      <c r="F21" s="566"/>
      <c r="G21" s="566"/>
      <c r="H21" s="566"/>
    </row>
    <row r="22" spans="1:8" hidden="1" x14ac:dyDescent="0.25">
      <c r="B22" s="49" t="s">
        <v>21</v>
      </c>
      <c r="C22" s="566"/>
      <c r="D22" s="566"/>
      <c r="E22" s="566"/>
      <c r="F22" s="566"/>
      <c r="G22" s="566"/>
      <c r="H22" s="566"/>
    </row>
    <row r="23" spans="1:8" hidden="1" x14ac:dyDescent="0.25">
      <c r="B23" s="49" t="s">
        <v>21</v>
      </c>
      <c r="C23" s="566"/>
      <c r="D23" s="566"/>
      <c r="E23" s="566"/>
      <c r="F23" s="566"/>
      <c r="G23" s="566"/>
      <c r="H23" s="566"/>
    </row>
    <row r="24" spans="1:8" ht="39.75" customHeight="1" x14ac:dyDescent="0.25">
      <c r="B24" s="556" t="s">
        <v>1073</v>
      </c>
      <c r="C24" s="556"/>
      <c r="D24" s="556"/>
      <c r="E24" s="556"/>
      <c r="F24" s="556"/>
      <c r="G24" s="556"/>
      <c r="H24" s="556"/>
    </row>
    <row r="25" spans="1:8" x14ac:dyDescent="0.25">
      <c r="A25" s="54"/>
      <c r="H25" s="54" t="s">
        <v>61</v>
      </c>
    </row>
    <row r="26" spans="1:8" s="330" customFormat="1" ht="75" x14ac:dyDescent="0.25">
      <c r="A26" s="537" t="s">
        <v>62</v>
      </c>
      <c r="B26" s="537" t="s">
        <v>2</v>
      </c>
      <c r="C26" s="537" t="s">
        <v>17</v>
      </c>
      <c r="D26" s="537" t="s">
        <v>464</v>
      </c>
      <c r="E26" s="534" t="s">
        <v>1099</v>
      </c>
      <c r="F26" s="534" t="s">
        <v>9</v>
      </c>
      <c r="G26" s="534" t="s">
        <v>461</v>
      </c>
      <c r="H26" s="534" t="s">
        <v>1046</v>
      </c>
    </row>
    <row r="27" spans="1:8" s="99" customFormat="1" x14ac:dyDescent="0.25">
      <c r="A27" s="534"/>
      <c r="B27" s="534" t="s">
        <v>97</v>
      </c>
      <c r="C27" s="431"/>
      <c r="D27" s="431"/>
      <c r="E27" s="431">
        <f>E28+E34</f>
        <v>11919</v>
      </c>
      <c r="F27" s="431">
        <f t="shared" ref="F27:H27" si="0">F28+F34</f>
        <v>10713</v>
      </c>
      <c r="G27" s="431">
        <f t="shared" si="0"/>
        <v>10662</v>
      </c>
      <c r="H27" s="431">
        <f t="shared" si="0"/>
        <v>10715</v>
      </c>
    </row>
    <row r="28" spans="1:8" s="50" customFormat="1" ht="21" customHeight="1" x14ac:dyDescent="0.25">
      <c r="A28" s="96" t="s">
        <v>51</v>
      </c>
      <c r="B28" s="97" t="s">
        <v>1081</v>
      </c>
      <c r="C28" s="98"/>
      <c r="D28" s="98"/>
      <c r="E28" s="98">
        <f>+E29+E32-E33</f>
        <v>2133</v>
      </c>
      <c r="F28" s="98">
        <f>+F29+F32-F33</f>
        <v>2341</v>
      </c>
      <c r="G28" s="98">
        <f t="shared" ref="G28:H28" si="1">+G29+G32-G33</f>
        <v>2394</v>
      </c>
      <c r="H28" s="98">
        <f t="shared" si="1"/>
        <v>2447</v>
      </c>
    </row>
    <row r="29" spans="1:8" ht="56.25" x14ac:dyDescent="0.25">
      <c r="A29" s="437">
        <v>1</v>
      </c>
      <c r="B29" s="438" t="s">
        <v>1341</v>
      </c>
      <c r="C29" s="439"/>
      <c r="D29" s="439"/>
      <c r="E29" s="439">
        <v>1816</v>
      </c>
      <c r="F29" s="439">
        <f>SUM(F30:F31)</f>
        <v>2024</v>
      </c>
      <c r="G29" s="439">
        <f t="shared" ref="G29:H29" si="2">SUM(G30:G31)</f>
        <v>2077</v>
      </c>
      <c r="H29" s="439">
        <f t="shared" si="2"/>
        <v>2130</v>
      </c>
    </row>
    <row r="30" spans="1:8" x14ac:dyDescent="0.25">
      <c r="A30" s="437"/>
      <c r="B30" s="438" t="s">
        <v>1107</v>
      </c>
      <c r="C30" s="439">
        <v>16</v>
      </c>
      <c r="D30" s="440">
        <v>15</v>
      </c>
      <c r="E30" s="439"/>
      <c r="F30" s="439">
        <f>1790+52</f>
        <v>1842</v>
      </c>
      <c r="G30" s="439">
        <f>ROUND(F30+5*8.8,0)</f>
        <v>1886</v>
      </c>
      <c r="H30" s="439">
        <f>ROUND(G30+5*8.8,0)</f>
        <v>1930</v>
      </c>
    </row>
    <row r="31" spans="1:8" ht="37.5" x14ac:dyDescent="0.25">
      <c r="A31" s="437"/>
      <c r="B31" s="438" t="s">
        <v>1108</v>
      </c>
      <c r="C31" s="439">
        <v>4</v>
      </c>
      <c r="D31" s="439">
        <v>4</v>
      </c>
      <c r="E31" s="439"/>
      <c r="F31" s="439">
        <v>182</v>
      </c>
      <c r="G31" s="439">
        <f>ROUND(F31+8.8,0)</f>
        <v>191</v>
      </c>
      <c r="H31" s="439">
        <f>ROUND(G31+8.8,0)</f>
        <v>200</v>
      </c>
    </row>
    <row r="32" spans="1:8" ht="37.5" x14ac:dyDescent="0.25">
      <c r="A32" s="437">
        <v>2</v>
      </c>
      <c r="B32" s="438" t="s">
        <v>309</v>
      </c>
      <c r="C32" s="439">
        <v>16</v>
      </c>
      <c r="D32" s="439"/>
      <c r="E32" s="439">
        <f>C32*22</f>
        <v>352</v>
      </c>
      <c r="F32" s="439">
        <f>+C32*22</f>
        <v>352</v>
      </c>
      <c r="G32" s="439">
        <f>E32</f>
        <v>352</v>
      </c>
      <c r="H32" s="439">
        <f>G32</f>
        <v>352</v>
      </c>
    </row>
    <row r="33" spans="1:8" ht="37.5" x14ac:dyDescent="0.25">
      <c r="A33" s="437">
        <v>3</v>
      </c>
      <c r="B33" s="438" t="s">
        <v>103</v>
      </c>
      <c r="C33" s="439"/>
      <c r="D33" s="439"/>
      <c r="E33" s="439">
        <v>35</v>
      </c>
      <c r="F33" s="439">
        <v>35</v>
      </c>
      <c r="G33" s="439">
        <f>E33</f>
        <v>35</v>
      </c>
      <c r="H33" s="439">
        <f>G33</f>
        <v>35</v>
      </c>
    </row>
    <row r="34" spans="1:8" s="50" customFormat="1" x14ac:dyDescent="0.25">
      <c r="A34" s="441" t="s">
        <v>52</v>
      </c>
      <c r="B34" s="442" t="s">
        <v>98</v>
      </c>
      <c r="C34" s="443"/>
      <c r="D34" s="443"/>
      <c r="E34" s="443">
        <f>E35+E55+E57</f>
        <v>9786</v>
      </c>
      <c r="F34" s="443">
        <f>F35+F55+F57</f>
        <v>8372</v>
      </c>
      <c r="G34" s="443">
        <f>G35+G55+G57</f>
        <v>8268</v>
      </c>
      <c r="H34" s="443">
        <f>H35+H55+H57</f>
        <v>8268</v>
      </c>
    </row>
    <row r="35" spans="1:8" s="50" customFormat="1" x14ac:dyDescent="0.25">
      <c r="A35" s="441">
        <v>1</v>
      </c>
      <c r="B35" s="442" t="s">
        <v>81</v>
      </c>
      <c r="C35" s="443"/>
      <c r="D35" s="443"/>
      <c r="E35" s="443">
        <f>SUM(E36:E47)</f>
        <v>8116</v>
      </c>
      <c r="F35" s="443">
        <f t="shared" ref="F35:H35" si="3">SUM(F36:F47)</f>
        <v>8202</v>
      </c>
      <c r="G35" s="443">
        <f t="shared" si="3"/>
        <v>8098</v>
      </c>
      <c r="H35" s="443">
        <f t="shared" si="3"/>
        <v>8098</v>
      </c>
    </row>
    <row r="36" spans="1:8" x14ac:dyDescent="0.25">
      <c r="A36" s="437" t="s">
        <v>99</v>
      </c>
      <c r="B36" s="438" t="s">
        <v>1188</v>
      </c>
      <c r="C36" s="439"/>
      <c r="D36" s="439"/>
      <c r="E36" s="439">
        <v>18</v>
      </c>
      <c r="F36" s="439">
        <f>+E36+10</f>
        <v>28</v>
      </c>
      <c r="G36" s="439">
        <f t="shared" ref="G36" si="4">E36</f>
        <v>18</v>
      </c>
      <c r="H36" s="439">
        <f t="shared" ref="H36:H37" si="5">G36</f>
        <v>18</v>
      </c>
    </row>
    <row r="37" spans="1:8" x14ac:dyDescent="0.25">
      <c r="A37" s="437" t="s">
        <v>99</v>
      </c>
      <c r="B37" s="438" t="s">
        <v>482</v>
      </c>
      <c r="C37" s="439"/>
      <c r="D37" s="439"/>
      <c r="E37" s="439">
        <v>15</v>
      </c>
      <c r="F37" s="439">
        <f>+E37</f>
        <v>15</v>
      </c>
      <c r="G37" s="439">
        <f>+F37</f>
        <v>15</v>
      </c>
      <c r="H37" s="439">
        <f t="shared" si="5"/>
        <v>15</v>
      </c>
    </row>
    <row r="38" spans="1:8" x14ac:dyDescent="0.25">
      <c r="A38" s="437" t="s">
        <v>99</v>
      </c>
      <c r="B38" s="438" t="s">
        <v>310</v>
      </c>
      <c r="C38" s="439"/>
      <c r="D38" s="439"/>
      <c r="E38" s="439">
        <v>100</v>
      </c>
      <c r="F38" s="439">
        <f>+E38</f>
        <v>100</v>
      </c>
      <c r="G38" s="439">
        <f t="shared" ref="G38:G47" si="6">+F38</f>
        <v>100</v>
      </c>
      <c r="H38" s="439">
        <f t="shared" ref="H38:H47" si="7">G38</f>
        <v>100</v>
      </c>
    </row>
    <row r="39" spans="1:8" ht="37.5" x14ac:dyDescent="0.25">
      <c r="A39" s="437" t="s">
        <v>99</v>
      </c>
      <c r="B39" s="438" t="s">
        <v>311</v>
      </c>
      <c r="C39" s="439"/>
      <c r="D39" s="439"/>
      <c r="E39" s="439">
        <v>120</v>
      </c>
      <c r="F39" s="439">
        <v>120</v>
      </c>
      <c r="G39" s="439">
        <f t="shared" si="6"/>
        <v>120</v>
      </c>
      <c r="H39" s="439">
        <f t="shared" si="7"/>
        <v>120</v>
      </c>
    </row>
    <row r="40" spans="1:8" ht="93.75" x14ac:dyDescent="0.25">
      <c r="A40" s="437" t="s">
        <v>99</v>
      </c>
      <c r="B40" s="438" t="s">
        <v>312</v>
      </c>
      <c r="C40" s="439"/>
      <c r="D40" s="439"/>
      <c r="E40" s="439">
        <v>190</v>
      </c>
      <c r="F40" s="439">
        <v>250</v>
      </c>
      <c r="G40" s="439">
        <f t="shared" si="6"/>
        <v>250</v>
      </c>
      <c r="H40" s="439">
        <f t="shared" si="7"/>
        <v>250</v>
      </c>
    </row>
    <row r="41" spans="1:8" x14ac:dyDescent="0.25">
      <c r="A41" s="437" t="s">
        <v>99</v>
      </c>
      <c r="B41" s="438" t="s">
        <v>183</v>
      </c>
      <c r="C41" s="439"/>
      <c r="D41" s="439"/>
      <c r="E41" s="439">
        <v>3</v>
      </c>
      <c r="F41" s="439">
        <v>5</v>
      </c>
      <c r="G41" s="439">
        <f t="shared" si="6"/>
        <v>5</v>
      </c>
      <c r="H41" s="439">
        <f t="shared" si="7"/>
        <v>5</v>
      </c>
    </row>
    <row r="42" spans="1:8" ht="37.5" x14ac:dyDescent="0.25">
      <c r="A42" s="437" t="s">
        <v>99</v>
      </c>
      <c r="B42" s="438" t="s">
        <v>315</v>
      </c>
      <c r="C42" s="439"/>
      <c r="D42" s="439"/>
      <c r="E42" s="439">
        <v>7500</v>
      </c>
      <c r="F42" s="439">
        <v>7500</v>
      </c>
      <c r="G42" s="439">
        <f t="shared" si="6"/>
        <v>7500</v>
      </c>
      <c r="H42" s="439">
        <f t="shared" si="7"/>
        <v>7500</v>
      </c>
    </row>
    <row r="43" spans="1:8" ht="37.5" x14ac:dyDescent="0.25">
      <c r="A43" s="437" t="s">
        <v>99</v>
      </c>
      <c r="B43" s="438" t="s">
        <v>805</v>
      </c>
      <c r="C43" s="439"/>
      <c r="D43" s="439"/>
      <c r="E43" s="439">
        <v>30</v>
      </c>
      <c r="F43" s="439">
        <v>30</v>
      </c>
      <c r="G43" s="439">
        <f t="shared" si="6"/>
        <v>30</v>
      </c>
      <c r="H43" s="439">
        <f t="shared" si="7"/>
        <v>30</v>
      </c>
    </row>
    <row r="44" spans="1:8" ht="56.25" x14ac:dyDescent="0.25">
      <c r="A44" s="437" t="s">
        <v>99</v>
      </c>
      <c r="B44" s="438" t="s">
        <v>806</v>
      </c>
      <c r="C44" s="439"/>
      <c r="D44" s="439"/>
      <c r="E44" s="439">
        <v>80</v>
      </c>
      <c r="F44" s="439"/>
      <c r="G44" s="439"/>
      <c r="H44" s="439"/>
    </row>
    <row r="45" spans="1:8" s="434" customFormat="1" x14ac:dyDescent="0.25">
      <c r="A45" s="437" t="s">
        <v>99</v>
      </c>
      <c r="B45" s="438" t="s">
        <v>1854</v>
      </c>
      <c r="C45" s="439"/>
      <c r="D45" s="439"/>
      <c r="E45" s="439"/>
      <c r="F45" s="440">
        <f>16*4</f>
        <v>64</v>
      </c>
      <c r="G45" s="439"/>
      <c r="H45" s="439"/>
    </row>
    <row r="46" spans="1:8" s="434" customFormat="1" x14ac:dyDescent="0.25">
      <c r="A46" s="437" t="s">
        <v>99</v>
      </c>
      <c r="B46" s="438" t="s">
        <v>1858</v>
      </c>
      <c r="C46" s="439"/>
      <c r="D46" s="439"/>
      <c r="E46" s="439"/>
      <c r="F46" s="440">
        <v>30</v>
      </c>
      <c r="G46" s="439"/>
      <c r="H46" s="439"/>
    </row>
    <row r="47" spans="1:8" x14ac:dyDescent="0.25">
      <c r="A47" s="437" t="s">
        <v>99</v>
      </c>
      <c r="B47" s="438" t="s">
        <v>184</v>
      </c>
      <c r="C47" s="439"/>
      <c r="D47" s="439"/>
      <c r="E47" s="439">
        <v>60</v>
      </c>
      <c r="F47" s="439">
        <f>+E47</f>
        <v>60</v>
      </c>
      <c r="G47" s="439">
        <f t="shared" si="6"/>
        <v>60</v>
      </c>
      <c r="H47" s="439">
        <f t="shared" si="7"/>
        <v>60</v>
      </c>
    </row>
    <row r="48" spans="1:8" hidden="1" x14ac:dyDescent="0.25">
      <c r="A48" s="437"/>
      <c r="B48" s="438"/>
      <c r="C48" s="439"/>
      <c r="D48" s="439"/>
      <c r="E48" s="439"/>
      <c r="F48" s="439"/>
      <c r="G48" s="439"/>
      <c r="H48" s="439"/>
    </row>
    <row r="49" spans="1:8" hidden="1" x14ac:dyDescent="0.25">
      <c r="A49" s="437"/>
      <c r="B49" s="438"/>
      <c r="C49" s="439"/>
      <c r="D49" s="439"/>
      <c r="E49" s="439"/>
      <c r="F49" s="439"/>
      <c r="G49" s="439"/>
      <c r="H49" s="439"/>
    </row>
    <row r="50" spans="1:8" hidden="1" x14ac:dyDescent="0.3">
      <c r="A50" s="437"/>
      <c r="B50" s="65"/>
      <c r="C50" s="439"/>
      <c r="D50" s="439"/>
      <c r="E50" s="439"/>
      <c r="F50" s="439"/>
      <c r="G50" s="439"/>
      <c r="H50" s="439"/>
    </row>
    <row r="51" spans="1:8" hidden="1" x14ac:dyDescent="0.25">
      <c r="A51" s="437"/>
      <c r="B51" s="438"/>
      <c r="C51" s="439"/>
      <c r="D51" s="439"/>
      <c r="E51" s="439"/>
      <c r="F51" s="439"/>
      <c r="G51" s="439"/>
      <c r="H51" s="439"/>
    </row>
    <row r="52" spans="1:8" hidden="1" x14ac:dyDescent="0.25">
      <c r="A52" s="437" t="s">
        <v>99</v>
      </c>
      <c r="B52" s="438"/>
      <c r="C52" s="439"/>
      <c r="D52" s="439"/>
      <c r="E52" s="439"/>
      <c r="F52" s="439"/>
      <c r="G52" s="439"/>
      <c r="H52" s="439"/>
    </row>
    <row r="53" spans="1:8" hidden="1" x14ac:dyDescent="0.25">
      <c r="A53" s="437" t="s">
        <v>99</v>
      </c>
      <c r="B53" s="438"/>
      <c r="C53" s="439"/>
      <c r="D53" s="439"/>
      <c r="E53" s="439"/>
      <c r="F53" s="439"/>
      <c r="G53" s="439"/>
      <c r="H53" s="439"/>
    </row>
    <row r="54" spans="1:8" hidden="1" x14ac:dyDescent="0.25">
      <c r="A54" s="437" t="s">
        <v>99</v>
      </c>
      <c r="B54" s="438"/>
      <c r="C54" s="439"/>
      <c r="D54" s="439"/>
      <c r="E54" s="439"/>
      <c r="F54" s="439"/>
      <c r="G54" s="439"/>
      <c r="H54" s="439"/>
    </row>
    <row r="55" spans="1:8" s="50" customFormat="1" hidden="1" x14ac:dyDescent="0.25">
      <c r="A55" s="441">
        <v>2</v>
      </c>
      <c r="B55" s="442" t="s">
        <v>82</v>
      </c>
      <c r="C55" s="443"/>
      <c r="D55" s="443"/>
      <c r="E55" s="443">
        <f>E56</f>
        <v>0</v>
      </c>
      <c r="F55" s="443"/>
      <c r="G55" s="443">
        <f>G56</f>
        <v>0</v>
      </c>
      <c r="H55" s="443">
        <f>H56</f>
        <v>0</v>
      </c>
    </row>
    <row r="56" spans="1:8" hidden="1" x14ac:dyDescent="0.3">
      <c r="A56" s="437" t="s">
        <v>99</v>
      </c>
      <c r="B56" s="65"/>
      <c r="C56" s="439"/>
      <c r="D56" s="439"/>
      <c r="E56" s="439"/>
      <c r="F56" s="439"/>
      <c r="G56" s="439">
        <f>E56</f>
        <v>0</v>
      </c>
      <c r="H56" s="439">
        <f>G56</f>
        <v>0</v>
      </c>
    </row>
    <row r="57" spans="1:8" s="50" customFormat="1" x14ac:dyDescent="0.3">
      <c r="A57" s="441">
        <v>2</v>
      </c>
      <c r="B57" s="66" t="s">
        <v>83</v>
      </c>
      <c r="C57" s="443"/>
      <c r="D57" s="443"/>
      <c r="E57" s="443">
        <f>SUM(E58:E60)</f>
        <v>1670</v>
      </c>
      <c r="F57" s="443">
        <f>SUM(F58:F60)</f>
        <v>170</v>
      </c>
      <c r="G57" s="443">
        <f>SUM(G58:G60)</f>
        <v>170</v>
      </c>
      <c r="H57" s="443">
        <f>SUM(H58:H60)</f>
        <v>170</v>
      </c>
    </row>
    <row r="58" spans="1:8" x14ac:dyDescent="0.25">
      <c r="A58" s="437" t="s">
        <v>99</v>
      </c>
      <c r="B58" s="438" t="s">
        <v>313</v>
      </c>
      <c r="C58" s="439"/>
      <c r="D58" s="439"/>
      <c r="E58" s="439">
        <v>100</v>
      </c>
      <c r="F58" s="439">
        <v>100</v>
      </c>
      <c r="G58" s="439">
        <f>E58</f>
        <v>100</v>
      </c>
      <c r="H58" s="439">
        <f>G58</f>
        <v>100</v>
      </c>
    </row>
    <row r="59" spans="1:8" ht="56.25" x14ac:dyDescent="0.25">
      <c r="A59" s="437" t="s">
        <v>99</v>
      </c>
      <c r="B59" s="438" t="s">
        <v>804</v>
      </c>
      <c r="C59" s="439"/>
      <c r="D59" s="439"/>
      <c r="E59" s="439">
        <f>1303+197</f>
        <v>1500</v>
      </c>
      <c r="F59" s="439"/>
      <c r="G59" s="439"/>
      <c r="H59" s="439"/>
    </row>
    <row r="60" spans="1:8" x14ac:dyDescent="0.25">
      <c r="A60" s="437" t="s">
        <v>99</v>
      </c>
      <c r="B60" s="438" t="s">
        <v>314</v>
      </c>
      <c r="C60" s="439"/>
      <c r="D60" s="439"/>
      <c r="E60" s="439">
        <v>70</v>
      </c>
      <c r="F60" s="439">
        <v>70</v>
      </c>
      <c r="G60" s="439">
        <f>E60</f>
        <v>70</v>
      </c>
      <c r="H60" s="439">
        <f>G60</f>
        <v>70</v>
      </c>
    </row>
    <row r="61" spans="1:8" hidden="1" x14ac:dyDescent="0.25">
      <c r="A61" s="437"/>
      <c r="B61" s="438"/>
      <c r="C61" s="439"/>
      <c r="D61" s="439"/>
      <c r="E61" s="439"/>
      <c r="F61" s="439"/>
      <c r="G61" s="439"/>
      <c r="H61" s="439"/>
    </row>
    <row r="62" spans="1:8" hidden="1" x14ac:dyDescent="0.25">
      <c r="A62" s="437"/>
      <c r="B62" s="438"/>
      <c r="C62" s="439"/>
      <c r="D62" s="439"/>
      <c r="E62" s="439"/>
      <c r="F62" s="439"/>
      <c r="G62" s="439"/>
      <c r="H62" s="439"/>
    </row>
    <row r="63" spans="1:8" x14ac:dyDescent="0.25">
      <c r="A63" s="444"/>
      <c r="B63" s="445"/>
      <c r="C63" s="446"/>
      <c r="D63" s="446"/>
      <c r="E63" s="446"/>
      <c r="F63" s="446"/>
      <c r="G63" s="446"/>
      <c r="H63" s="446"/>
    </row>
    <row r="64" spans="1:8" ht="40.5" customHeight="1" x14ac:dyDescent="0.25">
      <c r="A64" s="70"/>
      <c r="B64" s="567" t="s">
        <v>1859</v>
      </c>
      <c r="C64" s="567"/>
      <c r="D64" s="567"/>
      <c r="E64" s="567"/>
      <c r="F64" s="567"/>
      <c r="G64" s="567"/>
      <c r="H64" s="567"/>
    </row>
    <row r="65" spans="1:8" x14ac:dyDescent="0.25">
      <c r="B65" s="7" t="s">
        <v>1856</v>
      </c>
      <c r="C65" s="7"/>
      <c r="D65" s="7"/>
      <c r="E65" s="7"/>
      <c r="F65" s="7"/>
      <c r="G65" s="7"/>
      <c r="H65" s="7"/>
    </row>
    <row r="67" spans="1:8" x14ac:dyDescent="0.25">
      <c r="A67" s="568" t="s">
        <v>36</v>
      </c>
      <c r="B67" s="568"/>
      <c r="D67" s="568" t="s">
        <v>37</v>
      </c>
      <c r="E67" s="568"/>
      <c r="F67" s="568"/>
      <c r="G67" s="568"/>
      <c r="H67" s="568"/>
    </row>
  </sheetData>
  <mergeCells count="18">
    <mergeCell ref="B64:H64"/>
    <mergeCell ref="A67:B67"/>
    <mergeCell ref="D67:H67"/>
    <mergeCell ref="C22:H22"/>
    <mergeCell ref="C23:H23"/>
    <mergeCell ref="B24:H24"/>
    <mergeCell ref="C21:H21"/>
    <mergeCell ref="A1:H1"/>
    <mergeCell ref="B3:H3"/>
    <mergeCell ref="C6:H6"/>
    <mergeCell ref="C7:H7"/>
    <mergeCell ref="C8:H8"/>
    <mergeCell ref="C9:H9"/>
    <mergeCell ref="C10:H10"/>
    <mergeCell ref="C15:H15"/>
    <mergeCell ref="C17:H17"/>
    <mergeCell ref="C19:H19"/>
    <mergeCell ref="C20:H20"/>
  </mergeCells>
  <printOptions horizontalCentered="1"/>
  <pageMargins left="0.19685039370078741" right="0.19685039370078741" top="0.59055118110236227" bottom="0.39370078740157483" header="0.31496062992125984" footer="0.31496062992125984"/>
  <pageSetup paperSize="9" scale="90" orientation="portrait" r:id="rId1"/>
  <headerFooter>
    <oddFooter>&amp;C&amp;P/&amp;N</oddFooter>
  </headerFooter>
  <legacyDrawing r:id="rId2"/>
</worksheet>
</file>

<file path=xl/worksheets/sheet3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102"/>
  <sheetViews>
    <sheetView topLeftCell="A87" zoomScaleNormal="100" workbookViewId="0">
      <selection activeCell="B74" sqref="B74"/>
    </sheetView>
  </sheetViews>
  <sheetFormatPr defaultRowHeight="18.75" x14ac:dyDescent="0.25"/>
  <cols>
    <col min="1" max="1" width="4.85546875" style="7" customWidth="1"/>
    <col min="2" max="2" width="43.28515625" style="7" customWidth="1"/>
    <col min="3" max="4" width="7.85546875" style="7" customWidth="1"/>
    <col min="5" max="8" width="11.7109375" style="7" customWidth="1"/>
    <col min="9" max="16384" width="9.140625" style="7"/>
  </cols>
  <sheetData>
    <row r="1" spans="1:8" ht="41.25" customHeight="1" x14ac:dyDescent="0.25">
      <c r="A1" s="549" t="s">
        <v>1074</v>
      </c>
      <c r="B1" s="555"/>
      <c r="C1" s="555"/>
      <c r="D1" s="555"/>
      <c r="E1" s="555"/>
      <c r="F1" s="555"/>
      <c r="G1" s="555"/>
      <c r="H1" s="555"/>
    </row>
    <row r="2" spans="1:8" x14ac:dyDescent="0.25">
      <c r="A2" s="417"/>
      <c r="B2" s="417"/>
      <c r="C2" s="417"/>
      <c r="D2" s="413"/>
      <c r="E2" s="413"/>
      <c r="F2" s="413"/>
      <c r="G2" s="413"/>
      <c r="H2" s="413"/>
    </row>
    <row r="3" spans="1:8" ht="40.5" customHeight="1" x14ac:dyDescent="0.25">
      <c r="A3" s="412"/>
      <c r="B3" s="556" t="s">
        <v>1548</v>
      </c>
      <c r="C3" s="556"/>
      <c r="D3" s="556"/>
      <c r="E3" s="556"/>
      <c r="F3" s="556"/>
      <c r="G3" s="556"/>
      <c r="H3" s="556"/>
    </row>
    <row r="4" spans="1:8" x14ac:dyDescent="0.25">
      <c r="A4" s="412"/>
      <c r="B4" s="418" t="s">
        <v>39</v>
      </c>
      <c r="C4" s="412"/>
      <c r="D4" s="419"/>
      <c r="E4" s="419"/>
      <c r="F4" s="419"/>
      <c r="G4" s="419"/>
      <c r="H4" s="419"/>
    </row>
    <row r="5" spans="1:8" s="135" customFormat="1" x14ac:dyDescent="0.25">
      <c r="A5" s="417"/>
      <c r="B5" s="415" t="s">
        <v>18</v>
      </c>
      <c r="C5" s="417"/>
      <c r="D5" s="417"/>
      <c r="E5" s="417"/>
      <c r="F5" s="417"/>
      <c r="G5" s="417"/>
      <c r="H5" s="417"/>
    </row>
    <row r="6" spans="1:8" s="146" customFormat="1" hidden="1" x14ac:dyDescent="0.25">
      <c r="A6" s="417"/>
      <c r="B6" s="414" t="s">
        <v>955</v>
      </c>
      <c r="C6" s="418" t="s">
        <v>212</v>
      </c>
      <c r="D6" s="417"/>
      <c r="E6" s="417"/>
      <c r="F6" s="417"/>
      <c r="G6" s="417"/>
      <c r="H6" s="417"/>
    </row>
    <row r="7" spans="1:8" x14ac:dyDescent="0.25">
      <c r="A7" s="412"/>
      <c r="B7" s="414" t="s">
        <v>414</v>
      </c>
      <c r="C7" s="558" t="s">
        <v>176</v>
      </c>
      <c r="D7" s="558"/>
      <c r="E7" s="558"/>
      <c r="F7" s="558"/>
      <c r="G7" s="558"/>
      <c r="H7" s="558"/>
    </row>
    <row r="8" spans="1:8" x14ac:dyDescent="0.25">
      <c r="A8" s="414"/>
      <c r="B8" s="414" t="s">
        <v>19</v>
      </c>
      <c r="C8" s="558" t="s">
        <v>50</v>
      </c>
      <c r="D8" s="558"/>
      <c r="E8" s="558"/>
      <c r="F8" s="558"/>
      <c r="G8" s="558"/>
      <c r="H8" s="558"/>
    </row>
    <row r="9" spans="1:8" ht="18.75" hidden="1" customHeight="1" x14ac:dyDescent="0.25">
      <c r="A9" s="414"/>
      <c r="B9" s="414" t="s">
        <v>90</v>
      </c>
      <c r="C9" s="558" t="s">
        <v>60</v>
      </c>
      <c r="D9" s="558"/>
      <c r="E9" s="558"/>
      <c r="F9" s="558"/>
      <c r="G9" s="558"/>
      <c r="H9" s="558"/>
    </row>
    <row r="10" spans="1:8" x14ac:dyDescent="0.25">
      <c r="A10" s="414"/>
      <c r="B10" s="414" t="s">
        <v>59</v>
      </c>
      <c r="C10" s="558" t="s">
        <v>60</v>
      </c>
      <c r="D10" s="558"/>
      <c r="E10" s="558"/>
      <c r="F10" s="558"/>
      <c r="G10" s="558"/>
      <c r="H10" s="558"/>
    </row>
    <row r="11" spans="1:8" ht="18.75" hidden="1" customHeight="1" x14ac:dyDescent="0.25">
      <c r="A11" s="414"/>
      <c r="B11" s="414" t="s">
        <v>20</v>
      </c>
      <c r="C11" s="558" t="s">
        <v>86</v>
      </c>
      <c r="D11" s="558"/>
      <c r="E11" s="558"/>
      <c r="F11" s="558"/>
      <c r="G11" s="558"/>
      <c r="H11" s="558"/>
    </row>
    <row r="12" spans="1:8" s="434" customFormat="1" ht="18.75" customHeight="1" x14ac:dyDescent="0.25">
      <c r="B12" s="434" t="s">
        <v>1205</v>
      </c>
      <c r="C12" s="435" t="s">
        <v>87</v>
      </c>
      <c r="D12" s="435"/>
      <c r="E12" s="435"/>
      <c r="F12" s="435"/>
      <c r="G12" s="435"/>
      <c r="H12" s="435"/>
    </row>
    <row r="13" spans="1:8" x14ac:dyDescent="0.25">
      <c r="A13" s="414"/>
      <c r="B13" s="414" t="s">
        <v>316</v>
      </c>
      <c r="C13" s="430" t="s">
        <v>88</v>
      </c>
      <c r="D13" s="430"/>
      <c r="E13" s="430"/>
      <c r="F13" s="430"/>
      <c r="G13" s="430"/>
      <c r="H13" s="430"/>
    </row>
    <row r="14" spans="1:8" s="49" customFormat="1" hidden="1" x14ac:dyDescent="0.25">
      <c r="A14" s="459"/>
      <c r="B14" s="459" t="s">
        <v>94</v>
      </c>
      <c r="C14" s="464" t="s">
        <v>95</v>
      </c>
      <c r="D14" s="464"/>
      <c r="E14" s="464"/>
      <c r="F14" s="464"/>
      <c r="G14" s="464"/>
      <c r="H14" s="464"/>
    </row>
    <row r="15" spans="1:8" x14ac:dyDescent="0.25">
      <c r="A15" s="414"/>
      <c r="B15" s="414"/>
      <c r="C15" s="430"/>
      <c r="D15" s="430"/>
      <c r="E15" s="430"/>
      <c r="F15" s="430"/>
      <c r="G15" s="430"/>
      <c r="H15" s="430"/>
    </row>
    <row r="16" spans="1:8" ht="18.75" hidden="1" customHeight="1" x14ac:dyDescent="0.25">
      <c r="A16" s="414"/>
      <c r="B16" s="414" t="s">
        <v>21</v>
      </c>
      <c r="C16" s="558"/>
      <c r="D16" s="558"/>
      <c r="E16" s="558"/>
      <c r="F16" s="558"/>
      <c r="G16" s="558"/>
      <c r="H16" s="558"/>
    </row>
    <row r="17" spans="1:8" s="135" customFormat="1" x14ac:dyDescent="0.25">
      <c r="A17" s="415"/>
      <c r="B17" s="415" t="s">
        <v>422</v>
      </c>
      <c r="C17" s="415"/>
      <c r="D17" s="415"/>
      <c r="E17" s="415"/>
      <c r="F17" s="415"/>
      <c r="G17" s="415"/>
      <c r="H17" s="415"/>
    </row>
    <row r="18" spans="1:8" x14ac:dyDescent="0.25">
      <c r="A18" s="459"/>
      <c r="B18" s="459" t="s">
        <v>1549</v>
      </c>
      <c r="C18" s="573" t="s">
        <v>212</v>
      </c>
      <c r="D18" s="573"/>
      <c r="E18" s="573"/>
      <c r="F18" s="573"/>
      <c r="G18" s="573"/>
      <c r="H18" s="573"/>
    </row>
    <row r="19" spans="1:8" x14ac:dyDescent="0.25">
      <c r="A19" s="414"/>
      <c r="B19" s="414" t="s">
        <v>439</v>
      </c>
      <c r="C19" s="558" t="s">
        <v>334</v>
      </c>
      <c r="D19" s="558"/>
      <c r="E19" s="558"/>
      <c r="F19" s="558"/>
      <c r="G19" s="558"/>
      <c r="H19" s="558"/>
    </row>
    <row r="20" spans="1:8" hidden="1" x14ac:dyDescent="0.25">
      <c r="A20" s="414"/>
      <c r="B20" s="414" t="s">
        <v>440</v>
      </c>
      <c r="C20" s="414" t="s">
        <v>441</v>
      </c>
      <c r="D20" s="414"/>
      <c r="E20" s="414"/>
      <c r="F20" s="414"/>
      <c r="G20" s="414"/>
      <c r="H20" s="414"/>
    </row>
    <row r="21" spans="1:8" s="434" customFormat="1" x14ac:dyDescent="0.25">
      <c r="B21" s="434" t="s">
        <v>1551</v>
      </c>
      <c r="C21" s="434" t="s">
        <v>1552</v>
      </c>
    </row>
    <row r="22" spans="1:8" ht="18.75" hidden="1" customHeight="1" x14ac:dyDescent="0.25">
      <c r="A22" s="414"/>
      <c r="B22" s="414" t="s">
        <v>20</v>
      </c>
      <c r="C22" s="414"/>
      <c r="D22" s="414"/>
      <c r="E22" s="414"/>
      <c r="F22" s="414"/>
      <c r="G22" s="414"/>
      <c r="H22" s="414"/>
    </row>
    <row r="23" spans="1:8" x14ac:dyDescent="0.25">
      <c r="A23" s="414"/>
      <c r="B23" s="414" t="s">
        <v>442</v>
      </c>
      <c r="C23" s="414" t="s">
        <v>443</v>
      </c>
      <c r="D23" s="414"/>
      <c r="E23" s="414"/>
      <c r="F23" s="414"/>
      <c r="G23" s="414"/>
      <c r="H23" s="414"/>
    </row>
    <row r="24" spans="1:8" hidden="1" x14ac:dyDescent="0.25">
      <c r="A24" s="414"/>
      <c r="B24" s="414" t="s">
        <v>947</v>
      </c>
      <c r="C24" s="414" t="s">
        <v>108</v>
      </c>
      <c r="D24" s="414"/>
      <c r="E24" s="414"/>
      <c r="F24" s="414"/>
      <c r="G24" s="414"/>
      <c r="H24" s="414"/>
    </row>
    <row r="25" spans="1:8" x14ac:dyDescent="0.25">
      <c r="A25" s="414"/>
      <c r="B25" s="414" t="s">
        <v>423</v>
      </c>
      <c r="C25" s="558" t="s">
        <v>108</v>
      </c>
      <c r="D25" s="558"/>
      <c r="E25" s="558"/>
      <c r="F25" s="558"/>
      <c r="G25" s="558"/>
      <c r="H25" s="558"/>
    </row>
    <row r="26" spans="1:8" x14ac:dyDescent="0.25">
      <c r="A26" s="414"/>
      <c r="B26" s="414" t="s">
        <v>444</v>
      </c>
      <c r="C26" s="558" t="s">
        <v>108</v>
      </c>
      <c r="D26" s="558"/>
      <c r="E26" s="558"/>
      <c r="F26" s="558"/>
      <c r="G26" s="558"/>
      <c r="H26" s="558"/>
    </row>
    <row r="27" spans="1:8" ht="18.75" hidden="1" customHeight="1" x14ac:dyDescent="0.25">
      <c r="A27" s="414"/>
      <c r="B27" s="414" t="s">
        <v>20</v>
      </c>
      <c r="C27" s="558" t="s">
        <v>108</v>
      </c>
      <c r="D27" s="558"/>
      <c r="E27" s="558"/>
      <c r="F27" s="558"/>
      <c r="G27" s="558"/>
      <c r="H27" s="558"/>
    </row>
    <row r="28" spans="1:8" hidden="1" x14ac:dyDescent="0.25">
      <c r="A28" s="414"/>
      <c r="B28" s="414" t="s">
        <v>963</v>
      </c>
      <c r="C28" s="558" t="s">
        <v>108</v>
      </c>
      <c r="D28" s="558"/>
      <c r="E28" s="558"/>
      <c r="F28" s="558"/>
      <c r="G28" s="558"/>
      <c r="H28" s="558"/>
    </row>
    <row r="29" spans="1:8" ht="39.75" customHeight="1" x14ac:dyDescent="0.25">
      <c r="A29" s="414"/>
      <c r="B29" s="556" t="s">
        <v>1073</v>
      </c>
      <c r="C29" s="556"/>
      <c r="D29" s="556"/>
      <c r="E29" s="556"/>
      <c r="F29" s="556"/>
      <c r="G29" s="556"/>
      <c r="H29" s="556"/>
    </row>
    <row r="30" spans="1:8" x14ac:dyDescent="0.25">
      <c r="A30" s="416"/>
      <c r="B30" s="412"/>
      <c r="C30" s="412"/>
      <c r="D30" s="412"/>
      <c r="E30" s="412"/>
      <c r="F30" s="412"/>
      <c r="G30" s="412"/>
      <c r="H30" s="416" t="s">
        <v>61</v>
      </c>
    </row>
    <row r="31" spans="1:8" s="317" customFormat="1" ht="75" x14ac:dyDescent="0.25">
      <c r="A31" s="426" t="s">
        <v>62</v>
      </c>
      <c r="B31" s="426" t="s">
        <v>2</v>
      </c>
      <c r="C31" s="426" t="s">
        <v>17</v>
      </c>
      <c r="D31" s="436" t="s">
        <v>464</v>
      </c>
      <c r="E31" s="426" t="s">
        <v>1099</v>
      </c>
      <c r="F31" s="426" t="s">
        <v>9</v>
      </c>
      <c r="G31" s="426" t="s">
        <v>461</v>
      </c>
      <c r="H31" s="426" t="s">
        <v>1046</v>
      </c>
    </row>
    <row r="32" spans="1:8" s="135" customFormat="1" x14ac:dyDescent="0.25">
      <c r="A32" s="426"/>
      <c r="B32" s="426" t="s">
        <v>365</v>
      </c>
      <c r="C32" s="431"/>
      <c r="D32" s="431"/>
      <c r="E32" s="431">
        <f>E33+E55+E59</f>
        <v>44457</v>
      </c>
      <c r="F32" s="431">
        <f t="shared" ref="F32:H32" si="0">F33+F55+F59</f>
        <v>54150</v>
      </c>
      <c r="G32" s="431">
        <f t="shared" si="0"/>
        <v>53733</v>
      </c>
      <c r="H32" s="431">
        <f t="shared" si="0"/>
        <v>54004</v>
      </c>
    </row>
    <row r="33" spans="1:8" s="135" customFormat="1" x14ac:dyDescent="0.25">
      <c r="A33" s="420" t="s">
        <v>6</v>
      </c>
      <c r="B33" s="421" t="s">
        <v>373</v>
      </c>
      <c r="C33" s="427"/>
      <c r="D33" s="427"/>
      <c r="E33" s="427">
        <f>E34+E46</f>
        <v>11118</v>
      </c>
      <c r="F33" s="427">
        <f t="shared" ref="F33:H33" si="1">F34+F46</f>
        <v>11115</v>
      </c>
      <c r="G33" s="427">
        <f t="shared" si="1"/>
        <v>10905</v>
      </c>
      <c r="H33" s="427">
        <f t="shared" si="1"/>
        <v>11125</v>
      </c>
    </row>
    <row r="34" spans="1:8" s="135" customFormat="1" ht="21" customHeight="1" x14ac:dyDescent="0.25">
      <c r="A34" s="424" t="s">
        <v>51</v>
      </c>
      <c r="B34" s="425" t="s">
        <v>1078</v>
      </c>
      <c r="C34" s="429"/>
      <c r="D34" s="429"/>
      <c r="E34" s="429">
        <f>E38+E42-E43</f>
        <v>8628</v>
      </c>
      <c r="F34" s="429">
        <f>F38+F42-F43</f>
        <v>8970</v>
      </c>
      <c r="G34" s="429">
        <f t="shared" ref="G34:H34" si="2">G38+G42-G43</f>
        <v>9190</v>
      </c>
      <c r="H34" s="429">
        <f t="shared" si="2"/>
        <v>9410</v>
      </c>
    </row>
    <row r="35" spans="1:8" ht="21" customHeight="1" x14ac:dyDescent="0.25">
      <c r="A35" s="422"/>
      <c r="B35" s="423" t="s">
        <v>626</v>
      </c>
      <c r="C35" s="428"/>
      <c r="D35" s="428"/>
      <c r="E35" s="428">
        <v>4945</v>
      </c>
      <c r="F35" s="428">
        <v>4769</v>
      </c>
      <c r="G35" s="428">
        <f t="shared" ref="G35:H37" si="3">F35</f>
        <v>4769</v>
      </c>
      <c r="H35" s="428">
        <f t="shared" si="3"/>
        <v>4769</v>
      </c>
    </row>
    <row r="36" spans="1:8" ht="37.5" x14ac:dyDescent="0.25">
      <c r="A36" s="422"/>
      <c r="B36" s="423" t="s">
        <v>1550</v>
      </c>
      <c r="C36" s="428"/>
      <c r="D36" s="428"/>
      <c r="E36" s="428">
        <f>E35-3476</f>
        <v>1469</v>
      </c>
      <c r="F36" s="428">
        <f>F35-3407</f>
        <v>1362</v>
      </c>
      <c r="G36" s="428">
        <f t="shared" si="3"/>
        <v>1362</v>
      </c>
      <c r="H36" s="428">
        <f t="shared" si="3"/>
        <v>1362</v>
      </c>
    </row>
    <row r="37" spans="1:8" s="418" customFormat="1" ht="37.5" x14ac:dyDescent="0.25">
      <c r="A37" s="422"/>
      <c r="B37" s="423" t="s">
        <v>1559</v>
      </c>
      <c r="C37" s="428"/>
      <c r="D37" s="428"/>
      <c r="E37" s="428">
        <v>480</v>
      </c>
      <c r="F37" s="428">
        <v>442</v>
      </c>
      <c r="G37" s="428">
        <f t="shared" si="3"/>
        <v>442</v>
      </c>
      <c r="H37" s="428">
        <f t="shared" si="3"/>
        <v>442</v>
      </c>
    </row>
    <row r="38" spans="1:8" ht="56.25" x14ac:dyDescent="0.25">
      <c r="A38" s="422">
        <v>1</v>
      </c>
      <c r="B38" s="423" t="s">
        <v>1185</v>
      </c>
      <c r="C38" s="428"/>
      <c r="D38" s="428"/>
      <c r="E38" s="428">
        <f>SUM(E39:E41)</f>
        <v>7578</v>
      </c>
      <c r="F38" s="428">
        <f t="shared" ref="F38:H38" si="4">SUM(F39:F41)</f>
        <v>7904</v>
      </c>
      <c r="G38" s="428">
        <f t="shared" si="4"/>
        <v>8124</v>
      </c>
      <c r="H38" s="428">
        <f t="shared" si="4"/>
        <v>8344</v>
      </c>
    </row>
    <row r="39" spans="1:8" s="434" customFormat="1" x14ac:dyDescent="0.25">
      <c r="A39" s="437"/>
      <c r="B39" s="438" t="s">
        <v>1557</v>
      </c>
      <c r="C39" s="439">
        <v>69</v>
      </c>
      <c r="D39" s="440">
        <v>65</v>
      </c>
      <c r="E39" s="439">
        <v>7264</v>
      </c>
      <c r="F39" s="439">
        <f>7213+137</f>
        <v>7350</v>
      </c>
      <c r="G39" s="439">
        <f>ROUND(F39+23*8.8,0)</f>
        <v>7552</v>
      </c>
      <c r="H39" s="439">
        <f>ROUND(G39+23*8.8,0)</f>
        <v>7754</v>
      </c>
    </row>
    <row r="40" spans="1:8" s="434" customFormat="1" x14ac:dyDescent="0.25">
      <c r="A40" s="437"/>
      <c r="B40" s="438" t="s">
        <v>1333</v>
      </c>
      <c r="C40" s="439"/>
      <c r="D40" s="440"/>
      <c r="E40" s="439"/>
      <c r="F40" s="439">
        <v>207</v>
      </c>
      <c r="G40" s="439">
        <f>F40</f>
        <v>207</v>
      </c>
      <c r="H40" s="439">
        <f>G40</f>
        <v>207</v>
      </c>
    </row>
    <row r="41" spans="1:8" s="434" customFormat="1" ht="37.5" x14ac:dyDescent="0.25">
      <c r="A41" s="437"/>
      <c r="B41" s="438" t="s">
        <v>1079</v>
      </c>
      <c r="C41" s="439">
        <v>6</v>
      </c>
      <c r="D41" s="439">
        <v>6</v>
      </c>
      <c r="E41" s="439">
        <v>314</v>
      </c>
      <c r="F41" s="439">
        <v>347</v>
      </c>
      <c r="G41" s="439">
        <f>ROUND(F41+2*8.8,0)</f>
        <v>365</v>
      </c>
      <c r="H41" s="439">
        <f>ROUND(G41+2*8.8,0)</f>
        <v>383</v>
      </c>
    </row>
    <row r="42" spans="1:8" ht="37.5" x14ac:dyDescent="0.25">
      <c r="A42" s="422">
        <v>2</v>
      </c>
      <c r="B42" s="438" t="s">
        <v>1558</v>
      </c>
      <c r="C42" s="428">
        <v>69</v>
      </c>
      <c r="D42" s="428"/>
      <c r="E42" s="440">
        <v>1380</v>
      </c>
      <c r="F42" s="433">
        <f>C42*20</f>
        <v>1380</v>
      </c>
      <c r="G42" s="433">
        <f>F42</f>
        <v>1380</v>
      </c>
      <c r="H42" s="433">
        <f>G42</f>
        <v>1380</v>
      </c>
    </row>
    <row r="43" spans="1:8" x14ac:dyDescent="0.25">
      <c r="A43" s="422">
        <v>3</v>
      </c>
      <c r="B43" s="438" t="s">
        <v>1092</v>
      </c>
      <c r="C43" s="428"/>
      <c r="D43" s="428"/>
      <c r="E43" s="433">
        <f>SUM(E44:E45)</f>
        <v>330</v>
      </c>
      <c r="F43" s="433">
        <f t="shared" ref="F43:H43" si="5">SUM(F44:F45)</f>
        <v>314</v>
      </c>
      <c r="G43" s="433">
        <f t="shared" si="5"/>
        <v>314</v>
      </c>
      <c r="H43" s="433">
        <f t="shared" si="5"/>
        <v>314</v>
      </c>
    </row>
    <row r="44" spans="1:8" x14ac:dyDescent="0.25">
      <c r="A44" s="422"/>
      <c r="B44" s="423" t="s">
        <v>969</v>
      </c>
      <c r="C44" s="428"/>
      <c r="D44" s="428"/>
      <c r="E44" s="428">
        <v>138</v>
      </c>
      <c r="F44" s="428">
        <v>138</v>
      </c>
      <c r="G44" s="428">
        <f>F44</f>
        <v>138</v>
      </c>
      <c r="H44" s="428">
        <f>G44</f>
        <v>138</v>
      </c>
    </row>
    <row r="45" spans="1:8" s="50" customFormat="1" x14ac:dyDescent="0.25">
      <c r="A45" s="422"/>
      <c r="B45" s="423" t="s">
        <v>968</v>
      </c>
      <c r="C45" s="428"/>
      <c r="D45" s="428"/>
      <c r="E45" s="428">
        <v>192</v>
      </c>
      <c r="F45" s="428">
        <v>176</v>
      </c>
      <c r="G45" s="428">
        <f>F45</f>
        <v>176</v>
      </c>
      <c r="H45" s="428">
        <f>G45</f>
        <v>176</v>
      </c>
    </row>
    <row r="46" spans="1:8" s="49" customFormat="1" x14ac:dyDescent="0.25">
      <c r="A46" s="441" t="s">
        <v>52</v>
      </c>
      <c r="B46" s="442" t="s">
        <v>11</v>
      </c>
      <c r="C46" s="443"/>
      <c r="D46" s="443"/>
      <c r="E46" s="443">
        <f>SUM(E47:E54)</f>
        <v>2490</v>
      </c>
      <c r="F46" s="443">
        <f t="shared" ref="F46:H46" si="6">SUM(F47:F54)</f>
        <v>2145</v>
      </c>
      <c r="G46" s="443">
        <f t="shared" si="6"/>
        <v>1715</v>
      </c>
      <c r="H46" s="443">
        <f t="shared" si="6"/>
        <v>1715</v>
      </c>
    </row>
    <row r="47" spans="1:8" s="49" customFormat="1" x14ac:dyDescent="0.25">
      <c r="A47" s="437" t="s">
        <v>99</v>
      </c>
      <c r="B47" s="438" t="s">
        <v>482</v>
      </c>
      <c r="C47" s="439"/>
      <c r="D47" s="439"/>
      <c r="E47" s="439">
        <v>15</v>
      </c>
      <c r="F47" s="439">
        <f>E47</f>
        <v>15</v>
      </c>
      <c r="G47" s="439">
        <f>F47</f>
        <v>15</v>
      </c>
      <c r="H47" s="439">
        <f>G47</f>
        <v>15</v>
      </c>
    </row>
    <row r="48" spans="1:8" s="49" customFormat="1" ht="37.5" x14ac:dyDescent="0.25">
      <c r="A48" s="437" t="s">
        <v>99</v>
      </c>
      <c r="B48" s="438" t="s">
        <v>1560</v>
      </c>
      <c r="C48" s="439"/>
      <c r="D48" s="439"/>
      <c r="E48" s="439">
        <v>50</v>
      </c>
      <c r="F48" s="439">
        <f>E48</f>
        <v>50</v>
      </c>
      <c r="G48" s="439">
        <f t="shared" ref="G48:H48" si="7">F48</f>
        <v>50</v>
      </c>
      <c r="H48" s="439">
        <f t="shared" si="7"/>
        <v>50</v>
      </c>
    </row>
    <row r="49" spans="1:8" s="49" customFormat="1" x14ac:dyDescent="0.3">
      <c r="A49" s="437" t="s">
        <v>99</v>
      </c>
      <c r="B49" s="432" t="s">
        <v>1188</v>
      </c>
      <c r="C49" s="439"/>
      <c r="D49" s="439"/>
      <c r="E49" s="439">
        <v>50</v>
      </c>
      <c r="F49" s="439">
        <f>E49+40</f>
        <v>90</v>
      </c>
      <c r="G49" s="439">
        <f>E49</f>
        <v>50</v>
      </c>
      <c r="H49" s="439">
        <f t="shared" ref="H49" si="8">G49</f>
        <v>50</v>
      </c>
    </row>
    <row r="50" spans="1:8" s="434" customFormat="1" x14ac:dyDescent="0.3">
      <c r="A50" s="437" t="s">
        <v>99</v>
      </c>
      <c r="B50" s="432" t="s">
        <v>1561</v>
      </c>
      <c r="C50" s="439"/>
      <c r="D50" s="439"/>
      <c r="E50" s="439"/>
      <c r="F50" s="439">
        <v>170</v>
      </c>
      <c r="G50" s="439"/>
      <c r="H50" s="439"/>
    </row>
    <row r="51" spans="1:8" s="49" customFormat="1" ht="56.25" x14ac:dyDescent="0.25">
      <c r="A51" s="437" t="s">
        <v>99</v>
      </c>
      <c r="B51" s="423" t="s">
        <v>954</v>
      </c>
      <c r="C51" s="439"/>
      <c r="D51" s="439"/>
      <c r="E51" s="439">
        <v>2000</v>
      </c>
      <c r="F51" s="439">
        <v>1600</v>
      </c>
      <c r="G51" s="439">
        <f t="shared" ref="G51:H51" si="9">F51</f>
        <v>1600</v>
      </c>
      <c r="H51" s="439">
        <f t="shared" si="9"/>
        <v>1600</v>
      </c>
    </row>
    <row r="52" spans="1:8" s="114" customFormat="1" ht="56.25" x14ac:dyDescent="0.25">
      <c r="A52" s="437" t="s">
        <v>99</v>
      </c>
      <c r="B52" s="423" t="s">
        <v>953</v>
      </c>
      <c r="C52" s="439"/>
      <c r="D52" s="439"/>
      <c r="E52" s="439">
        <v>375</v>
      </c>
      <c r="F52" s="439"/>
      <c r="G52" s="439">
        <f t="shared" ref="G52:H52" si="10">F52</f>
        <v>0</v>
      </c>
      <c r="H52" s="439">
        <f t="shared" si="10"/>
        <v>0</v>
      </c>
    </row>
    <row r="53" spans="1:8" s="454" customFormat="1" ht="93.75" x14ac:dyDescent="0.25">
      <c r="A53" s="437" t="s">
        <v>99</v>
      </c>
      <c r="B53" s="423" t="s">
        <v>1565</v>
      </c>
      <c r="C53" s="439"/>
      <c r="D53" s="439"/>
      <c r="E53" s="439"/>
      <c r="F53" s="439">
        <v>120</v>
      </c>
      <c r="G53" s="439"/>
      <c r="H53" s="439"/>
    </row>
    <row r="54" spans="1:8" s="454" customFormat="1" ht="37.5" x14ac:dyDescent="0.25">
      <c r="A54" s="437" t="s">
        <v>99</v>
      </c>
      <c r="B54" s="423" t="s">
        <v>1562</v>
      </c>
      <c r="C54" s="439"/>
      <c r="D54" s="439"/>
      <c r="E54" s="439"/>
      <c r="F54" s="439">
        <v>100</v>
      </c>
      <c r="G54" s="439"/>
      <c r="H54" s="439"/>
    </row>
    <row r="55" spans="1:8" s="79" customFormat="1" ht="37.5" x14ac:dyDescent="0.25">
      <c r="A55" s="455" t="s">
        <v>7</v>
      </c>
      <c r="B55" s="452" t="s">
        <v>949</v>
      </c>
      <c r="C55" s="453"/>
      <c r="D55" s="453"/>
      <c r="E55" s="453">
        <v>523</v>
      </c>
      <c r="F55" s="453">
        <v>0</v>
      </c>
      <c r="G55" s="453">
        <v>0</v>
      </c>
      <c r="H55" s="453">
        <v>0</v>
      </c>
    </row>
    <row r="56" spans="1:8" s="79" customFormat="1" x14ac:dyDescent="0.25">
      <c r="A56" s="448">
        <v>1</v>
      </c>
      <c r="B56" s="449" t="s">
        <v>948</v>
      </c>
      <c r="C56" s="433"/>
      <c r="D56" s="433"/>
      <c r="E56" s="433">
        <v>24272</v>
      </c>
      <c r="F56" s="433"/>
      <c r="G56" s="433"/>
      <c r="H56" s="433"/>
    </row>
    <row r="57" spans="1:8" s="79" customFormat="1" ht="57.75" customHeight="1" x14ac:dyDescent="0.25">
      <c r="A57" s="448">
        <v>2</v>
      </c>
      <c r="B57" s="449" t="s">
        <v>1563</v>
      </c>
      <c r="C57" s="433"/>
      <c r="D57" s="433">
        <v>4</v>
      </c>
      <c r="E57" s="433">
        <v>495</v>
      </c>
      <c r="F57" s="433"/>
      <c r="G57" s="433"/>
      <c r="H57" s="433"/>
    </row>
    <row r="58" spans="1:8" s="50" customFormat="1" x14ac:dyDescent="0.25">
      <c r="A58" s="448">
        <v>3</v>
      </c>
      <c r="B58" s="449" t="s">
        <v>424</v>
      </c>
      <c r="C58" s="433"/>
      <c r="D58" s="433"/>
      <c r="E58" s="433">
        <v>28</v>
      </c>
      <c r="F58" s="433"/>
      <c r="G58" s="433"/>
      <c r="H58" s="433"/>
    </row>
    <row r="59" spans="1:8" s="50" customFormat="1" ht="37.5" x14ac:dyDescent="0.25">
      <c r="A59" s="441" t="s">
        <v>16</v>
      </c>
      <c r="B59" s="442" t="s">
        <v>446</v>
      </c>
      <c r="C59" s="443"/>
      <c r="D59" s="443"/>
      <c r="E59" s="443">
        <f>E60+E75+E92+E93</f>
        <v>32816</v>
      </c>
      <c r="F59" s="443">
        <f t="shared" ref="F59:H59" si="11">F60+F75+F92+F93</f>
        <v>43035</v>
      </c>
      <c r="G59" s="443">
        <f t="shared" si="11"/>
        <v>42828</v>
      </c>
      <c r="H59" s="443">
        <f t="shared" si="11"/>
        <v>42879</v>
      </c>
    </row>
    <row r="60" spans="1:8" s="459" customFormat="1" x14ac:dyDescent="0.25">
      <c r="A60" s="410" t="s">
        <v>51</v>
      </c>
      <c r="B60" s="409" t="s">
        <v>428</v>
      </c>
      <c r="C60" s="411"/>
      <c r="D60" s="411"/>
      <c r="E60" s="411">
        <f>E63+E69</f>
        <v>1238</v>
      </c>
      <c r="F60" s="411">
        <f t="shared" ref="F60:H60" si="12">F63+F69</f>
        <v>1404</v>
      </c>
      <c r="G60" s="411">
        <f t="shared" si="12"/>
        <v>1225</v>
      </c>
      <c r="H60" s="411">
        <f t="shared" si="12"/>
        <v>1254</v>
      </c>
    </row>
    <row r="61" spans="1:8" s="49" customFormat="1" x14ac:dyDescent="0.25">
      <c r="A61" s="437"/>
      <c r="B61" s="438" t="s">
        <v>626</v>
      </c>
      <c r="C61" s="439"/>
      <c r="D61" s="439"/>
      <c r="E61" s="439">
        <v>620</v>
      </c>
      <c r="F61" s="439">
        <f>-180+780</f>
        <v>600</v>
      </c>
      <c r="G61" s="439">
        <f>F61</f>
        <v>600</v>
      </c>
      <c r="H61" s="439">
        <f>G61</f>
        <v>600</v>
      </c>
    </row>
    <row r="62" spans="1:8" s="142" customFormat="1" ht="19.5" x14ac:dyDescent="0.25">
      <c r="A62" s="437"/>
      <c r="B62" s="438" t="s">
        <v>950</v>
      </c>
      <c r="C62" s="439"/>
      <c r="D62" s="439"/>
      <c r="E62" s="439">
        <v>450</v>
      </c>
      <c r="F62" s="439">
        <v>450</v>
      </c>
      <c r="G62" s="439">
        <f>F62</f>
        <v>450</v>
      </c>
      <c r="H62" s="439">
        <f>G62</f>
        <v>450</v>
      </c>
    </row>
    <row r="63" spans="1:8" ht="19.5" x14ac:dyDescent="0.25">
      <c r="A63" s="456">
        <v>1</v>
      </c>
      <c r="B63" s="457" t="s">
        <v>565</v>
      </c>
      <c r="C63" s="458"/>
      <c r="D63" s="458"/>
      <c r="E63" s="458">
        <f>E64+E65-E66</f>
        <v>1024</v>
      </c>
      <c r="F63" s="458">
        <f t="shared" ref="F63:H63" si="13">F64+F65-F66</f>
        <v>1130</v>
      </c>
      <c r="G63" s="458">
        <f t="shared" si="13"/>
        <v>1159</v>
      </c>
      <c r="H63" s="458">
        <f t="shared" si="13"/>
        <v>1188</v>
      </c>
    </row>
    <row r="64" spans="1:8" x14ac:dyDescent="0.25">
      <c r="A64" s="422" t="s">
        <v>53</v>
      </c>
      <c r="B64" s="423" t="s">
        <v>1103</v>
      </c>
      <c r="C64" s="428">
        <v>14</v>
      </c>
      <c r="D64" s="433">
        <v>14</v>
      </c>
      <c r="E64" s="428">
        <v>964</v>
      </c>
      <c r="F64" s="428">
        <v>1070</v>
      </c>
      <c r="G64" s="428">
        <f>ROUND(F64+4*7.3,0)</f>
        <v>1099</v>
      </c>
      <c r="H64" s="428">
        <f>ROUND(G64+4*7.3,0)</f>
        <v>1128</v>
      </c>
    </row>
    <row r="65" spans="1:8" ht="37.5" x14ac:dyDescent="0.25">
      <c r="A65" s="422" t="s">
        <v>54</v>
      </c>
      <c r="B65" s="423" t="s">
        <v>299</v>
      </c>
      <c r="C65" s="428">
        <v>14</v>
      </c>
      <c r="D65" s="428"/>
      <c r="E65" s="433">
        <v>266</v>
      </c>
      <c r="F65" s="433">
        <v>266</v>
      </c>
      <c r="G65" s="433">
        <v>266</v>
      </c>
      <c r="H65" s="433">
        <v>266</v>
      </c>
    </row>
    <row r="66" spans="1:8" x14ac:dyDescent="0.25">
      <c r="A66" s="422" t="s">
        <v>55</v>
      </c>
      <c r="B66" s="438" t="s">
        <v>1092</v>
      </c>
      <c r="C66" s="428"/>
      <c r="D66" s="428"/>
      <c r="E66" s="433">
        <f>SUM(E67:E68)</f>
        <v>206</v>
      </c>
      <c r="F66" s="433">
        <f t="shared" ref="F66:H66" si="14">SUM(F67:F68)</f>
        <v>206</v>
      </c>
      <c r="G66" s="433">
        <f t="shared" si="14"/>
        <v>206</v>
      </c>
      <c r="H66" s="433">
        <f t="shared" si="14"/>
        <v>206</v>
      </c>
    </row>
    <row r="67" spans="1:8" x14ac:dyDescent="0.25">
      <c r="A67" s="422"/>
      <c r="B67" s="423" t="s">
        <v>969</v>
      </c>
      <c r="C67" s="428"/>
      <c r="D67" s="428"/>
      <c r="E67" s="428">
        <v>26</v>
      </c>
      <c r="F67" s="428">
        <v>26</v>
      </c>
      <c r="G67" s="428">
        <v>26</v>
      </c>
      <c r="H67" s="428">
        <v>26</v>
      </c>
    </row>
    <row r="68" spans="1:8" s="142" customFormat="1" ht="19.5" x14ac:dyDescent="0.25">
      <c r="A68" s="422"/>
      <c r="B68" s="423" t="s">
        <v>968</v>
      </c>
      <c r="C68" s="428"/>
      <c r="D68" s="428"/>
      <c r="E68" s="428">
        <v>180</v>
      </c>
      <c r="F68" s="428">
        <v>180</v>
      </c>
      <c r="G68" s="428">
        <v>180</v>
      </c>
      <c r="H68" s="428">
        <v>180</v>
      </c>
    </row>
    <row r="69" spans="1:8" s="49" customFormat="1" ht="19.5" x14ac:dyDescent="0.25">
      <c r="A69" s="456">
        <v>2</v>
      </c>
      <c r="B69" s="457" t="s">
        <v>425</v>
      </c>
      <c r="C69" s="458"/>
      <c r="D69" s="458"/>
      <c r="E69" s="458">
        <f>SUM(E70:E74)</f>
        <v>214</v>
      </c>
      <c r="F69" s="458">
        <f>SUM(F70:F74)</f>
        <v>274</v>
      </c>
      <c r="G69" s="458">
        <f t="shared" ref="G69:H69" si="15">SUM(G70:G74)</f>
        <v>66</v>
      </c>
      <c r="H69" s="458">
        <f t="shared" si="15"/>
        <v>66</v>
      </c>
    </row>
    <row r="70" spans="1:8" s="49" customFormat="1" ht="18.75" customHeight="1" x14ac:dyDescent="0.25">
      <c r="A70" s="437" t="s">
        <v>99</v>
      </c>
      <c r="B70" s="438" t="s">
        <v>426</v>
      </c>
      <c r="C70" s="439"/>
      <c r="D70" s="439"/>
      <c r="E70" s="439">
        <v>64</v>
      </c>
      <c r="F70" s="439">
        <v>66</v>
      </c>
      <c r="G70" s="433">
        <f>F70</f>
        <v>66</v>
      </c>
      <c r="H70" s="433">
        <f>G70</f>
        <v>66</v>
      </c>
    </row>
    <row r="71" spans="1:8" s="49" customFormat="1" hidden="1" x14ac:dyDescent="0.25">
      <c r="A71" s="437" t="s">
        <v>99</v>
      </c>
      <c r="B71" s="438" t="s">
        <v>427</v>
      </c>
      <c r="C71" s="439"/>
      <c r="D71" s="439"/>
      <c r="E71" s="439"/>
      <c r="F71" s="439"/>
      <c r="G71" s="433">
        <v>0</v>
      </c>
      <c r="H71" s="433">
        <v>0</v>
      </c>
    </row>
    <row r="72" spans="1:8" s="49" customFormat="1" ht="56.25" x14ac:dyDescent="0.25">
      <c r="A72" s="437" t="s">
        <v>99</v>
      </c>
      <c r="B72" s="438" t="s">
        <v>1554</v>
      </c>
      <c r="C72" s="439"/>
      <c r="D72" s="439"/>
      <c r="E72" s="439">
        <v>50</v>
      </c>
      <c r="F72" s="439"/>
      <c r="G72" s="433"/>
      <c r="H72" s="433"/>
    </row>
    <row r="73" spans="1:8" s="114" customFormat="1" ht="56.25" x14ac:dyDescent="0.25">
      <c r="A73" s="437" t="s">
        <v>99</v>
      </c>
      <c r="B73" s="438" t="s">
        <v>952</v>
      </c>
      <c r="C73" s="439"/>
      <c r="D73" s="439"/>
      <c r="E73" s="439">
        <v>100</v>
      </c>
      <c r="F73" s="439"/>
      <c r="G73" s="433"/>
      <c r="H73" s="433"/>
    </row>
    <row r="74" spans="1:8" s="454" customFormat="1" ht="75" x14ac:dyDescent="0.25">
      <c r="A74" s="437" t="s">
        <v>99</v>
      </c>
      <c r="B74" s="438" t="s">
        <v>1553</v>
      </c>
      <c r="C74" s="439"/>
      <c r="D74" s="439"/>
      <c r="E74" s="439"/>
      <c r="F74" s="439">
        <f>8+90+110</f>
        <v>208</v>
      </c>
      <c r="G74" s="433"/>
      <c r="H74" s="433"/>
    </row>
    <row r="75" spans="1:8" s="405" customFormat="1" ht="19.5" x14ac:dyDescent="0.25">
      <c r="A75" s="408" t="s">
        <v>52</v>
      </c>
      <c r="B75" s="406" t="s">
        <v>429</v>
      </c>
      <c r="C75" s="407"/>
      <c r="D75" s="407"/>
      <c r="E75" s="407">
        <f>E76+E83</f>
        <v>16310</v>
      </c>
      <c r="F75" s="407">
        <f t="shared" ref="F75:H75" si="16">F76+F83</f>
        <v>16304</v>
      </c>
      <c r="G75" s="407">
        <f t="shared" si="16"/>
        <v>16276</v>
      </c>
      <c r="H75" s="407">
        <f t="shared" si="16"/>
        <v>16298</v>
      </c>
    </row>
    <row r="76" spans="1:8" s="79" customFormat="1" ht="19.5" x14ac:dyDescent="0.25">
      <c r="A76" s="461">
        <v>1</v>
      </c>
      <c r="B76" s="462" t="s">
        <v>565</v>
      </c>
      <c r="C76" s="463"/>
      <c r="D76" s="463"/>
      <c r="E76" s="463">
        <f>E77+E81-E82</f>
        <v>1200</v>
      </c>
      <c r="F76" s="463">
        <f t="shared" ref="F76:H76" si="17">F77+F81-F82</f>
        <v>1164</v>
      </c>
      <c r="G76" s="463">
        <f t="shared" si="17"/>
        <v>1186</v>
      </c>
      <c r="H76" s="463">
        <f t="shared" si="17"/>
        <v>1208</v>
      </c>
    </row>
    <row r="77" spans="1:8" s="79" customFormat="1" ht="37.5" x14ac:dyDescent="0.25">
      <c r="A77" s="448" t="s">
        <v>53</v>
      </c>
      <c r="B77" s="449" t="s">
        <v>1077</v>
      </c>
      <c r="C77" s="433"/>
      <c r="D77" s="433"/>
      <c r="E77" s="433">
        <f>SUM(E78:E80)</f>
        <v>1002</v>
      </c>
      <c r="F77" s="433">
        <f t="shared" ref="F77:H77" si="18">SUM(F78:F80)</f>
        <v>966</v>
      </c>
      <c r="G77" s="433">
        <f t="shared" si="18"/>
        <v>988</v>
      </c>
      <c r="H77" s="433">
        <f t="shared" si="18"/>
        <v>1010</v>
      </c>
    </row>
    <row r="78" spans="1:8" s="79" customFormat="1" x14ac:dyDescent="0.25">
      <c r="A78" s="448"/>
      <c r="B78" s="449" t="s">
        <v>1555</v>
      </c>
      <c r="C78" s="433">
        <v>10</v>
      </c>
      <c r="D78" s="433">
        <v>7</v>
      </c>
      <c r="E78" s="433">
        <v>928</v>
      </c>
      <c r="F78" s="433">
        <f>20+696</f>
        <v>716</v>
      </c>
      <c r="G78" s="428">
        <f>ROUND(F78+3*7.3,0)</f>
        <v>738</v>
      </c>
      <c r="H78" s="428">
        <f>ROUND(G78+3*7.3,0)</f>
        <v>760</v>
      </c>
    </row>
    <row r="79" spans="1:8" s="450" customFormat="1" x14ac:dyDescent="0.25">
      <c r="A79" s="448"/>
      <c r="B79" s="449" t="s">
        <v>1150</v>
      </c>
      <c r="C79" s="433"/>
      <c r="D79" s="433"/>
      <c r="E79" s="433"/>
      <c r="F79" s="433">
        <v>155</v>
      </c>
      <c r="G79" s="433">
        <f>F79</f>
        <v>155</v>
      </c>
      <c r="H79" s="433">
        <f>G79</f>
        <v>155</v>
      </c>
    </row>
    <row r="80" spans="1:8" s="79" customFormat="1" ht="37.5" x14ac:dyDescent="0.25">
      <c r="A80" s="448"/>
      <c r="B80" s="451" t="s">
        <v>1105</v>
      </c>
      <c r="C80" s="433">
        <v>2</v>
      </c>
      <c r="D80" s="433">
        <v>2</v>
      </c>
      <c r="E80" s="433">
        <v>74</v>
      </c>
      <c r="F80" s="433">
        <v>95</v>
      </c>
      <c r="G80" s="433">
        <f>F80</f>
        <v>95</v>
      </c>
      <c r="H80" s="433">
        <f>G80</f>
        <v>95</v>
      </c>
    </row>
    <row r="81" spans="1:8" s="79" customFormat="1" ht="37.5" x14ac:dyDescent="0.25">
      <c r="A81" s="448" t="s">
        <v>54</v>
      </c>
      <c r="B81" s="449" t="s">
        <v>430</v>
      </c>
      <c r="C81" s="433">
        <v>10</v>
      </c>
      <c r="D81" s="433"/>
      <c r="E81" s="433">
        <v>220</v>
      </c>
      <c r="F81" s="433">
        <f>C81*22</f>
        <v>220</v>
      </c>
      <c r="G81" s="433">
        <v>220</v>
      </c>
      <c r="H81" s="433">
        <v>220</v>
      </c>
    </row>
    <row r="82" spans="1:8" s="260" customFormat="1" ht="37.5" x14ac:dyDescent="0.25">
      <c r="A82" s="448" t="s">
        <v>55</v>
      </c>
      <c r="B82" s="449" t="s">
        <v>103</v>
      </c>
      <c r="C82" s="433"/>
      <c r="D82" s="433"/>
      <c r="E82" s="433">
        <v>22</v>
      </c>
      <c r="F82" s="433">
        <v>22</v>
      </c>
      <c r="G82" s="433">
        <v>22</v>
      </c>
      <c r="H82" s="433">
        <v>22</v>
      </c>
    </row>
    <row r="83" spans="1:8" s="107" customFormat="1" ht="19.5" x14ac:dyDescent="0.25">
      <c r="A83" s="461">
        <v>2</v>
      </c>
      <c r="B83" s="462" t="s">
        <v>425</v>
      </c>
      <c r="C83" s="463"/>
      <c r="D83" s="463"/>
      <c r="E83" s="463">
        <f>SUM(E84:E87)</f>
        <v>15110</v>
      </c>
      <c r="F83" s="463">
        <f>SUM(F84:F87)</f>
        <v>15140</v>
      </c>
      <c r="G83" s="463">
        <f>SUM(G84:G87)</f>
        <v>15090</v>
      </c>
      <c r="H83" s="463">
        <f>SUM(H84:H87)</f>
        <v>15090</v>
      </c>
    </row>
    <row r="84" spans="1:8" s="107" customFormat="1" x14ac:dyDescent="0.25">
      <c r="A84" s="460" t="s">
        <v>99</v>
      </c>
      <c r="B84" s="451" t="s">
        <v>431</v>
      </c>
      <c r="C84" s="440"/>
      <c r="D84" s="440"/>
      <c r="E84" s="440">
        <v>40</v>
      </c>
      <c r="F84" s="440">
        <f>E84</f>
        <v>40</v>
      </c>
      <c r="G84" s="440">
        <v>40</v>
      </c>
      <c r="H84" s="440">
        <v>40</v>
      </c>
    </row>
    <row r="85" spans="1:8" s="107" customFormat="1" x14ac:dyDescent="0.25">
      <c r="A85" s="460" t="s">
        <v>99</v>
      </c>
      <c r="B85" s="451" t="s">
        <v>399</v>
      </c>
      <c r="C85" s="440"/>
      <c r="D85" s="440"/>
      <c r="E85" s="440">
        <v>50</v>
      </c>
      <c r="F85" s="440">
        <f>E85</f>
        <v>50</v>
      </c>
      <c r="G85" s="440">
        <v>50</v>
      </c>
      <c r="H85" s="440">
        <v>50</v>
      </c>
    </row>
    <row r="86" spans="1:8" s="107" customFormat="1" x14ac:dyDescent="0.25">
      <c r="A86" s="460" t="s">
        <v>99</v>
      </c>
      <c r="B86" s="451" t="s">
        <v>114</v>
      </c>
      <c r="C86" s="440"/>
      <c r="D86" s="440"/>
      <c r="E86" s="440">
        <v>20</v>
      </c>
      <c r="F86" s="440">
        <v>50</v>
      </c>
      <c r="G86" s="440"/>
      <c r="H86" s="440"/>
    </row>
    <row r="87" spans="1:8" s="107" customFormat="1" ht="37.5" x14ac:dyDescent="0.25">
      <c r="A87" s="460" t="s">
        <v>99</v>
      </c>
      <c r="B87" s="451" t="s">
        <v>432</v>
      </c>
      <c r="C87" s="440"/>
      <c r="D87" s="440"/>
      <c r="E87" s="440">
        <f>SUM(E88:E91)</f>
        <v>15000</v>
      </c>
      <c r="F87" s="440">
        <f t="shared" ref="F87:H87" si="19">SUM(F88:F91)</f>
        <v>15000</v>
      </c>
      <c r="G87" s="440">
        <f t="shared" si="19"/>
        <v>15000</v>
      </c>
      <c r="H87" s="440">
        <f t="shared" si="19"/>
        <v>15000</v>
      </c>
    </row>
    <row r="88" spans="1:8" s="107" customFormat="1" x14ac:dyDescent="0.25">
      <c r="A88" s="460"/>
      <c r="B88" s="451" t="s">
        <v>433</v>
      </c>
      <c r="C88" s="440"/>
      <c r="D88" s="440"/>
      <c r="E88" s="440">
        <v>6000</v>
      </c>
      <c r="F88" s="440">
        <f>E88</f>
        <v>6000</v>
      </c>
      <c r="G88" s="440">
        <v>6000</v>
      </c>
      <c r="H88" s="440">
        <v>6000</v>
      </c>
    </row>
    <row r="89" spans="1:8" s="107" customFormat="1" x14ac:dyDescent="0.25">
      <c r="A89" s="460"/>
      <c r="B89" s="451" t="s">
        <v>434</v>
      </c>
      <c r="C89" s="440"/>
      <c r="D89" s="440"/>
      <c r="E89" s="440">
        <v>2880</v>
      </c>
      <c r="F89" s="440">
        <f>E89</f>
        <v>2880</v>
      </c>
      <c r="G89" s="440">
        <f>F89</f>
        <v>2880</v>
      </c>
      <c r="H89" s="440">
        <f>G89</f>
        <v>2880</v>
      </c>
    </row>
    <row r="90" spans="1:8" s="107" customFormat="1" ht="37.5" x14ac:dyDescent="0.25">
      <c r="A90" s="460"/>
      <c r="B90" s="451" t="s">
        <v>435</v>
      </c>
      <c r="C90" s="440"/>
      <c r="D90" s="440"/>
      <c r="E90" s="440">
        <v>502</v>
      </c>
      <c r="F90" s="440">
        <v>581</v>
      </c>
      <c r="G90" s="440">
        <f t="shared" ref="G90:H90" si="20">F90</f>
        <v>581</v>
      </c>
      <c r="H90" s="440">
        <f t="shared" si="20"/>
        <v>581</v>
      </c>
    </row>
    <row r="91" spans="1:8" s="50" customFormat="1" x14ac:dyDescent="0.25">
      <c r="A91" s="460"/>
      <c r="B91" s="451" t="s">
        <v>436</v>
      </c>
      <c r="C91" s="440"/>
      <c r="D91" s="440"/>
      <c r="E91" s="440">
        <f>-58+5676</f>
        <v>5618</v>
      </c>
      <c r="F91" s="440">
        <f>E91-79</f>
        <v>5539</v>
      </c>
      <c r="G91" s="440">
        <f t="shared" ref="G91:H91" si="21">F91</f>
        <v>5539</v>
      </c>
      <c r="H91" s="440">
        <f t="shared" si="21"/>
        <v>5539</v>
      </c>
    </row>
    <row r="92" spans="1:8" s="50" customFormat="1" x14ac:dyDescent="0.25">
      <c r="A92" s="441" t="s">
        <v>147</v>
      </c>
      <c r="B92" s="442" t="s">
        <v>437</v>
      </c>
      <c r="C92" s="443"/>
      <c r="D92" s="443"/>
      <c r="E92" s="443">
        <v>15000</v>
      </c>
      <c r="F92" s="443">
        <v>25000</v>
      </c>
      <c r="G92" s="443">
        <f>F92</f>
        <v>25000</v>
      </c>
      <c r="H92" s="443">
        <f>G92</f>
        <v>25000</v>
      </c>
    </row>
    <row r="93" spans="1:8" s="49" customFormat="1" ht="56.25" x14ac:dyDescent="0.25">
      <c r="A93" s="441" t="s">
        <v>294</v>
      </c>
      <c r="B93" s="442" t="s">
        <v>1556</v>
      </c>
      <c r="C93" s="443"/>
      <c r="D93" s="443"/>
      <c r="E93" s="443">
        <v>268</v>
      </c>
      <c r="F93" s="443">
        <v>327</v>
      </c>
      <c r="G93" s="443">
        <f>F93</f>
        <v>327</v>
      </c>
      <c r="H93" s="443">
        <f>G93</f>
        <v>327</v>
      </c>
    </row>
    <row r="94" spans="1:8" s="50" customFormat="1" ht="18.75" hidden="1" customHeight="1" x14ac:dyDescent="0.25">
      <c r="A94" s="437" t="s">
        <v>99</v>
      </c>
      <c r="B94" s="438" t="s">
        <v>951</v>
      </c>
      <c r="C94" s="439"/>
      <c r="D94" s="439"/>
      <c r="E94" s="439">
        <v>268</v>
      </c>
      <c r="F94" s="439"/>
      <c r="G94" s="439">
        <v>268</v>
      </c>
      <c r="H94" s="439">
        <v>268</v>
      </c>
    </row>
    <row r="95" spans="1:8" s="49" customFormat="1" ht="18.75" hidden="1" customHeight="1" x14ac:dyDescent="0.25">
      <c r="A95" s="441" t="s">
        <v>295</v>
      </c>
      <c r="B95" s="442" t="s">
        <v>445</v>
      </c>
      <c r="C95" s="443"/>
      <c r="D95" s="443"/>
      <c r="E95" s="443">
        <v>0</v>
      </c>
      <c r="F95" s="443"/>
      <c r="G95" s="443">
        <v>0</v>
      </c>
      <c r="H95" s="443">
        <v>0</v>
      </c>
    </row>
    <row r="96" spans="1:8" s="49" customFormat="1" ht="18.75" hidden="1" customHeight="1" x14ac:dyDescent="0.25">
      <c r="A96" s="437"/>
      <c r="B96" s="438"/>
      <c r="C96" s="439"/>
      <c r="D96" s="439"/>
      <c r="E96" s="439"/>
      <c r="F96" s="439"/>
      <c r="G96" s="439">
        <v>0</v>
      </c>
      <c r="H96" s="439">
        <v>0</v>
      </c>
    </row>
    <row r="97" spans="1:8" s="49" customFormat="1" hidden="1" x14ac:dyDescent="0.25">
      <c r="A97" s="437"/>
      <c r="B97" s="438"/>
      <c r="C97" s="439"/>
      <c r="D97" s="439"/>
      <c r="E97" s="439"/>
      <c r="F97" s="439"/>
      <c r="G97" s="439"/>
      <c r="H97" s="439"/>
    </row>
    <row r="98" spans="1:8" s="49" customFormat="1" x14ac:dyDescent="0.25">
      <c r="A98" s="444"/>
      <c r="B98" s="445"/>
      <c r="C98" s="446"/>
      <c r="D98" s="446"/>
      <c r="E98" s="446"/>
      <c r="F98" s="446"/>
      <c r="G98" s="446"/>
      <c r="H98" s="446"/>
    </row>
    <row r="99" spans="1:8" ht="39.75" customHeight="1" x14ac:dyDescent="0.25">
      <c r="A99" s="447"/>
      <c r="B99" s="567" t="s">
        <v>1564</v>
      </c>
      <c r="C99" s="567"/>
      <c r="D99" s="567"/>
      <c r="E99" s="567"/>
      <c r="F99" s="567"/>
      <c r="G99" s="567"/>
      <c r="H99" s="567"/>
    </row>
    <row r="100" spans="1:8" x14ac:dyDescent="0.25">
      <c r="A100" s="414"/>
      <c r="B100" s="418" t="s">
        <v>1442</v>
      </c>
      <c r="C100" s="412"/>
      <c r="D100" s="412"/>
      <c r="E100" s="412"/>
      <c r="F100" s="412"/>
      <c r="G100" s="412"/>
      <c r="H100" s="412"/>
    </row>
    <row r="101" spans="1:8" x14ac:dyDescent="0.25">
      <c r="A101" s="414"/>
      <c r="B101" s="412"/>
      <c r="C101" s="412"/>
      <c r="D101" s="412"/>
      <c r="E101" s="412"/>
      <c r="F101" s="412"/>
      <c r="G101" s="412"/>
      <c r="H101" s="412"/>
    </row>
    <row r="102" spans="1:8" x14ac:dyDescent="0.25">
      <c r="A102" s="550" t="s">
        <v>36</v>
      </c>
      <c r="B102" s="550"/>
      <c r="C102" s="412"/>
      <c r="D102" s="550" t="s">
        <v>37</v>
      </c>
      <c r="E102" s="550"/>
      <c r="F102" s="550"/>
      <c r="G102" s="550"/>
      <c r="H102" s="550"/>
    </row>
  </sheetData>
  <mergeCells count="18">
    <mergeCell ref="A102:B102"/>
    <mergeCell ref="D102:H102"/>
    <mergeCell ref="C25:H25"/>
    <mergeCell ref="C27:H27"/>
    <mergeCell ref="B29:H29"/>
    <mergeCell ref="C26:H26"/>
    <mergeCell ref="B99:H99"/>
    <mergeCell ref="C10:H10"/>
    <mergeCell ref="A1:H1"/>
    <mergeCell ref="B3:H3"/>
    <mergeCell ref="C7:H7"/>
    <mergeCell ref="C8:H8"/>
    <mergeCell ref="C9:H9"/>
    <mergeCell ref="C11:H11"/>
    <mergeCell ref="C16:H16"/>
    <mergeCell ref="C18:H18"/>
    <mergeCell ref="C19:H19"/>
    <mergeCell ref="C28:H28"/>
  </mergeCells>
  <printOptions horizontalCentered="1"/>
  <pageMargins left="0" right="0.196850393700787" top="1" bottom="0.75" header="0.31496062992126" footer="0.31496062992126"/>
  <pageSetup paperSize="9" scale="89" orientation="portrait" r:id="rId1"/>
  <headerFooter>
    <oddFooter>&amp;C&amp;P/&amp;N</oddFooter>
  </headerFooter>
  <legacyDrawing r:id="rId2"/>
</worksheet>
</file>

<file path=xl/worksheets/sheet3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76"/>
  <sheetViews>
    <sheetView topLeftCell="A59" zoomScaleNormal="100" workbookViewId="0">
      <selection activeCell="B70" sqref="B70"/>
    </sheetView>
  </sheetViews>
  <sheetFormatPr defaultColWidth="9.140625" defaultRowHeight="18.75" x14ac:dyDescent="0.25"/>
  <cols>
    <col min="1" max="1" width="4.85546875" style="434" customWidth="1"/>
    <col min="2" max="2" width="43.28515625" style="7" customWidth="1"/>
    <col min="3" max="4" width="7.85546875" style="7" customWidth="1"/>
    <col min="5" max="8" width="11.7109375" style="7" customWidth="1"/>
    <col min="9" max="16384" width="9.140625" style="7"/>
  </cols>
  <sheetData>
    <row r="1" spans="1:8" ht="41.25" customHeight="1" x14ac:dyDescent="0.25">
      <c r="A1" s="549" t="s">
        <v>1074</v>
      </c>
      <c r="B1" s="555"/>
      <c r="C1" s="555"/>
      <c r="D1" s="555"/>
      <c r="E1" s="555"/>
      <c r="F1" s="555"/>
      <c r="G1" s="555"/>
      <c r="H1" s="555"/>
    </row>
    <row r="2" spans="1:8" x14ac:dyDescent="0.25">
      <c r="A2" s="50"/>
      <c r="B2" s="146"/>
      <c r="C2" s="146"/>
      <c r="D2" s="1"/>
      <c r="E2" s="1"/>
      <c r="F2" s="1"/>
      <c r="G2" s="1"/>
      <c r="H2" s="1"/>
    </row>
    <row r="3" spans="1:8" ht="40.5" customHeight="1" x14ac:dyDescent="0.25">
      <c r="B3" s="565" t="s">
        <v>1575</v>
      </c>
      <c r="C3" s="565"/>
      <c r="D3" s="565"/>
      <c r="E3" s="565"/>
      <c r="F3" s="565"/>
      <c r="G3" s="565"/>
      <c r="H3" s="565"/>
    </row>
    <row r="4" spans="1:8" x14ac:dyDescent="0.25">
      <c r="B4" s="7" t="s">
        <v>39</v>
      </c>
      <c r="D4" s="8"/>
      <c r="E4" s="8"/>
      <c r="F4" s="8"/>
      <c r="G4" s="8"/>
      <c r="H4" s="8"/>
    </row>
    <row r="5" spans="1:8" s="146" customFormat="1" x14ac:dyDescent="0.25">
      <c r="A5" s="50"/>
      <c r="B5" s="3" t="s">
        <v>18</v>
      </c>
    </row>
    <row r="6" spans="1:8" x14ac:dyDescent="0.25">
      <c r="B6" s="2" t="s">
        <v>23</v>
      </c>
      <c r="C6" s="558" t="s">
        <v>49</v>
      </c>
      <c r="D6" s="558"/>
      <c r="E6" s="558"/>
      <c r="F6" s="558"/>
      <c r="G6" s="558"/>
      <c r="H6" s="558"/>
    </row>
    <row r="7" spans="1:8" x14ac:dyDescent="0.25">
      <c r="B7" s="2" t="s">
        <v>19</v>
      </c>
      <c r="C7" s="558" t="s">
        <v>50</v>
      </c>
      <c r="D7" s="558"/>
      <c r="E7" s="558"/>
      <c r="F7" s="558"/>
      <c r="G7" s="558"/>
      <c r="H7" s="558"/>
    </row>
    <row r="8" spans="1:8" hidden="1" x14ac:dyDescent="0.25">
      <c r="B8" s="2" t="s">
        <v>90</v>
      </c>
      <c r="C8" s="558" t="s">
        <v>60</v>
      </c>
      <c r="D8" s="558"/>
      <c r="E8" s="558"/>
      <c r="F8" s="558"/>
      <c r="G8" s="558"/>
      <c r="H8" s="558"/>
    </row>
    <row r="9" spans="1:8" x14ac:dyDescent="0.25">
      <c r="B9" s="2" t="s">
        <v>59</v>
      </c>
      <c r="C9" s="558" t="s">
        <v>60</v>
      </c>
      <c r="D9" s="558"/>
      <c r="E9" s="558"/>
      <c r="F9" s="558"/>
      <c r="G9" s="558"/>
      <c r="H9" s="558"/>
    </row>
    <row r="10" spans="1:8" hidden="1" x14ac:dyDescent="0.25">
      <c r="B10" s="2" t="s">
        <v>20</v>
      </c>
      <c r="C10" s="558" t="s">
        <v>86</v>
      </c>
      <c r="D10" s="558"/>
      <c r="E10" s="558"/>
      <c r="F10" s="558"/>
      <c r="G10" s="558"/>
      <c r="H10" s="558"/>
    </row>
    <row r="11" spans="1:8" x14ac:dyDescent="0.25">
      <c r="B11" s="2" t="s">
        <v>1205</v>
      </c>
      <c r="C11" s="147" t="s">
        <v>87</v>
      </c>
      <c r="D11" s="147"/>
      <c r="E11" s="147"/>
      <c r="F11" s="319"/>
      <c r="G11" s="147"/>
      <c r="H11" s="147"/>
    </row>
    <row r="12" spans="1:8" x14ac:dyDescent="0.25">
      <c r="B12" s="2" t="s">
        <v>316</v>
      </c>
      <c r="C12" s="147" t="s">
        <v>88</v>
      </c>
      <c r="D12" s="147"/>
      <c r="E12" s="147"/>
      <c r="F12" s="319"/>
      <c r="G12" s="147"/>
      <c r="H12" s="147"/>
    </row>
    <row r="13" spans="1:8" hidden="1" x14ac:dyDescent="0.25">
      <c r="B13" s="2" t="s">
        <v>94</v>
      </c>
      <c r="C13" s="147" t="s">
        <v>95</v>
      </c>
      <c r="D13" s="147"/>
      <c r="E13" s="147"/>
      <c r="F13" s="319"/>
      <c r="G13" s="147"/>
      <c r="H13" s="147"/>
    </row>
    <row r="14" spans="1:8" x14ac:dyDescent="0.25">
      <c r="B14" s="2"/>
      <c r="C14" s="147"/>
      <c r="D14" s="147"/>
      <c r="E14" s="147"/>
      <c r="F14" s="319"/>
      <c r="G14" s="147"/>
      <c r="H14" s="147"/>
    </row>
    <row r="15" spans="1:8" hidden="1" x14ac:dyDescent="0.25">
      <c r="B15" s="2" t="s">
        <v>21</v>
      </c>
      <c r="C15" s="558"/>
      <c r="D15" s="558"/>
      <c r="E15" s="558"/>
      <c r="F15" s="558"/>
      <c r="G15" s="558"/>
      <c r="H15" s="558"/>
    </row>
    <row r="16" spans="1:8" s="146" customFormat="1" x14ac:dyDescent="0.25">
      <c r="A16" s="50"/>
      <c r="B16" s="3" t="s">
        <v>362</v>
      </c>
      <c r="C16" s="3"/>
      <c r="D16" s="3"/>
      <c r="E16" s="3"/>
      <c r="F16" s="3"/>
      <c r="G16" s="3"/>
      <c r="H16" s="3"/>
    </row>
    <row r="17" spans="1:8" x14ac:dyDescent="0.25">
      <c r="B17" s="2" t="s">
        <v>1566</v>
      </c>
      <c r="C17" s="558" t="s">
        <v>176</v>
      </c>
      <c r="D17" s="558"/>
      <c r="E17" s="558"/>
      <c r="F17" s="558"/>
      <c r="G17" s="558"/>
      <c r="H17" s="558"/>
    </row>
    <row r="18" spans="1:8" x14ac:dyDescent="0.25">
      <c r="B18" s="2" t="s">
        <v>366</v>
      </c>
      <c r="C18" s="2" t="s">
        <v>403</v>
      </c>
      <c r="D18" s="2"/>
      <c r="E18" s="2"/>
      <c r="F18" s="2"/>
      <c r="G18" s="2"/>
      <c r="H18" s="2"/>
    </row>
    <row r="19" spans="1:8" x14ac:dyDescent="0.25">
      <c r="B19" s="2" t="s">
        <v>371</v>
      </c>
      <c r="C19" s="2" t="s">
        <v>372</v>
      </c>
      <c r="D19" s="2"/>
      <c r="E19" s="2"/>
      <c r="F19" s="2"/>
      <c r="G19" s="2"/>
      <c r="H19" s="2"/>
    </row>
    <row r="20" spans="1:8" hidden="1" x14ac:dyDescent="0.25">
      <c r="B20" s="2" t="s">
        <v>363</v>
      </c>
      <c r="C20" s="2" t="s">
        <v>334</v>
      </c>
      <c r="D20" s="2"/>
      <c r="E20" s="2"/>
      <c r="F20" s="2"/>
      <c r="G20" s="2"/>
      <c r="H20" s="2"/>
    </row>
    <row r="21" spans="1:8" x14ac:dyDescent="0.25">
      <c r="B21" s="2" t="s">
        <v>367</v>
      </c>
      <c r="C21" s="558" t="s">
        <v>108</v>
      </c>
      <c r="D21" s="558"/>
      <c r="E21" s="558"/>
      <c r="F21" s="558"/>
      <c r="G21" s="558"/>
      <c r="H21" s="558"/>
    </row>
    <row r="22" spans="1:8" hidden="1" x14ac:dyDescent="0.25">
      <c r="B22" s="2" t="s">
        <v>368</v>
      </c>
      <c r="C22" s="558" t="s">
        <v>108</v>
      </c>
      <c r="D22" s="558"/>
      <c r="E22" s="558"/>
      <c r="F22" s="558"/>
      <c r="G22" s="558"/>
      <c r="H22" s="558"/>
    </row>
    <row r="23" spans="1:8" x14ac:dyDescent="0.25">
      <c r="B23" s="2" t="s">
        <v>369</v>
      </c>
      <c r="C23" s="558" t="s">
        <v>108</v>
      </c>
      <c r="D23" s="558"/>
      <c r="E23" s="558"/>
      <c r="F23" s="558"/>
      <c r="G23" s="558"/>
      <c r="H23" s="558"/>
    </row>
    <row r="24" spans="1:8" hidden="1" x14ac:dyDescent="0.25">
      <c r="B24" s="2" t="s">
        <v>370</v>
      </c>
      <c r="C24" s="558" t="s">
        <v>108</v>
      </c>
      <c r="D24" s="558"/>
      <c r="E24" s="558"/>
      <c r="F24" s="558"/>
      <c r="G24" s="558"/>
      <c r="H24" s="558"/>
    </row>
    <row r="25" spans="1:8" ht="39.75" customHeight="1" x14ac:dyDescent="0.25">
      <c r="B25" s="556" t="s">
        <v>1073</v>
      </c>
      <c r="C25" s="556"/>
      <c r="D25" s="556"/>
      <c r="E25" s="556"/>
      <c r="F25" s="556"/>
      <c r="G25" s="556"/>
      <c r="H25" s="556"/>
    </row>
    <row r="26" spans="1:8" x14ac:dyDescent="0.25">
      <c r="A26" s="54"/>
      <c r="H26" s="4" t="s">
        <v>61</v>
      </c>
    </row>
    <row r="27" spans="1:8" s="317" customFormat="1" ht="75" x14ac:dyDescent="0.25">
      <c r="A27" s="436" t="s">
        <v>62</v>
      </c>
      <c r="B27" s="426" t="s">
        <v>2</v>
      </c>
      <c r="C27" s="426" t="s">
        <v>17</v>
      </c>
      <c r="D27" s="436" t="s">
        <v>464</v>
      </c>
      <c r="E27" s="426" t="s">
        <v>1099</v>
      </c>
      <c r="F27" s="426" t="s">
        <v>9</v>
      </c>
      <c r="G27" s="426" t="s">
        <v>461</v>
      </c>
      <c r="H27" s="426" t="s">
        <v>1046</v>
      </c>
    </row>
    <row r="28" spans="1:8" s="146" customFormat="1" x14ac:dyDescent="0.25">
      <c r="A28" s="436"/>
      <c r="B28" s="426" t="s">
        <v>365</v>
      </c>
      <c r="C28" s="431"/>
      <c r="D28" s="431"/>
      <c r="E28" s="431">
        <f>E29+E56</f>
        <v>29863</v>
      </c>
      <c r="F28" s="431">
        <f t="shared" ref="F28:H28" si="0">F29+F56</f>
        <v>31988</v>
      </c>
      <c r="G28" s="431">
        <f t="shared" si="0"/>
        <v>31998</v>
      </c>
      <c r="H28" s="431">
        <f t="shared" si="0"/>
        <v>32129</v>
      </c>
    </row>
    <row r="29" spans="1:8" s="146" customFormat="1" x14ac:dyDescent="0.25">
      <c r="A29" s="96" t="s">
        <v>6</v>
      </c>
      <c r="B29" s="421" t="s">
        <v>481</v>
      </c>
      <c r="C29" s="427"/>
      <c r="D29" s="427"/>
      <c r="E29" s="427">
        <f>E33+E42</f>
        <v>28221</v>
      </c>
      <c r="F29" s="427">
        <f t="shared" ref="F29:H29" si="1">F33+F42</f>
        <v>30518</v>
      </c>
      <c r="G29" s="427">
        <f t="shared" si="1"/>
        <v>30526</v>
      </c>
      <c r="H29" s="427">
        <f t="shared" si="1"/>
        <v>30614</v>
      </c>
    </row>
    <row r="30" spans="1:8" s="146" customFormat="1" x14ac:dyDescent="0.25">
      <c r="A30" s="441"/>
      <c r="B30" s="425" t="s">
        <v>797</v>
      </c>
      <c r="C30" s="429"/>
      <c r="D30" s="429"/>
      <c r="E30" s="429"/>
      <c r="F30" s="429"/>
      <c r="G30" s="429"/>
      <c r="H30" s="429"/>
    </row>
    <row r="31" spans="1:8" x14ac:dyDescent="0.25">
      <c r="A31" s="437"/>
      <c r="B31" s="423" t="s">
        <v>654</v>
      </c>
      <c r="C31" s="428"/>
      <c r="D31" s="428"/>
      <c r="E31" s="428">
        <v>40</v>
      </c>
      <c r="F31" s="428">
        <v>44</v>
      </c>
      <c r="G31" s="428">
        <f>E31</f>
        <v>40</v>
      </c>
      <c r="H31" s="428">
        <f>G31</f>
        <v>40</v>
      </c>
    </row>
    <row r="32" spans="1:8" x14ac:dyDescent="0.25">
      <c r="A32" s="437"/>
      <c r="B32" s="423" t="s">
        <v>783</v>
      </c>
      <c r="C32" s="428"/>
      <c r="D32" s="428"/>
      <c r="E32" s="428">
        <v>34</v>
      </c>
      <c r="F32" s="428">
        <v>36</v>
      </c>
      <c r="G32" s="428">
        <f>E32</f>
        <v>34</v>
      </c>
      <c r="H32" s="428">
        <f>G32</f>
        <v>34</v>
      </c>
    </row>
    <row r="33" spans="1:8" s="146" customFormat="1" ht="21" customHeight="1" x14ac:dyDescent="0.25">
      <c r="A33" s="441" t="s">
        <v>51</v>
      </c>
      <c r="B33" s="425" t="s">
        <v>1078</v>
      </c>
      <c r="C33" s="429"/>
      <c r="D33" s="429"/>
      <c r="E33" s="429">
        <f>+E34+E38-E39</f>
        <v>3699</v>
      </c>
      <c r="F33" s="429">
        <f t="shared" ref="F33:H33" si="2">+F34+F38-F39</f>
        <v>3971</v>
      </c>
      <c r="G33" s="429">
        <f t="shared" si="2"/>
        <v>4059</v>
      </c>
      <c r="H33" s="429">
        <f t="shared" si="2"/>
        <v>4147</v>
      </c>
    </row>
    <row r="34" spans="1:8" ht="56.25" x14ac:dyDescent="0.25">
      <c r="A34" s="437">
        <v>1</v>
      </c>
      <c r="B34" s="423" t="s">
        <v>1185</v>
      </c>
      <c r="C34" s="428"/>
      <c r="D34" s="428"/>
      <c r="E34" s="428">
        <f>SUM(E35:E37)</f>
        <v>3182</v>
      </c>
      <c r="F34" s="428">
        <f>SUM(F35:F37)</f>
        <v>3454</v>
      </c>
      <c r="G34" s="428">
        <f>SUM(G35:G37)</f>
        <v>3542</v>
      </c>
      <c r="H34" s="428">
        <f>SUM(H35:H37)</f>
        <v>3630</v>
      </c>
    </row>
    <row r="35" spans="1:8" x14ac:dyDescent="0.25">
      <c r="A35" s="437"/>
      <c r="B35" s="423" t="s">
        <v>1578</v>
      </c>
      <c r="C35" s="428">
        <v>28</v>
      </c>
      <c r="D35" s="433">
        <v>26</v>
      </c>
      <c r="E35" s="428">
        <f>3182-96-305</f>
        <v>2781</v>
      </c>
      <c r="F35" s="428">
        <f>64+2997</f>
        <v>3061</v>
      </c>
      <c r="G35" s="428">
        <f>ROUND(F35+9*8.8,0)</f>
        <v>3140</v>
      </c>
      <c r="H35" s="428">
        <f>ROUND(G35+9*8.8,0)</f>
        <v>3219</v>
      </c>
    </row>
    <row r="36" spans="1:8" ht="37.5" x14ac:dyDescent="0.25">
      <c r="A36" s="437"/>
      <c r="B36" s="423" t="s">
        <v>1390</v>
      </c>
      <c r="C36" s="428"/>
      <c r="D36" s="433"/>
      <c r="E36" s="428">
        <v>96</v>
      </c>
      <c r="F36" s="428">
        <v>103</v>
      </c>
      <c r="G36" s="428">
        <f>F36</f>
        <v>103</v>
      </c>
      <c r="H36" s="428">
        <f>G36</f>
        <v>103</v>
      </c>
    </row>
    <row r="37" spans="1:8" ht="37.5" x14ac:dyDescent="0.25">
      <c r="A37" s="437"/>
      <c r="B37" s="423" t="s">
        <v>1579</v>
      </c>
      <c r="C37" s="428">
        <v>5</v>
      </c>
      <c r="D37" s="428">
        <v>4</v>
      </c>
      <c r="E37" s="428">
        <v>305</v>
      </c>
      <c r="F37" s="428">
        <v>290</v>
      </c>
      <c r="G37" s="428">
        <f>ROUND(F37+8.8,0)</f>
        <v>299</v>
      </c>
      <c r="H37" s="428">
        <f>ROUND(G37+8.8,0)</f>
        <v>308</v>
      </c>
    </row>
    <row r="38" spans="1:8" ht="37.5" x14ac:dyDescent="0.25">
      <c r="A38" s="437">
        <v>2</v>
      </c>
      <c r="B38" s="423" t="s">
        <v>1403</v>
      </c>
      <c r="C38" s="428">
        <v>28</v>
      </c>
      <c r="D38" s="428"/>
      <c r="E38" s="433">
        <f>C38*21</f>
        <v>588</v>
      </c>
      <c r="F38" s="433">
        <f>+C38*21</f>
        <v>588</v>
      </c>
      <c r="G38" s="433">
        <f>E38</f>
        <v>588</v>
      </c>
      <c r="H38" s="433">
        <f>G38</f>
        <v>588</v>
      </c>
    </row>
    <row r="39" spans="1:8" x14ac:dyDescent="0.25">
      <c r="A39" s="437">
        <v>3</v>
      </c>
      <c r="B39" s="423" t="s">
        <v>1092</v>
      </c>
      <c r="C39" s="428"/>
      <c r="D39" s="428"/>
      <c r="E39" s="433">
        <f>SUM(E40:E41)</f>
        <v>71</v>
      </c>
      <c r="F39" s="433">
        <f>SUM(F40:F41)</f>
        <v>71</v>
      </c>
      <c r="G39" s="433">
        <f>SUM(G40:G41)</f>
        <v>71</v>
      </c>
      <c r="H39" s="433">
        <f>SUM(H40:H41)</f>
        <v>71</v>
      </c>
    </row>
    <row r="40" spans="1:8" x14ac:dyDescent="0.25">
      <c r="A40" s="437"/>
      <c r="B40" s="423" t="s">
        <v>969</v>
      </c>
      <c r="C40" s="428"/>
      <c r="D40" s="428"/>
      <c r="E40" s="428">
        <v>58</v>
      </c>
      <c r="F40" s="428">
        <v>58</v>
      </c>
      <c r="G40" s="428">
        <f>F40</f>
        <v>58</v>
      </c>
      <c r="H40" s="428">
        <f>G40</f>
        <v>58</v>
      </c>
    </row>
    <row r="41" spans="1:8" x14ac:dyDescent="0.25">
      <c r="A41" s="437"/>
      <c r="B41" s="423" t="s">
        <v>968</v>
      </c>
      <c r="C41" s="428"/>
      <c r="D41" s="428"/>
      <c r="E41" s="428">
        <v>13</v>
      </c>
      <c r="F41" s="428">
        <v>13</v>
      </c>
      <c r="G41" s="428">
        <f>F41</f>
        <v>13</v>
      </c>
      <c r="H41" s="428">
        <f>G41</f>
        <v>13</v>
      </c>
    </row>
    <row r="42" spans="1:8" s="50" customFormat="1" x14ac:dyDescent="0.25">
      <c r="A42" s="441" t="s">
        <v>52</v>
      </c>
      <c r="B42" s="74" t="s">
        <v>11</v>
      </c>
      <c r="C42" s="443"/>
      <c r="D42" s="443"/>
      <c r="E42" s="443">
        <f>E43+E50</f>
        <v>24522</v>
      </c>
      <c r="F42" s="443">
        <f t="shared" ref="F42:H42" si="3">F43+F50</f>
        <v>26547</v>
      </c>
      <c r="G42" s="443">
        <f t="shared" si="3"/>
        <v>26467</v>
      </c>
      <c r="H42" s="443">
        <f t="shared" si="3"/>
        <v>26467</v>
      </c>
    </row>
    <row r="43" spans="1:8" s="50" customFormat="1" x14ac:dyDescent="0.25">
      <c r="A43" s="441">
        <v>1</v>
      </c>
      <c r="B43" s="74" t="s">
        <v>81</v>
      </c>
      <c r="C43" s="443"/>
      <c r="D43" s="443"/>
      <c r="E43" s="443">
        <f>SUM(E44:E49)</f>
        <v>522</v>
      </c>
      <c r="F43" s="443">
        <f>SUM(F44:F49)</f>
        <v>547</v>
      </c>
      <c r="G43" s="443">
        <f>SUM(G44:G49)</f>
        <v>467</v>
      </c>
      <c r="H43" s="443">
        <f>SUM(H44:H49)</f>
        <v>467</v>
      </c>
    </row>
    <row r="44" spans="1:8" s="49" customFormat="1" x14ac:dyDescent="0.25">
      <c r="A44" s="437" t="s">
        <v>99</v>
      </c>
      <c r="B44" s="438" t="s">
        <v>482</v>
      </c>
      <c r="C44" s="439"/>
      <c r="D44" s="439"/>
      <c r="E44" s="439">
        <v>15</v>
      </c>
      <c r="F44" s="439">
        <f>E44</f>
        <v>15</v>
      </c>
      <c r="G44" s="439">
        <f>E44</f>
        <v>15</v>
      </c>
      <c r="H44" s="439">
        <f>G44</f>
        <v>15</v>
      </c>
    </row>
    <row r="45" spans="1:8" s="49" customFormat="1" x14ac:dyDescent="0.3">
      <c r="A45" s="437" t="s">
        <v>99</v>
      </c>
      <c r="B45" s="432" t="s">
        <v>876</v>
      </c>
      <c r="C45" s="439"/>
      <c r="D45" s="439"/>
      <c r="E45" s="439">
        <v>24</v>
      </c>
      <c r="F45" s="439">
        <v>29</v>
      </c>
      <c r="G45" s="439">
        <f>F45</f>
        <v>29</v>
      </c>
      <c r="H45" s="439">
        <f>G45</f>
        <v>29</v>
      </c>
    </row>
    <row r="46" spans="1:8" s="49" customFormat="1" x14ac:dyDescent="0.25">
      <c r="A46" s="437" t="s">
        <v>99</v>
      </c>
      <c r="B46" s="438" t="s">
        <v>1352</v>
      </c>
      <c r="C46" s="439"/>
      <c r="D46" s="439"/>
      <c r="E46" s="439">
        <v>23</v>
      </c>
      <c r="F46" s="439">
        <f>E46+20</f>
        <v>43</v>
      </c>
      <c r="G46" s="439">
        <f>E46</f>
        <v>23</v>
      </c>
      <c r="H46" s="439">
        <f>G46</f>
        <v>23</v>
      </c>
    </row>
    <row r="47" spans="1:8" s="49" customFormat="1" x14ac:dyDescent="0.25">
      <c r="A47" s="437" t="s">
        <v>99</v>
      </c>
      <c r="B47" s="438" t="s">
        <v>399</v>
      </c>
      <c r="C47" s="439"/>
      <c r="D47" s="439"/>
      <c r="E47" s="439">
        <v>130</v>
      </c>
      <c r="F47" s="439">
        <f>E47</f>
        <v>130</v>
      </c>
      <c r="G47" s="439">
        <f>E47</f>
        <v>130</v>
      </c>
      <c r="H47" s="439">
        <f>G47</f>
        <v>130</v>
      </c>
    </row>
    <row r="48" spans="1:8" s="49" customFormat="1" x14ac:dyDescent="0.25">
      <c r="A48" s="437" t="s">
        <v>99</v>
      </c>
      <c r="B48" s="438" t="s">
        <v>364</v>
      </c>
      <c r="C48" s="439"/>
      <c r="D48" s="439"/>
      <c r="E48" s="439">
        <v>270</v>
      </c>
      <c r="F48" s="439">
        <v>300</v>
      </c>
      <c r="G48" s="439">
        <f>E48</f>
        <v>270</v>
      </c>
      <c r="H48" s="439">
        <f>G48</f>
        <v>270</v>
      </c>
    </row>
    <row r="49" spans="1:8" s="49" customFormat="1" x14ac:dyDescent="0.25">
      <c r="A49" s="437" t="s">
        <v>99</v>
      </c>
      <c r="B49" s="438" t="s">
        <v>184</v>
      </c>
      <c r="C49" s="439"/>
      <c r="D49" s="439"/>
      <c r="E49" s="439">
        <v>60</v>
      </c>
      <c r="F49" s="439">
        <v>30</v>
      </c>
      <c r="G49" s="439"/>
      <c r="H49" s="439"/>
    </row>
    <row r="50" spans="1:8" s="50" customFormat="1" x14ac:dyDescent="0.25">
      <c r="A50" s="441">
        <v>2</v>
      </c>
      <c r="B50" s="442" t="s">
        <v>871</v>
      </c>
      <c r="C50" s="443"/>
      <c r="D50" s="443"/>
      <c r="E50" s="443">
        <v>24000</v>
      </c>
      <c r="F50" s="443">
        <v>26000</v>
      </c>
      <c r="G50" s="443">
        <f>F50</f>
        <v>26000</v>
      </c>
      <c r="H50" s="443">
        <f>G50</f>
        <v>26000</v>
      </c>
    </row>
    <row r="51" spans="1:8" s="49" customFormat="1" ht="37.5" x14ac:dyDescent="0.25">
      <c r="A51" s="437" t="s">
        <v>99</v>
      </c>
      <c r="B51" s="438" t="s">
        <v>877</v>
      </c>
      <c r="C51" s="439"/>
      <c r="D51" s="439"/>
      <c r="E51" s="439"/>
      <c r="F51" s="439"/>
      <c r="G51" s="439"/>
      <c r="H51" s="439"/>
    </row>
    <row r="52" spans="1:8" s="49" customFormat="1" ht="56.25" x14ac:dyDescent="0.25">
      <c r="A52" s="437" t="s">
        <v>99</v>
      </c>
      <c r="B52" s="438" t="s">
        <v>1577</v>
      </c>
      <c r="C52" s="439"/>
      <c r="D52" s="439"/>
      <c r="E52" s="439">
        <v>172</v>
      </c>
      <c r="F52" s="439"/>
      <c r="G52" s="439"/>
      <c r="H52" s="439"/>
    </row>
    <row r="53" spans="1:8" s="434" customFormat="1" x14ac:dyDescent="0.25">
      <c r="A53" s="437" t="s">
        <v>99</v>
      </c>
      <c r="B53" s="438" t="s">
        <v>438</v>
      </c>
      <c r="C53" s="439"/>
      <c r="D53" s="439"/>
      <c r="E53" s="439"/>
      <c r="F53" s="439"/>
      <c r="G53" s="439"/>
      <c r="H53" s="439"/>
    </row>
    <row r="54" spans="1:8" s="434" customFormat="1" ht="56.25" x14ac:dyDescent="0.25">
      <c r="A54" s="437" t="s">
        <v>99</v>
      </c>
      <c r="B54" s="438" t="s">
        <v>1567</v>
      </c>
      <c r="C54" s="439"/>
      <c r="D54" s="439"/>
      <c r="E54" s="439"/>
      <c r="F54" s="439">
        <v>1900</v>
      </c>
      <c r="G54" s="439"/>
      <c r="H54" s="439"/>
    </row>
    <row r="55" spans="1:8" s="434" customFormat="1" ht="37.5" x14ac:dyDescent="0.25">
      <c r="A55" s="437" t="s">
        <v>99</v>
      </c>
      <c r="B55" s="438" t="s">
        <v>1568</v>
      </c>
      <c r="C55" s="439"/>
      <c r="D55" s="439"/>
      <c r="E55" s="439"/>
      <c r="F55" s="439">
        <v>1223</v>
      </c>
      <c r="G55" s="439"/>
      <c r="H55" s="439"/>
    </row>
    <row r="56" spans="1:8" s="50" customFormat="1" x14ac:dyDescent="0.25">
      <c r="A56" s="441" t="s">
        <v>7</v>
      </c>
      <c r="B56" s="442" t="s">
        <v>872</v>
      </c>
      <c r="C56" s="443"/>
      <c r="D56" s="443"/>
      <c r="E56" s="443">
        <f>E57+E64</f>
        <v>1642</v>
      </c>
      <c r="F56" s="443">
        <f t="shared" ref="F56:H56" si="4">F57+F64</f>
        <v>1470</v>
      </c>
      <c r="G56" s="443">
        <f t="shared" si="4"/>
        <v>1472</v>
      </c>
      <c r="H56" s="443">
        <f t="shared" si="4"/>
        <v>1515</v>
      </c>
    </row>
    <row r="57" spans="1:8" s="76" customFormat="1" ht="21" customHeight="1" x14ac:dyDescent="0.25">
      <c r="A57" s="455" t="s">
        <v>51</v>
      </c>
      <c r="B57" s="425" t="s">
        <v>10</v>
      </c>
      <c r="C57" s="75"/>
      <c r="D57" s="75"/>
      <c r="E57" s="75">
        <f>+E58+E62-E63</f>
        <v>1442</v>
      </c>
      <c r="F57" s="75">
        <f t="shared" ref="F57:H57" si="5">+F58+F62-F63</f>
        <v>1405</v>
      </c>
      <c r="G57" s="75">
        <f t="shared" si="5"/>
        <v>1422</v>
      </c>
      <c r="H57" s="75">
        <f t="shared" si="5"/>
        <v>1465</v>
      </c>
    </row>
    <row r="58" spans="1:8" s="76" customFormat="1" ht="56.25" x14ac:dyDescent="0.25">
      <c r="A58" s="460">
        <v>1</v>
      </c>
      <c r="B58" s="423" t="s">
        <v>1185</v>
      </c>
      <c r="C58" s="75"/>
      <c r="D58" s="75"/>
      <c r="E58" s="433">
        <f>SUM(E59:E61)</f>
        <v>1236</v>
      </c>
      <c r="F58" s="433">
        <f>SUM(F59:F61)</f>
        <v>1199</v>
      </c>
      <c r="G58" s="433">
        <f>SUM(G59:G61)</f>
        <v>1216</v>
      </c>
      <c r="H58" s="433">
        <f>SUM(H59:H61)</f>
        <v>1259</v>
      </c>
    </row>
    <row r="59" spans="1:8" s="79" customFormat="1" x14ac:dyDescent="0.25">
      <c r="A59" s="460"/>
      <c r="B59" s="449" t="s">
        <v>1574</v>
      </c>
      <c r="C59" s="433">
        <v>12</v>
      </c>
      <c r="D59" s="433">
        <v>10</v>
      </c>
      <c r="E59" s="433">
        <v>1009</v>
      </c>
      <c r="F59" s="433">
        <f>12+934</f>
        <v>946</v>
      </c>
      <c r="G59" s="433">
        <f>ROUND(F59+4*8.8,0)</f>
        <v>981</v>
      </c>
      <c r="H59" s="433">
        <f>ROUND(G59+4*8.8,0)</f>
        <v>1016</v>
      </c>
    </row>
    <row r="60" spans="1:8" s="79" customFormat="1" x14ac:dyDescent="0.25">
      <c r="A60" s="460"/>
      <c r="B60" s="449" t="s">
        <v>1115</v>
      </c>
      <c r="C60" s="433"/>
      <c r="D60" s="433"/>
      <c r="E60" s="433">
        <v>96</v>
      </c>
      <c r="F60" s="433">
        <v>103</v>
      </c>
      <c r="G60" s="433">
        <f>E60</f>
        <v>96</v>
      </c>
      <c r="H60" s="433">
        <f>G60</f>
        <v>96</v>
      </c>
    </row>
    <row r="61" spans="1:8" s="79" customFormat="1" ht="37.5" x14ac:dyDescent="0.25">
      <c r="A61" s="460"/>
      <c r="B61" s="449" t="s">
        <v>1437</v>
      </c>
      <c r="C61" s="433">
        <v>3</v>
      </c>
      <c r="D61" s="433">
        <v>2</v>
      </c>
      <c r="E61" s="433">
        <v>131</v>
      </c>
      <c r="F61" s="433">
        <v>150</v>
      </c>
      <c r="G61" s="433">
        <f>ROUND(E61+7.6,0)</f>
        <v>139</v>
      </c>
      <c r="H61" s="433">
        <f>ROUND(G61+7.6,0)</f>
        <v>147</v>
      </c>
    </row>
    <row r="62" spans="1:8" s="79" customFormat="1" ht="37.5" x14ac:dyDescent="0.25">
      <c r="A62" s="460">
        <v>2</v>
      </c>
      <c r="B62" s="449" t="s">
        <v>1569</v>
      </c>
      <c r="C62" s="433">
        <v>12</v>
      </c>
      <c r="D62" s="433"/>
      <c r="E62" s="433">
        <f>C62*19</f>
        <v>228</v>
      </c>
      <c r="F62" s="433">
        <f>C62*19</f>
        <v>228</v>
      </c>
      <c r="G62" s="433">
        <f>E62</f>
        <v>228</v>
      </c>
      <c r="H62" s="433">
        <f>G62</f>
        <v>228</v>
      </c>
    </row>
    <row r="63" spans="1:8" s="79" customFormat="1" ht="37.5" x14ac:dyDescent="0.25">
      <c r="A63" s="460">
        <v>3</v>
      </c>
      <c r="B63" s="449" t="s">
        <v>103</v>
      </c>
      <c r="C63" s="433"/>
      <c r="D63" s="433"/>
      <c r="E63" s="433">
        <v>22</v>
      </c>
      <c r="F63" s="433">
        <v>22</v>
      </c>
      <c r="G63" s="433">
        <f>E63</f>
        <v>22</v>
      </c>
      <c r="H63" s="433">
        <f>G63</f>
        <v>22</v>
      </c>
    </row>
    <row r="64" spans="1:8" s="50" customFormat="1" x14ac:dyDescent="0.25">
      <c r="A64" s="441" t="s">
        <v>52</v>
      </c>
      <c r="B64" s="442" t="s">
        <v>11</v>
      </c>
      <c r="C64" s="443"/>
      <c r="D64" s="443"/>
      <c r="E64" s="443">
        <f>SUM(E65:E71)</f>
        <v>200</v>
      </c>
      <c r="F64" s="443">
        <f t="shared" ref="F64:H64" si="6">SUM(F65:F71)</f>
        <v>65</v>
      </c>
      <c r="G64" s="443">
        <f t="shared" si="6"/>
        <v>50</v>
      </c>
      <c r="H64" s="443">
        <f t="shared" si="6"/>
        <v>50</v>
      </c>
    </row>
    <row r="65" spans="1:8" s="49" customFormat="1" x14ac:dyDescent="0.25">
      <c r="A65" s="437" t="s">
        <v>99</v>
      </c>
      <c r="B65" s="438" t="s">
        <v>482</v>
      </c>
      <c r="C65" s="439"/>
      <c r="D65" s="439"/>
      <c r="E65" s="439">
        <v>15</v>
      </c>
      <c r="F65" s="439">
        <f>E65</f>
        <v>15</v>
      </c>
      <c r="G65" s="439">
        <f>E65</f>
        <v>15</v>
      </c>
      <c r="H65" s="439">
        <f>G65</f>
        <v>15</v>
      </c>
    </row>
    <row r="66" spans="1:8" s="49" customFormat="1" x14ac:dyDescent="0.25">
      <c r="A66" s="437" t="s">
        <v>99</v>
      </c>
      <c r="B66" s="438" t="s">
        <v>1570</v>
      </c>
      <c r="C66" s="439"/>
      <c r="D66" s="439"/>
      <c r="E66" s="439">
        <f>25+55</f>
        <v>80</v>
      </c>
      <c r="F66" s="439">
        <v>25</v>
      </c>
      <c r="G66" s="439">
        <f>F66</f>
        <v>25</v>
      </c>
      <c r="H66" s="439">
        <f>G66</f>
        <v>25</v>
      </c>
    </row>
    <row r="67" spans="1:8" s="49" customFormat="1" x14ac:dyDescent="0.25">
      <c r="A67" s="437" t="s">
        <v>99</v>
      </c>
      <c r="B67" s="438" t="s">
        <v>1571</v>
      </c>
      <c r="C67" s="439"/>
      <c r="D67" s="439"/>
      <c r="E67" s="439">
        <v>10</v>
      </c>
      <c r="F67" s="439">
        <f>E67</f>
        <v>10</v>
      </c>
      <c r="G67" s="439">
        <f>F67</f>
        <v>10</v>
      </c>
      <c r="H67" s="439">
        <f>G67</f>
        <v>10</v>
      </c>
    </row>
    <row r="68" spans="1:8" s="49" customFormat="1" x14ac:dyDescent="0.25">
      <c r="A68" s="437" t="s">
        <v>99</v>
      </c>
      <c r="B68" s="438" t="s">
        <v>875</v>
      </c>
      <c r="C68" s="439"/>
      <c r="D68" s="439"/>
      <c r="E68" s="439">
        <v>50</v>
      </c>
      <c r="F68" s="439"/>
      <c r="G68" s="439"/>
      <c r="H68" s="439"/>
    </row>
    <row r="69" spans="1:8" s="49" customFormat="1" x14ac:dyDescent="0.25">
      <c r="A69" s="437" t="s">
        <v>99</v>
      </c>
      <c r="B69" s="438" t="s">
        <v>874</v>
      </c>
      <c r="C69" s="439"/>
      <c r="D69" s="439"/>
      <c r="E69" s="439">
        <v>15</v>
      </c>
      <c r="F69" s="439"/>
      <c r="G69" s="439"/>
      <c r="H69" s="439"/>
    </row>
    <row r="70" spans="1:8" s="434" customFormat="1" x14ac:dyDescent="0.25">
      <c r="A70" s="437" t="s">
        <v>99</v>
      </c>
      <c r="B70" s="438" t="s">
        <v>1572</v>
      </c>
      <c r="C70" s="439"/>
      <c r="D70" s="439"/>
      <c r="E70" s="439"/>
      <c r="F70" s="439">
        <v>15</v>
      </c>
      <c r="G70" s="439"/>
      <c r="H70" s="439"/>
    </row>
    <row r="71" spans="1:8" s="49" customFormat="1" x14ac:dyDescent="0.25">
      <c r="A71" s="437" t="s">
        <v>99</v>
      </c>
      <c r="B71" s="438" t="s">
        <v>873</v>
      </c>
      <c r="C71" s="439"/>
      <c r="D71" s="439"/>
      <c r="E71" s="439">
        <v>30</v>
      </c>
      <c r="F71" s="439"/>
      <c r="G71" s="439"/>
      <c r="H71" s="439"/>
    </row>
    <row r="72" spans="1:8" s="49" customFormat="1" x14ac:dyDescent="0.25">
      <c r="A72" s="444"/>
      <c r="B72" s="445"/>
      <c r="C72" s="446"/>
      <c r="D72" s="446"/>
      <c r="E72" s="446"/>
      <c r="F72" s="446"/>
      <c r="G72" s="446"/>
      <c r="H72" s="446"/>
    </row>
    <row r="73" spans="1:8" s="49" customFormat="1" ht="43.5" customHeight="1" x14ac:dyDescent="0.25">
      <c r="A73" s="447"/>
      <c r="B73" s="567" t="s">
        <v>1576</v>
      </c>
      <c r="C73" s="567"/>
      <c r="D73" s="567"/>
      <c r="E73" s="567"/>
      <c r="F73" s="567"/>
      <c r="G73" s="567"/>
      <c r="H73" s="567"/>
    </row>
    <row r="74" spans="1:8" x14ac:dyDescent="0.25">
      <c r="B74" s="7" t="s">
        <v>1573</v>
      </c>
    </row>
    <row r="76" spans="1:8" x14ac:dyDescent="0.25">
      <c r="A76" s="550" t="s">
        <v>36</v>
      </c>
      <c r="B76" s="550"/>
      <c r="D76" s="550" t="s">
        <v>37</v>
      </c>
      <c r="E76" s="550"/>
      <c r="F76" s="550"/>
      <c r="G76" s="550"/>
      <c r="H76" s="550"/>
    </row>
  </sheetData>
  <mergeCells count="17">
    <mergeCell ref="B73:H73"/>
    <mergeCell ref="A76:B76"/>
    <mergeCell ref="D76:H76"/>
    <mergeCell ref="C23:H23"/>
    <mergeCell ref="C24:H24"/>
    <mergeCell ref="B25:H25"/>
    <mergeCell ref="C22:H22"/>
    <mergeCell ref="A1:H1"/>
    <mergeCell ref="B3:H3"/>
    <mergeCell ref="C6:H6"/>
    <mergeCell ref="C7:H7"/>
    <mergeCell ref="C8:H8"/>
    <mergeCell ref="C9:H9"/>
    <mergeCell ref="C10:H10"/>
    <mergeCell ref="C15:H15"/>
    <mergeCell ref="C17:H17"/>
    <mergeCell ref="C21:H21"/>
  </mergeCells>
  <printOptions horizontalCentered="1"/>
  <pageMargins left="0" right="0" top="1" bottom="0.5" header="0.31496062992126" footer="0.31496062992126"/>
  <pageSetup paperSize="9" scale="89" orientation="portrait" r:id="rId1"/>
  <headerFooter>
    <oddFooter>&amp;C&amp;P/&amp;N</oddFooter>
  </headerFooter>
  <legacyDrawing r:id="rId2"/>
</worksheet>
</file>

<file path=xl/worksheets/sheet3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72"/>
  <sheetViews>
    <sheetView topLeftCell="A59" zoomScaleNormal="100" workbookViewId="0">
      <selection activeCell="F64" sqref="F64"/>
    </sheetView>
  </sheetViews>
  <sheetFormatPr defaultColWidth="9.140625" defaultRowHeight="18.75" x14ac:dyDescent="0.25"/>
  <cols>
    <col min="1" max="1" width="4.85546875" style="49" customWidth="1"/>
    <col min="2" max="2" width="43.28515625" style="49" customWidth="1"/>
    <col min="3" max="4" width="7.85546875" style="49" customWidth="1"/>
    <col min="5" max="8" width="11.7109375" style="49" customWidth="1"/>
    <col min="9" max="16384" width="9.140625" style="49"/>
  </cols>
  <sheetData>
    <row r="1" spans="1:8" ht="41.25" customHeight="1" x14ac:dyDescent="0.25">
      <c r="A1" s="569" t="s">
        <v>1074</v>
      </c>
      <c r="B1" s="570"/>
      <c r="C1" s="570"/>
      <c r="D1" s="570"/>
      <c r="E1" s="570"/>
      <c r="F1" s="570"/>
      <c r="G1" s="570"/>
      <c r="H1" s="570"/>
    </row>
    <row r="2" spans="1:8" x14ac:dyDescent="0.25">
      <c r="A2" s="50"/>
      <c r="B2" s="50"/>
      <c r="C2" s="50"/>
      <c r="D2" s="51"/>
      <c r="E2" s="51"/>
      <c r="F2" s="51"/>
      <c r="G2" s="51"/>
      <c r="H2" s="51"/>
    </row>
    <row r="3" spans="1:8" ht="40.5" customHeight="1" x14ac:dyDescent="0.25">
      <c r="B3" s="565" t="s">
        <v>1599</v>
      </c>
      <c r="C3" s="565"/>
      <c r="D3" s="565"/>
      <c r="E3" s="565"/>
      <c r="F3" s="565"/>
      <c r="G3" s="565"/>
      <c r="H3" s="565"/>
    </row>
    <row r="4" spans="1:8" x14ac:dyDescent="0.25">
      <c r="B4" s="49" t="s">
        <v>39</v>
      </c>
      <c r="D4" s="52"/>
      <c r="E4" s="52"/>
      <c r="F4" s="52"/>
      <c r="G4" s="52"/>
      <c r="H4" s="52"/>
    </row>
    <row r="5" spans="1:8" s="50" customFormat="1" x14ac:dyDescent="0.25">
      <c r="B5" s="50" t="s">
        <v>18</v>
      </c>
    </row>
    <row r="6" spans="1:8" x14ac:dyDescent="0.25">
      <c r="B6" s="49" t="s">
        <v>23</v>
      </c>
      <c r="C6" s="566" t="s">
        <v>49</v>
      </c>
      <c r="D6" s="566"/>
      <c r="E6" s="566"/>
      <c r="F6" s="566"/>
      <c r="G6" s="566"/>
      <c r="H6" s="566"/>
    </row>
    <row r="7" spans="1:8" x14ac:dyDescent="0.25">
      <c r="B7" s="49" t="s">
        <v>19</v>
      </c>
      <c r="C7" s="566" t="s">
        <v>50</v>
      </c>
      <c r="D7" s="566"/>
      <c r="E7" s="566"/>
      <c r="F7" s="566"/>
      <c r="G7" s="566"/>
      <c r="H7" s="566"/>
    </row>
    <row r="8" spans="1:8" hidden="1" x14ac:dyDescent="0.25">
      <c r="B8" s="49" t="s">
        <v>90</v>
      </c>
      <c r="C8" s="566" t="s">
        <v>60</v>
      </c>
      <c r="D8" s="566"/>
      <c r="E8" s="566"/>
      <c r="F8" s="566"/>
      <c r="G8" s="566"/>
      <c r="H8" s="566"/>
    </row>
    <row r="9" spans="1:8" x14ac:dyDescent="0.25">
      <c r="B9" s="49" t="s">
        <v>59</v>
      </c>
      <c r="C9" s="566" t="s">
        <v>60</v>
      </c>
      <c r="D9" s="566"/>
      <c r="E9" s="566"/>
      <c r="F9" s="566"/>
      <c r="G9" s="566"/>
      <c r="H9" s="566"/>
    </row>
    <row r="10" spans="1:8" hidden="1" x14ac:dyDescent="0.25">
      <c r="B10" s="49" t="s">
        <v>20</v>
      </c>
      <c r="C10" s="566" t="s">
        <v>86</v>
      </c>
      <c r="D10" s="566"/>
      <c r="E10" s="566"/>
      <c r="F10" s="566"/>
      <c r="G10" s="566"/>
      <c r="H10" s="566"/>
    </row>
    <row r="11" spans="1:8" s="434" customFormat="1" x14ac:dyDescent="0.25">
      <c r="B11" s="434" t="s">
        <v>1205</v>
      </c>
      <c r="C11" s="435" t="s">
        <v>87</v>
      </c>
      <c r="D11" s="435"/>
      <c r="E11" s="435"/>
      <c r="F11" s="435"/>
      <c r="G11" s="435"/>
      <c r="H11" s="435"/>
    </row>
    <row r="12" spans="1:8" x14ac:dyDescent="0.25">
      <c r="B12" s="49" t="s">
        <v>383</v>
      </c>
      <c r="C12" s="126" t="s">
        <v>88</v>
      </c>
      <c r="D12" s="126"/>
      <c r="E12" s="126"/>
      <c r="F12" s="321"/>
      <c r="G12" s="126"/>
      <c r="H12" s="126"/>
    </row>
    <row r="13" spans="1:8" hidden="1" x14ac:dyDescent="0.25">
      <c r="B13" s="107" t="s">
        <v>94</v>
      </c>
      <c r="C13" s="126" t="s">
        <v>95</v>
      </c>
      <c r="D13" s="126"/>
      <c r="E13" s="126"/>
      <c r="F13" s="321"/>
      <c r="G13" s="126"/>
      <c r="H13" s="126"/>
    </row>
    <row r="14" spans="1:8" x14ac:dyDescent="0.25">
      <c r="C14" s="126"/>
      <c r="D14" s="126"/>
      <c r="E14" s="126"/>
      <c r="F14" s="321"/>
      <c r="G14" s="126"/>
      <c r="H14" s="126"/>
    </row>
    <row r="15" spans="1:8" hidden="1" x14ac:dyDescent="0.25">
      <c r="B15" s="49" t="s">
        <v>21</v>
      </c>
      <c r="C15" s="566"/>
      <c r="D15" s="566"/>
      <c r="E15" s="566"/>
      <c r="F15" s="566"/>
      <c r="G15" s="566"/>
      <c r="H15" s="566"/>
    </row>
    <row r="16" spans="1:8" s="50" customFormat="1" x14ac:dyDescent="0.25">
      <c r="B16" s="50" t="s">
        <v>1583</v>
      </c>
    </row>
    <row r="17" spans="1:8" x14ac:dyDescent="0.25">
      <c r="B17" s="49" t="s">
        <v>392</v>
      </c>
      <c r="C17" s="566" t="s">
        <v>1584</v>
      </c>
      <c r="D17" s="566"/>
      <c r="E17" s="566"/>
      <c r="F17" s="566"/>
      <c r="G17" s="566"/>
      <c r="H17" s="566"/>
    </row>
    <row r="18" spans="1:8" s="434" customFormat="1" x14ac:dyDescent="0.25">
      <c r="B18" s="434" t="s">
        <v>1582</v>
      </c>
      <c r="C18" s="435" t="s">
        <v>1585</v>
      </c>
      <c r="D18" s="435"/>
      <c r="E18" s="435"/>
      <c r="F18" s="435"/>
      <c r="G18" s="435"/>
      <c r="H18" s="435"/>
    </row>
    <row r="19" spans="1:8" s="434" customFormat="1" x14ac:dyDescent="0.25">
      <c r="B19" s="434" t="s">
        <v>384</v>
      </c>
      <c r="C19" s="566" t="s">
        <v>385</v>
      </c>
      <c r="D19" s="566"/>
      <c r="E19" s="566"/>
      <c r="F19" s="566"/>
      <c r="G19" s="566"/>
      <c r="H19" s="435"/>
    </row>
    <row r="20" spans="1:8" hidden="1" x14ac:dyDescent="0.25">
      <c r="B20" s="49" t="s">
        <v>861</v>
      </c>
      <c r="C20" s="566" t="s">
        <v>108</v>
      </c>
      <c r="D20" s="566"/>
      <c r="E20" s="566"/>
      <c r="F20" s="566"/>
      <c r="G20" s="566"/>
      <c r="H20" s="566"/>
    </row>
    <row r="21" spans="1:8" x14ac:dyDescent="0.25">
      <c r="B21" s="49" t="s">
        <v>394</v>
      </c>
      <c r="C21" s="126" t="s">
        <v>395</v>
      </c>
      <c r="D21" s="126"/>
      <c r="E21" s="126"/>
      <c r="F21" s="321"/>
      <c r="G21" s="126"/>
      <c r="H21" s="126"/>
    </row>
    <row r="22" spans="1:8" s="434" customFormat="1" x14ac:dyDescent="0.25">
      <c r="B22" s="434" t="s">
        <v>393</v>
      </c>
      <c r="C22" s="566" t="s">
        <v>108</v>
      </c>
      <c r="D22" s="566"/>
      <c r="E22" s="566"/>
      <c r="F22" s="566"/>
      <c r="G22" s="566"/>
      <c r="H22" s="566"/>
    </row>
    <row r="23" spans="1:8" x14ac:dyDescent="0.25">
      <c r="B23" s="49" t="s">
        <v>396</v>
      </c>
      <c r="C23" s="566" t="s">
        <v>108</v>
      </c>
      <c r="D23" s="566"/>
      <c r="E23" s="566"/>
      <c r="F23" s="566"/>
      <c r="G23" s="566"/>
      <c r="H23" s="566"/>
    </row>
    <row r="24" spans="1:8" hidden="1" x14ac:dyDescent="0.25">
      <c r="B24" s="49" t="s">
        <v>21</v>
      </c>
      <c r="C24" s="566"/>
      <c r="D24" s="566"/>
      <c r="E24" s="566"/>
      <c r="F24" s="566"/>
      <c r="G24" s="566"/>
      <c r="H24" s="566"/>
    </row>
    <row r="25" spans="1:8" ht="39.75" customHeight="1" x14ac:dyDescent="0.25">
      <c r="B25" s="556" t="s">
        <v>1073</v>
      </c>
      <c r="C25" s="556"/>
      <c r="D25" s="556"/>
      <c r="E25" s="556"/>
      <c r="F25" s="556"/>
      <c r="G25" s="556"/>
      <c r="H25" s="556"/>
    </row>
    <row r="26" spans="1:8" x14ac:dyDescent="0.25">
      <c r="A26" s="54"/>
      <c r="H26" s="54" t="s">
        <v>61</v>
      </c>
    </row>
    <row r="27" spans="1:8" s="320" customFormat="1" ht="75" x14ac:dyDescent="0.25">
      <c r="A27" s="436" t="s">
        <v>62</v>
      </c>
      <c r="B27" s="436" t="s">
        <v>2</v>
      </c>
      <c r="C27" s="436" t="s">
        <v>17</v>
      </c>
      <c r="D27" s="436" t="s">
        <v>464</v>
      </c>
      <c r="E27" s="426" t="s">
        <v>1099</v>
      </c>
      <c r="F27" s="426" t="s">
        <v>9</v>
      </c>
      <c r="G27" s="426" t="s">
        <v>461</v>
      </c>
      <c r="H27" s="426" t="s">
        <v>1046</v>
      </c>
    </row>
    <row r="28" spans="1:8" s="50" customFormat="1" x14ac:dyDescent="0.25">
      <c r="A28" s="436"/>
      <c r="B28" s="436" t="s">
        <v>365</v>
      </c>
      <c r="C28" s="436"/>
      <c r="D28" s="436"/>
      <c r="E28" s="431">
        <f>E29+E43</f>
        <v>14225</v>
      </c>
      <c r="F28" s="431">
        <f t="shared" ref="F28:H28" si="0">F29+F43</f>
        <v>15388</v>
      </c>
      <c r="G28" s="431">
        <f t="shared" si="0"/>
        <v>14579</v>
      </c>
      <c r="H28" s="431">
        <f t="shared" si="0"/>
        <v>14718</v>
      </c>
    </row>
    <row r="29" spans="1:8" s="50" customFormat="1" x14ac:dyDescent="0.25">
      <c r="A29" s="96" t="s">
        <v>6</v>
      </c>
      <c r="B29" s="97" t="s">
        <v>387</v>
      </c>
      <c r="C29" s="98"/>
      <c r="D29" s="98"/>
      <c r="E29" s="98">
        <f>E35</f>
        <v>596</v>
      </c>
      <c r="F29" s="98">
        <f>F35</f>
        <v>400</v>
      </c>
      <c r="G29" s="98">
        <f>G35</f>
        <v>0</v>
      </c>
      <c r="H29" s="98">
        <f>H35</f>
        <v>0</v>
      </c>
    </row>
    <row r="30" spans="1:8" x14ac:dyDescent="0.25">
      <c r="A30" s="437"/>
      <c r="B30" s="438" t="s">
        <v>858</v>
      </c>
      <c r="C30" s="439"/>
      <c r="D30" s="439"/>
      <c r="E30" s="439">
        <f>E31+E32</f>
        <v>8790</v>
      </c>
      <c r="F30" s="439">
        <f t="shared" ref="F30:H30" si="1">F31+F32</f>
        <v>12971</v>
      </c>
      <c r="G30" s="439">
        <f t="shared" si="1"/>
        <v>12971</v>
      </c>
      <c r="H30" s="439">
        <f t="shared" si="1"/>
        <v>12971</v>
      </c>
    </row>
    <row r="31" spans="1:8" ht="21" customHeight="1" x14ac:dyDescent="0.25">
      <c r="A31" s="437"/>
      <c r="B31" s="438" t="s">
        <v>859</v>
      </c>
      <c r="C31" s="439"/>
      <c r="D31" s="439"/>
      <c r="E31" s="439">
        <v>1500</v>
      </c>
      <c r="F31" s="439">
        <v>1545</v>
      </c>
      <c r="G31" s="439">
        <f t="shared" ref="G31:H31" si="2">F31</f>
        <v>1545</v>
      </c>
      <c r="H31" s="439">
        <f t="shared" si="2"/>
        <v>1545</v>
      </c>
    </row>
    <row r="32" spans="1:8" ht="37.5" x14ac:dyDescent="0.25">
      <c r="A32" s="437"/>
      <c r="B32" s="438" t="s">
        <v>870</v>
      </c>
      <c r="C32" s="439"/>
      <c r="D32" s="439"/>
      <c r="E32" s="439">
        <v>7290</v>
      </c>
      <c r="F32" s="439">
        <v>11426</v>
      </c>
      <c r="G32" s="439">
        <f t="shared" ref="G32:H32" si="3">F32</f>
        <v>11426</v>
      </c>
      <c r="H32" s="439">
        <f t="shared" si="3"/>
        <v>11426</v>
      </c>
    </row>
    <row r="33" spans="1:8" ht="37.5" hidden="1" x14ac:dyDescent="0.25">
      <c r="A33" s="437"/>
      <c r="B33" s="438" t="s">
        <v>860</v>
      </c>
      <c r="C33" s="439"/>
      <c r="D33" s="439"/>
      <c r="E33" s="439">
        <f>6844+1117+81</f>
        <v>8042</v>
      </c>
      <c r="F33" s="439">
        <f>F31-1367</f>
        <v>178</v>
      </c>
      <c r="G33" s="439">
        <f t="shared" ref="G33:H33" si="4">F33</f>
        <v>178</v>
      </c>
      <c r="H33" s="439">
        <f t="shared" si="4"/>
        <v>178</v>
      </c>
    </row>
    <row r="34" spans="1:8" ht="21" hidden="1" customHeight="1" x14ac:dyDescent="0.25">
      <c r="A34" s="437"/>
      <c r="B34" s="438" t="s">
        <v>1593</v>
      </c>
      <c r="C34" s="439"/>
      <c r="D34" s="439"/>
      <c r="E34" s="439">
        <f>E30-E33</f>
        <v>748</v>
      </c>
      <c r="F34" s="439">
        <f>F32-1267</f>
        <v>10159</v>
      </c>
      <c r="G34" s="439">
        <f t="shared" ref="G34:H34" si="5">F34</f>
        <v>10159</v>
      </c>
      <c r="H34" s="439">
        <f t="shared" si="5"/>
        <v>10159</v>
      </c>
    </row>
    <row r="35" spans="1:8" ht="39" customHeight="1" x14ac:dyDescent="0.25">
      <c r="A35" s="437" t="s">
        <v>99</v>
      </c>
      <c r="B35" s="438" t="s">
        <v>397</v>
      </c>
      <c r="C35" s="439"/>
      <c r="D35" s="439"/>
      <c r="E35" s="439">
        <f>SUM(E36:E41)</f>
        <v>596</v>
      </c>
      <c r="F35" s="439">
        <v>400</v>
      </c>
      <c r="G35" s="439"/>
      <c r="H35" s="439"/>
    </row>
    <row r="36" spans="1:8" s="87" customFormat="1" ht="150" x14ac:dyDescent="0.25">
      <c r="A36" s="84"/>
      <c r="B36" s="85" t="s">
        <v>1596</v>
      </c>
      <c r="C36" s="86"/>
      <c r="D36" s="86"/>
      <c r="E36" s="86">
        <v>596</v>
      </c>
      <c r="F36" s="86"/>
      <c r="G36" s="86"/>
      <c r="H36" s="86"/>
    </row>
    <row r="37" spans="1:8" s="87" customFormat="1" x14ac:dyDescent="0.25">
      <c r="A37" s="84"/>
      <c r="B37" s="85" t="s">
        <v>862</v>
      </c>
      <c r="C37" s="86"/>
      <c r="D37" s="86"/>
      <c r="E37" s="469"/>
      <c r="F37" s="86"/>
      <c r="G37" s="86"/>
      <c r="H37" s="86"/>
    </row>
    <row r="38" spans="1:8" s="87" customFormat="1" ht="37.5" x14ac:dyDescent="0.25">
      <c r="A38" s="84"/>
      <c r="B38" s="85" t="s">
        <v>863</v>
      </c>
      <c r="C38" s="86"/>
      <c r="D38" s="86"/>
      <c r="E38" s="469"/>
      <c r="F38" s="86"/>
      <c r="G38" s="86"/>
      <c r="H38" s="86"/>
    </row>
    <row r="39" spans="1:8" s="87" customFormat="1" ht="37.5" x14ac:dyDescent="0.25">
      <c r="A39" s="84"/>
      <c r="B39" s="85" t="s">
        <v>1595</v>
      </c>
      <c r="C39" s="86"/>
      <c r="D39" s="86"/>
      <c r="E39" s="86"/>
      <c r="F39" s="86"/>
      <c r="G39" s="86"/>
      <c r="H39" s="86"/>
    </row>
    <row r="40" spans="1:8" s="87" customFormat="1" x14ac:dyDescent="0.25">
      <c r="A40" s="84"/>
      <c r="B40" s="85" t="s">
        <v>1600</v>
      </c>
      <c r="C40" s="86"/>
      <c r="D40" s="86"/>
      <c r="E40" s="86"/>
      <c r="F40" s="86"/>
      <c r="G40" s="86"/>
      <c r="H40" s="86"/>
    </row>
    <row r="41" spans="1:8" s="87" customFormat="1" x14ac:dyDescent="0.25">
      <c r="A41" s="84"/>
      <c r="B41" s="85" t="s">
        <v>1594</v>
      </c>
      <c r="C41" s="86"/>
      <c r="D41" s="86"/>
      <c r="E41" s="86"/>
      <c r="F41" s="86"/>
      <c r="G41" s="86"/>
      <c r="H41" s="86"/>
    </row>
    <row r="42" spans="1:8" ht="93.75" x14ac:dyDescent="0.25">
      <c r="A42" s="437"/>
      <c r="B42" s="438" t="s">
        <v>1598</v>
      </c>
      <c r="C42" s="439"/>
      <c r="D42" s="439"/>
      <c r="E42" s="439"/>
      <c r="F42" s="439"/>
      <c r="G42" s="439"/>
      <c r="H42" s="439"/>
    </row>
    <row r="43" spans="1:8" s="50" customFormat="1" ht="37.5" x14ac:dyDescent="0.25">
      <c r="A43" s="441" t="s">
        <v>7</v>
      </c>
      <c r="B43" s="442" t="s">
        <v>1586</v>
      </c>
      <c r="C43" s="443"/>
      <c r="D43" s="443"/>
      <c r="E43" s="443">
        <f>E48+E58</f>
        <v>13629</v>
      </c>
      <c r="F43" s="443">
        <f t="shared" ref="F43:H43" si="6">F48+F58</f>
        <v>14988</v>
      </c>
      <c r="G43" s="443">
        <f t="shared" si="6"/>
        <v>14579</v>
      </c>
      <c r="H43" s="443">
        <f t="shared" si="6"/>
        <v>14718</v>
      </c>
    </row>
    <row r="44" spans="1:8" x14ac:dyDescent="0.25">
      <c r="A44" s="437"/>
      <c r="B44" s="438" t="s">
        <v>950</v>
      </c>
      <c r="C44" s="439"/>
      <c r="D44" s="439"/>
      <c r="E44" s="439">
        <v>4100</v>
      </c>
      <c r="F44" s="439">
        <f>1200-120</f>
        <v>1080</v>
      </c>
      <c r="G44" s="439">
        <f>F44</f>
        <v>1080</v>
      </c>
      <c r="H44" s="439">
        <f>G44</f>
        <v>1080</v>
      </c>
    </row>
    <row r="45" spans="1:8" ht="37.5" hidden="1" x14ac:dyDescent="0.25">
      <c r="A45" s="437"/>
      <c r="B45" s="438" t="s">
        <v>857</v>
      </c>
      <c r="C45" s="439"/>
      <c r="D45" s="439"/>
      <c r="E45" s="439">
        <f>540+500</f>
        <v>1040</v>
      </c>
      <c r="F45" s="439"/>
      <c r="G45" s="439">
        <f t="shared" ref="G45:H45" si="7">F45</f>
        <v>0</v>
      </c>
      <c r="H45" s="439">
        <f t="shared" si="7"/>
        <v>0</v>
      </c>
    </row>
    <row r="46" spans="1:8" s="434" customFormat="1" x14ac:dyDescent="0.25">
      <c r="A46" s="437"/>
      <c r="B46" s="438" t="s">
        <v>1587</v>
      </c>
      <c r="C46" s="439"/>
      <c r="D46" s="439"/>
      <c r="E46" s="439"/>
      <c r="F46" s="439">
        <v>7250</v>
      </c>
      <c r="G46" s="439">
        <f t="shared" ref="G46:H46" si="8">F46</f>
        <v>7250</v>
      </c>
      <c r="H46" s="439">
        <f t="shared" si="8"/>
        <v>7250</v>
      </c>
    </row>
    <row r="47" spans="1:8" s="434" customFormat="1" ht="37.5" x14ac:dyDescent="0.25">
      <c r="A47" s="437"/>
      <c r="B47" s="438" t="s">
        <v>1588</v>
      </c>
      <c r="C47" s="439"/>
      <c r="D47" s="439"/>
      <c r="E47" s="439"/>
      <c r="F47" s="439">
        <v>1000</v>
      </c>
      <c r="G47" s="439">
        <f t="shared" ref="G47:H47" si="9">F47</f>
        <v>1000</v>
      </c>
      <c r="H47" s="439">
        <f t="shared" si="9"/>
        <v>1000</v>
      </c>
    </row>
    <row r="48" spans="1:8" s="50" customFormat="1" x14ac:dyDescent="0.25">
      <c r="A48" s="441" t="s">
        <v>51</v>
      </c>
      <c r="B48" s="442" t="s">
        <v>1078</v>
      </c>
      <c r="C48" s="443"/>
      <c r="D48" s="443"/>
      <c r="E48" s="443">
        <f>E49+E53-E54</f>
        <v>4667</v>
      </c>
      <c r="F48" s="443">
        <f t="shared" ref="F48" si="10">F49+F53-F54</f>
        <v>4138</v>
      </c>
      <c r="G48" s="443">
        <f t="shared" ref="G48" si="11">G49+G53-G54</f>
        <v>4277</v>
      </c>
      <c r="H48" s="443">
        <f t="shared" ref="H48" si="12">H49+H53-H54</f>
        <v>4416</v>
      </c>
    </row>
    <row r="49" spans="1:8" ht="56.25" x14ac:dyDescent="0.25">
      <c r="A49" s="437">
        <v>1</v>
      </c>
      <c r="B49" s="438" t="s">
        <v>1341</v>
      </c>
      <c r="C49" s="439"/>
      <c r="D49" s="439"/>
      <c r="E49" s="439">
        <f>1550+2562</f>
        <v>4112</v>
      </c>
      <c r="F49" s="439">
        <f>SUM(F50:F52)</f>
        <v>4034</v>
      </c>
      <c r="G49" s="439">
        <f>SUM(G50:G52)</f>
        <v>4173</v>
      </c>
      <c r="H49" s="439">
        <f>SUM(H50:H52)</f>
        <v>4312</v>
      </c>
    </row>
    <row r="50" spans="1:8" x14ac:dyDescent="0.25">
      <c r="A50" s="437"/>
      <c r="B50" s="438" t="s">
        <v>1151</v>
      </c>
      <c r="C50" s="439">
        <v>52</v>
      </c>
      <c r="D50" s="440">
        <v>36</v>
      </c>
      <c r="E50" s="439"/>
      <c r="F50" s="439">
        <v>2892</v>
      </c>
      <c r="G50" s="439">
        <f>ROUND(F50+17*7.3,0)</f>
        <v>3016</v>
      </c>
      <c r="H50" s="439">
        <f>ROUND(G50+17*7.3,0)</f>
        <v>3140</v>
      </c>
    </row>
    <row r="51" spans="1:8" s="434" customFormat="1" x14ac:dyDescent="0.25">
      <c r="A51" s="437"/>
      <c r="B51" s="438" t="s">
        <v>1589</v>
      </c>
      <c r="C51" s="439"/>
      <c r="D51" s="440"/>
      <c r="E51" s="439"/>
      <c r="F51" s="439">
        <v>827</v>
      </c>
      <c r="G51" s="439">
        <f>F51</f>
        <v>827</v>
      </c>
      <c r="H51" s="439">
        <f>G51</f>
        <v>827</v>
      </c>
    </row>
    <row r="52" spans="1:8" ht="37.5" x14ac:dyDescent="0.25">
      <c r="A52" s="437"/>
      <c r="B52" s="438" t="s">
        <v>1580</v>
      </c>
      <c r="C52" s="439">
        <v>8</v>
      </c>
      <c r="D52" s="439">
        <v>5</v>
      </c>
      <c r="E52" s="439"/>
      <c r="F52" s="439">
        <v>315</v>
      </c>
      <c r="G52" s="439">
        <f>ROUND(F52+2*7.3,0)</f>
        <v>330</v>
      </c>
      <c r="H52" s="439">
        <f>ROUND(G52+2*7.3,0)</f>
        <v>345</v>
      </c>
    </row>
    <row r="53" spans="1:8" ht="37.5" x14ac:dyDescent="0.25">
      <c r="A53" s="437">
        <v>2</v>
      </c>
      <c r="B53" s="438" t="s">
        <v>1581</v>
      </c>
      <c r="C53" s="227">
        <v>52</v>
      </c>
      <c r="D53" s="439"/>
      <c r="E53" s="439">
        <f>420+640</f>
        <v>1060</v>
      </c>
      <c r="F53" s="439">
        <f>C53*20</f>
        <v>1040</v>
      </c>
      <c r="G53" s="439">
        <f>F53</f>
        <v>1040</v>
      </c>
      <c r="H53" s="439">
        <f>G53</f>
        <v>1040</v>
      </c>
    </row>
    <row r="54" spans="1:8" x14ac:dyDescent="0.25">
      <c r="A54" s="437">
        <v>3</v>
      </c>
      <c r="B54" s="423" t="s">
        <v>1092</v>
      </c>
      <c r="C54" s="227"/>
      <c r="D54" s="439"/>
      <c r="E54" s="439">
        <f>SUM(E55:E56)</f>
        <v>505</v>
      </c>
      <c r="F54" s="439">
        <f t="shared" ref="F54:H54" si="13">SUM(F55:F56)</f>
        <v>936</v>
      </c>
      <c r="G54" s="439">
        <f t="shared" si="13"/>
        <v>936</v>
      </c>
      <c r="H54" s="439">
        <f t="shared" si="13"/>
        <v>936</v>
      </c>
    </row>
    <row r="55" spans="1:8" x14ac:dyDescent="0.25">
      <c r="A55" s="437"/>
      <c r="B55" s="438" t="s">
        <v>968</v>
      </c>
      <c r="C55" s="439"/>
      <c r="D55" s="439"/>
      <c r="E55" s="439">
        <v>416</v>
      </c>
      <c r="F55" s="439">
        <f>F44*0.4+F47*0.4</f>
        <v>832</v>
      </c>
      <c r="G55" s="439">
        <f t="shared" ref="G55:H57" si="14">F55</f>
        <v>832</v>
      </c>
      <c r="H55" s="439">
        <f t="shared" si="14"/>
        <v>832</v>
      </c>
    </row>
    <row r="56" spans="1:8" x14ac:dyDescent="0.25">
      <c r="A56" s="437"/>
      <c r="B56" s="438" t="s">
        <v>969</v>
      </c>
      <c r="C56" s="439"/>
      <c r="D56" s="439"/>
      <c r="E56" s="439">
        <v>89</v>
      </c>
      <c r="F56" s="439">
        <v>104</v>
      </c>
      <c r="G56" s="439">
        <f t="shared" si="14"/>
        <v>104</v>
      </c>
      <c r="H56" s="439">
        <f t="shared" si="14"/>
        <v>104</v>
      </c>
    </row>
    <row r="57" spans="1:8" ht="37.5" x14ac:dyDescent="0.25">
      <c r="A57" s="437">
        <v>4</v>
      </c>
      <c r="B57" s="438" t="s">
        <v>1592</v>
      </c>
      <c r="C57" s="227"/>
      <c r="D57" s="439"/>
      <c r="E57" s="439">
        <v>624</v>
      </c>
      <c r="F57" s="439">
        <f>1200-480+1000-400</f>
        <v>1320</v>
      </c>
      <c r="G57" s="439">
        <f t="shared" si="14"/>
        <v>1320</v>
      </c>
      <c r="H57" s="439">
        <f t="shared" si="14"/>
        <v>1320</v>
      </c>
    </row>
    <row r="58" spans="1:8" s="50" customFormat="1" x14ac:dyDescent="0.25">
      <c r="A58" s="441" t="s">
        <v>52</v>
      </c>
      <c r="B58" s="442" t="s">
        <v>11</v>
      </c>
      <c r="C58" s="443"/>
      <c r="D58" s="443"/>
      <c r="E58" s="443">
        <f>SUM(E59:E66)</f>
        <v>8962</v>
      </c>
      <c r="F58" s="443">
        <f t="shared" ref="F58:H58" si="15">SUM(F59:F66)</f>
        <v>10850</v>
      </c>
      <c r="G58" s="443">
        <f t="shared" si="15"/>
        <v>10302</v>
      </c>
      <c r="H58" s="443">
        <f t="shared" si="15"/>
        <v>10302</v>
      </c>
    </row>
    <row r="59" spans="1:8" s="434" customFormat="1" x14ac:dyDescent="0.25">
      <c r="A59" s="437" t="s">
        <v>99</v>
      </c>
      <c r="B59" s="438" t="s">
        <v>1590</v>
      </c>
      <c r="C59" s="439"/>
      <c r="D59" s="439"/>
      <c r="E59" s="439">
        <v>22</v>
      </c>
      <c r="F59" s="439">
        <f>E59+18</f>
        <v>40</v>
      </c>
      <c r="G59" s="439">
        <f>E59</f>
        <v>22</v>
      </c>
      <c r="H59" s="439">
        <f>G59</f>
        <v>22</v>
      </c>
    </row>
    <row r="60" spans="1:8" s="434" customFormat="1" x14ac:dyDescent="0.25">
      <c r="A60" s="437" t="s">
        <v>99</v>
      </c>
      <c r="B60" s="438" t="s">
        <v>389</v>
      </c>
      <c r="C60" s="439"/>
      <c r="D60" s="439"/>
      <c r="E60" s="439">
        <v>280</v>
      </c>
      <c r="F60" s="439">
        <v>280</v>
      </c>
      <c r="G60" s="439">
        <f>F60</f>
        <v>280</v>
      </c>
      <c r="H60" s="439">
        <f>G60</f>
        <v>280</v>
      </c>
    </row>
    <row r="61" spans="1:8" s="434" customFormat="1" ht="37.5" x14ac:dyDescent="0.25">
      <c r="A61" s="437" t="s">
        <v>99</v>
      </c>
      <c r="B61" s="438" t="s">
        <v>390</v>
      </c>
      <c r="C61" s="439"/>
      <c r="D61" s="439"/>
      <c r="E61" s="439">
        <v>8000</v>
      </c>
      <c r="F61" s="439">
        <v>10000</v>
      </c>
      <c r="G61" s="439">
        <f>F61</f>
        <v>10000</v>
      </c>
      <c r="H61" s="439">
        <f>G61</f>
        <v>10000</v>
      </c>
    </row>
    <row r="62" spans="1:8" s="434" customFormat="1" x14ac:dyDescent="0.25">
      <c r="A62" s="437" t="s">
        <v>99</v>
      </c>
      <c r="B62" s="438" t="s">
        <v>1591</v>
      </c>
      <c r="C62" s="439"/>
      <c r="D62" s="439"/>
      <c r="E62" s="439"/>
      <c r="F62" s="439">
        <f>15*8+20</f>
        <v>140</v>
      </c>
      <c r="G62" s="439"/>
      <c r="H62" s="439"/>
    </row>
    <row r="63" spans="1:8" ht="37.5" x14ac:dyDescent="0.25">
      <c r="A63" s="437" t="s">
        <v>99</v>
      </c>
      <c r="B63" s="438" t="s">
        <v>867</v>
      </c>
      <c r="C63" s="439"/>
      <c r="D63" s="439"/>
      <c r="E63" s="439">
        <v>100</v>
      </c>
      <c r="F63" s="439"/>
      <c r="G63" s="439"/>
      <c r="H63" s="439"/>
    </row>
    <row r="64" spans="1:8" s="434" customFormat="1" ht="112.5" x14ac:dyDescent="0.25">
      <c r="A64" s="437" t="s">
        <v>99</v>
      </c>
      <c r="B64" s="438" t="s">
        <v>1597</v>
      </c>
      <c r="C64" s="439"/>
      <c r="D64" s="439"/>
      <c r="E64" s="439"/>
      <c r="F64" s="439">
        <v>390</v>
      </c>
      <c r="G64" s="439"/>
      <c r="H64" s="439"/>
    </row>
    <row r="65" spans="1:8" x14ac:dyDescent="0.25">
      <c r="A65" s="437" t="s">
        <v>99</v>
      </c>
      <c r="B65" s="438" t="s">
        <v>868</v>
      </c>
      <c r="C65" s="439"/>
      <c r="D65" s="439"/>
      <c r="E65" s="439">
        <v>390</v>
      </c>
      <c r="F65" s="439"/>
      <c r="G65" s="439"/>
      <c r="H65" s="439"/>
    </row>
    <row r="66" spans="1:8" ht="37.5" x14ac:dyDescent="0.25">
      <c r="A66" s="437" t="s">
        <v>99</v>
      </c>
      <c r="B66" s="438" t="s">
        <v>866</v>
      </c>
      <c r="C66" s="439"/>
      <c r="D66" s="439"/>
      <c r="E66" s="439">
        <v>170</v>
      </c>
      <c r="F66" s="439"/>
      <c r="G66" s="439"/>
      <c r="H66" s="439"/>
    </row>
    <row r="67" spans="1:8" ht="75" hidden="1" x14ac:dyDescent="0.25">
      <c r="A67" s="437"/>
      <c r="B67" s="438" t="s">
        <v>869</v>
      </c>
      <c r="C67" s="439"/>
      <c r="D67" s="439"/>
      <c r="E67" s="439"/>
      <c r="F67" s="439"/>
      <c r="G67" s="439"/>
      <c r="H67" s="439"/>
    </row>
    <row r="68" spans="1:8" x14ac:dyDescent="0.25">
      <c r="A68" s="444"/>
      <c r="B68" s="445"/>
      <c r="C68" s="446"/>
      <c r="D68" s="446"/>
      <c r="E68" s="446"/>
      <c r="F68" s="446"/>
      <c r="G68" s="446"/>
      <c r="H68" s="446"/>
    </row>
    <row r="69" spans="1:8" ht="40.5" customHeight="1" x14ac:dyDescent="0.25">
      <c r="A69" s="70"/>
      <c r="B69" s="567" t="s">
        <v>1601</v>
      </c>
      <c r="C69" s="567"/>
      <c r="D69" s="567"/>
      <c r="E69" s="567"/>
      <c r="F69" s="567"/>
      <c r="G69" s="567"/>
      <c r="H69" s="567"/>
    </row>
    <row r="70" spans="1:8" x14ac:dyDescent="0.25">
      <c r="B70" s="7" t="s">
        <v>1332</v>
      </c>
      <c r="C70" s="7"/>
      <c r="D70" s="7"/>
      <c r="E70" s="7"/>
      <c r="F70" s="7"/>
      <c r="G70" s="7"/>
      <c r="H70" s="7"/>
    </row>
    <row r="72" spans="1:8" x14ac:dyDescent="0.25">
      <c r="A72" s="568" t="s">
        <v>36</v>
      </c>
      <c r="B72" s="568"/>
      <c r="D72" s="568" t="s">
        <v>37</v>
      </c>
      <c r="E72" s="568"/>
      <c r="F72" s="568"/>
      <c r="G72" s="568"/>
      <c r="H72" s="568"/>
    </row>
  </sheetData>
  <mergeCells count="18">
    <mergeCell ref="C20:H20"/>
    <mergeCell ref="C10:H10"/>
    <mergeCell ref="C15:H15"/>
    <mergeCell ref="B69:H69"/>
    <mergeCell ref="A72:B72"/>
    <mergeCell ref="D72:H72"/>
    <mergeCell ref="C23:H23"/>
    <mergeCell ref="C24:H24"/>
    <mergeCell ref="B25:H25"/>
    <mergeCell ref="C17:H17"/>
    <mergeCell ref="C22:H22"/>
    <mergeCell ref="C19:G19"/>
    <mergeCell ref="C9:H9"/>
    <mergeCell ref="A1:H1"/>
    <mergeCell ref="B3:H3"/>
    <mergeCell ref="C6:H6"/>
    <mergeCell ref="C7:H7"/>
    <mergeCell ref="C8:H8"/>
  </mergeCells>
  <printOptions horizontalCentered="1"/>
  <pageMargins left="0" right="0" top="0.75" bottom="0.5" header="0.31496062992126" footer="0.31496062992126"/>
  <pageSetup paperSize="9" scale="89" orientation="portrait" r:id="rId1"/>
  <headerFooter>
    <oddFooter>&amp;C&amp;P/&amp;N</oddFooter>
  </headerFooter>
  <legacyDrawing r:id="rId2"/>
</worksheet>
</file>

<file path=xl/worksheets/sheet3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96"/>
  <sheetViews>
    <sheetView topLeftCell="A43" zoomScaleNormal="100" workbookViewId="0">
      <selection activeCell="B48" sqref="B48"/>
    </sheetView>
  </sheetViews>
  <sheetFormatPr defaultColWidth="9.140625" defaultRowHeight="18.75" x14ac:dyDescent="0.25"/>
  <cols>
    <col min="1" max="1" width="4.85546875" style="106" customWidth="1"/>
    <col min="2" max="2" width="43.7109375" style="49" customWidth="1"/>
    <col min="3" max="4" width="7.85546875" style="49" customWidth="1"/>
    <col min="5" max="8" width="10.5703125" style="49" customWidth="1"/>
    <col min="9" max="9" width="10" style="49" bestFit="1" customWidth="1"/>
    <col min="10" max="16384" width="9.140625" style="49"/>
  </cols>
  <sheetData>
    <row r="1" spans="1:8" ht="41.25" customHeight="1" x14ac:dyDescent="0.25">
      <c r="A1" s="569" t="s">
        <v>1074</v>
      </c>
      <c r="B1" s="570"/>
      <c r="C1" s="570"/>
      <c r="D1" s="570"/>
      <c r="E1" s="570"/>
      <c r="F1" s="570"/>
      <c r="G1" s="570"/>
      <c r="H1" s="570"/>
    </row>
    <row r="2" spans="1:8" x14ac:dyDescent="0.25">
      <c r="A2" s="105"/>
      <c r="B2" s="50"/>
      <c r="C2" s="50"/>
      <c r="D2" s="51"/>
      <c r="E2" s="51"/>
      <c r="F2" s="51"/>
      <c r="G2" s="51"/>
      <c r="H2" s="51"/>
    </row>
    <row r="3" spans="1:8" ht="40.5" customHeight="1" x14ac:dyDescent="0.25">
      <c r="B3" s="565" t="s">
        <v>1605</v>
      </c>
      <c r="C3" s="565"/>
      <c r="D3" s="565"/>
      <c r="E3" s="565"/>
      <c r="F3" s="565"/>
      <c r="G3" s="565"/>
      <c r="H3" s="565"/>
    </row>
    <row r="4" spans="1:8" x14ac:dyDescent="0.25">
      <c r="B4" s="49" t="s">
        <v>39</v>
      </c>
      <c r="D4" s="52"/>
      <c r="E4" s="52"/>
      <c r="F4" s="52"/>
      <c r="G4" s="52"/>
      <c r="H4" s="52"/>
    </row>
    <row r="5" spans="1:8" s="50" customFormat="1" x14ac:dyDescent="0.25">
      <c r="A5" s="105"/>
      <c r="B5" s="50" t="s">
        <v>18</v>
      </c>
    </row>
    <row r="6" spans="1:8" x14ac:dyDescent="0.25">
      <c r="B6" s="49" t="s">
        <v>23</v>
      </c>
      <c r="C6" s="566" t="s">
        <v>49</v>
      </c>
      <c r="D6" s="566"/>
      <c r="E6" s="566"/>
      <c r="F6" s="566"/>
      <c r="G6" s="566"/>
      <c r="H6" s="566"/>
    </row>
    <row r="7" spans="1:8" x14ac:dyDescent="0.25">
      <c r="B7" s="49" t="s">
        <v>19</v>
      </c>
      <c r="C7" s="566" t="s">
        <v>50</v>
      </c>
      <c r="D7" s="566"/>
      <c r="E7" s="566"/>
      <c r="F7" s="566"/>
      <c r="G7" s="566"/>
      <c r="H7" s="566"/>
    </row>
    <row r="8" spans="1:8" hidden="1" x14ac:dyDescent="0.25">
      <c r="B8" s="49" t="s">
        <v>90</v>
      </c>
      <c r="C8" s="566" t="s">
        <v>60</v>
      </c>
      <c r="D8" s="566"/>
      <c r="E8" s="566"/>
      <c r="F8" s="566"/>
      <c r="G8" s="566"/>
      <c r="H8" s="566"/>
    </row>
    <row r="9" spans="1:8" x14ac:dyDescent="0.25">
      <c r="B9" s="49" t="s">
        <v>59</v>
      </c>
      <c r="C9" s="566" t="s">
        <v>60</v>
      </c>
      <c r="D9" s="566"/>
      <c r="E9" s="566"/>
      <c r="F9" s="566"/>
      <c r="G9" s="566"/>
      <c r="H9" s="566"/>
    </row>
    <row r="10" spans="1:8" hidden="1" x14ac:dyDescent="0.25">
      <c r="B10" s="49" t="s">
        <v>20</v>
      </c>
      <c r="C10" s="566" t="s">
        <v>86</v>
      </c>
      <c r="D10" s="566"/>
      <c r="E10" s="566"/>
      <c r="F10" s="566"/>
      <c r="G10" s="566"/>
      <c r="H10" s="566"/>
    </row>
    <row r="11" spans="1:8" x14ac:dyDescent="0.25">
      <c r="B11" s="49" t="s">
        <v>1205</v>
      </c>
      <c r="C11" s="290" t="s">
        <v>87</v>
      </c>
      <c r="D11" s="290"/>
      <c r="E11" s="290"/>
      <c r="F11" s="329"/>
      <c r="G11" s="290"/>
      <c r="H11" s="290"/>
    </row>
    <row r="12" spans="1:8" x14ac:dyDescent="0.25">
      <c r="B12" s="49" t="s">
        <v>306</v>
      </c>
      <c r="C12" s="290" t="s">
        <v>88</v>
      </c>
      <c r="D12" s="290"/>
      <c r="E12" s="290"/>
      <c r="F12" s="329"/>
      <c r="G12" s="290"/>
      <c r="H12" s="290"/>
    </row>
    <row r="13" spans="1:8" hidden="1" x14ac:dyDescent="0.25">
      <c r="B13" s="49" t="s">
        <v>652</v>
      </c>
      <c r="C13" s="290" t="s">
        <v>95</v>
      </c>
      <c r="D13" s="290"/>
      <c r="E13" s="290"/>
      <c r="F13" s="329"/>
      <c r="G13" s="290"/>
      <c r="H13" s="290"/>
    </row>
    <row r="14" spans="1:8" hidden="1" x14ac:dyDescent="0.25">
      <c r="B14" s="49" t="s">
        <v>94</v>
      </c>
      <c r="C14" s="290" t="s">
        <v>95</v>
      </c>
      <c r="D14" s="290"/>
      <c r="E14" s="290"/>
      <c r="F14" s="329"/>
      <c r="G14" s="290"/>
      <c r="H14" s="290"/>
    </row>
    <row r="15" spans="1:8" x14ac:dyDescent="0.25">
      <c r="C15" s="290"/>
      <c r="D15" s="290"/>
      <c r="E15" s="290"/>
      <c r="F15" s="329"/>
      <c r="G15" s="290"/>
      <c r="H15" s="290"/>
    </row>
    <row r="16" spans="1:8" hidden="1" x14ac:dyDescent="0.25">
      <c r="B16" s="49" t="s">
        <v>21</v>
      </c>
      <c r="C16" s="566"/>
      <c r="D16" s="566"/>
      <c r="E16" s="566"/>
      <c r="F16" s="566"/>
      <c r="G16" s="566"/>
      <c r="H16" s="566"/>
    </row>
    <row r="17" spans="1:8" s="50" customFormat="1" x14ac:dyDescent="0.25">
      <c r="A17" s="105"/>
      <c r="B17" s="50" t="s">
        <v>284</v>
      </c>
    </row>
    <row r="18" spans="1:8" hidden="1" x14ac:dyDescent="0.25">
      <c r="B18" s="49" t="s">
        <v>291</v>
      </c>
      <c r="C18" s="566" t="s">
        <v>212</v>
      </c>
      <c r="D18" s="566"/>
      <c r="E18" s="566"/>
      <c r="F18" s="566"/>
      <c r="G18" s="566"/>
      <c r="H18" s="566"/>
    </row>
    <row r="19" spans="1:8" x14ac:dyDescent="0.25">
      <c r="B19" s="107" t="s">
        <v>1604</v>
      </c>
      <c r="C19" s="566" t="s">
        <v>176</v>
      </c>
      <c r="D19" s="566"/>
      <c r="E19" s="566"/>
      <c r="F19" s="566"/>
      <c r="G19" s="566"/>
      <c r="H19" s="566"/>
    </row>
    <row r="20" spans="1:8" x14ac:dyDescent="0.25">
      <c r="B20" s="49" t="s">
        <v>285</v>
      </c>
      <c r="C20" s="566" t="s">
        <v>286</v>
      </c>
      <c r="D20" s="566"/>
      <c r="E20" s="566"/>
      <c r="F20" s="566"/>
      <c r="G20" s="566"/>
      <c r="H20" s="566"/>
    </row>
    <row r="21" spans="1:8" x14ac:dyDescent="0.25">
      <c r="B21" s="472" t="s">
        <v>1606</v>
      </c>
      <c r="C21" s="566" t="s">
        <v>334</v>
      </c>
      <c r="D21" s="566"/>
      <c r="E21" s="566"/>
      <c r="F21" s="566"/>
      <c r="G21" s="566"/>
      <c r="H21" s="566"/>
    </row>
    <row r="22" spans="1:8" hidden="1" x14ac:dyDescent="0.25">
      <c r="B22" s="49" t="s">
        <v>21</v>
      </c>
      <c r="C22" s="566" t="s">
        <v>108</v>
      </c>
      <c r="D22" s="566"/>
      <c r="E22" s="566"/>
      <c r="F22" s="566"/>
      <c r="G22" s="566"/>
      <c r="H22" s="566"/>
    </row>
    <row r="23" spans="1:8" hidden="1" x14ac:dyDescent="0.25">
      <c r="B23" s="49" t="s">
        <v>21</v>
      </c>
      <c r="C23" s="566" t="s">
        <v>108</v>
      </c>
      <c r="D23" s="566"/>
      <c r="E23" s="566"/>
      <c r="F23" s="566"/>
      <c r="G23" s="566"/>
      <c r="H23" s="566"/>
    </row>
    <row r="24" spans="1:8" hidden="1" x14ac:dyDescent="0.25">
      <c r="B24" s="49" t="s">
        <v>21</v>
      </c>
      <c r="C24" s="566"/>
      <c r="D24" s="566"/>
      <c r="E24" s="566"/>
      <c r="F24" s="566"/>
      <c r="G24" s="566"/>
      <c r="H24" s="566"/>
    </row>
    <row r="25" spans="1:8" ht="39.75" customHeight="1" x14ac:dyDescent="0.25">
      <c r="B25" s="556" t="s">
        <v>1073</v>
      </c>
      <c r="C25" s="556"/>
      <c r="D25" s="556"/>
      <c r="E25" s="556"/>
      <c r="F25" s="556"/>
      <c r="G25" s="556"/>
      <c r="H25" s="556"/>
    </row>
    <row r="26" spans="1:8" x14ac:dyDescent="0.25">
      <c r="A26" s="108"/>
      <c r="H26" s="54" t="s">
        <v>61</v>
      </c>
    </row>
    <row r="27" spans="1:8" s="330" customFormat="1" ht="93.75" x14ac:dyDescent="0.25">
      <c r="A27" s="467" t="s">
        <v>62</v>
      </c>
      <c r="B27" s="468" t="s">
        <v>2</v>
      </c>
      <c r="C27" s="468" t="s">
        <v>17</v>
      </c>
      <c r="D27" s="468" t="s">
        <v>464</v>
      </c>
      <c r="E27" s="465" t="s">
        <v>1099</v>
      </c>
      <c r="F27" s="465" t="s">
        <v>9</v>
      </c>
      <c r="G27" s="465" t="s">
        <v>461</v>
      </c>
      <c r="H27" s="465" t="s">
        <v>1046</v>
      </c>
    </row>
    <row r="28" spans="1:8" s="50" customFormat="1" x14ac:dyDescent="0.25">
      <c r="A28" s="467"/>
      <c r="B28" s="468" t="s">
        <v>1039</v>
      </c>
      <c r="C28" s="57"/>
      <c r="D28" s="57"/>
      <c r="E28" s="57">
        <f>+E29+E49+E64+E66+E71</f>
        <v>99786</v>
      </c>
      <c r="F28" s="57">
        <f>+F29+F49+F64+F66+F71</f>
        <v>119710</v>
      </c>
      <c r="G28" s="57">
        <f>+G29+G49+G64+G66+G71</f>
        <v>73865</v>
      </c>
      <c r="H28" s="57">
        <f>+H29+H49+H64+H66+H71</f>
        <v>74774</v>
      </c>
    </row>
    <row r="29" spans="1:8" s="114" customFormat="1" ht="21" customHeight="1" x14ac:dyDescent="0.25">
      <c r="A29" s="473" t="s">
        <v>51</v>
      </c>
      <c r="B29" s="474" t="s">
        <v>351</v>
      </c>
      <c r="C29" s="475"/>
      <c r="D29" s="475"/>
      <c r="E29" s="475">
        <f>E30+E42</f>
        <v>7192</v>
      </c>
      <c r="F29" s="475">
        <f t="shared" ref="F29:H29" si="0">F30+F42</f>
        <v>7506</v>
      </c>
      <c r="G29" s="475">
        <f t="shared" si="0"/>
        <v>7446</v>
      </c>
      <c r="H29" s="475">
        <f t="shared" si="0"/>
        <v>7676</v>
      </c>
    </row>
    <row r="30" spans="1:8" s="114" customFormat="1" ht="21" customHeight="1" x14ac:dyDescent="0.25">
      <c r="A30" s="111">
        <v>1</v>
      </c>
      <c r="B30" s="452" t="s">
        <v>660</v>
      </c>
      <c r="C30" s="453"/>
      <c r="D30" s="453"/>
      <c r="E30" s="453">
        <f>+E34+E38-E39</f>
        <v>6772</v>
      </c>
      <c r="F30" s="453">
        <f>+F34+F38-F39</f>
        <v>7088</v>
      </c>
      <c r="G30" s="453">
        <f>+G34+G38-G39</f>
        <v>7273</v>
      </c>
      <c r="H30" s="453">
        <f>+H34+H38-H39</f>
        <v>7458</v>
      </c>
    </row>
    <row r="31" spans="1:8" x14ac:dyDescent="0.25">
      <c r="A31" s="118"/>
      <c r="B31" s="451" t="s">
        <v>654</v>
      </c>
      <c r="C31" s="439"/>
      <c r="D31" s="439"/>
      <c r="E31" s="439">
        <v>30</v>
      </c>
      <c r="F31" s="439">
        <v>30</v>
      </c>
      <c r="G31" s="439">
        <f>E31</f>
        <v>30</v>
      </c>
      <c r="H31" s="439">
        <f>G31</f>
        <v>30</v>
      </c>
    </row>
    <row r="32" spans="1:8" x14ac:dyDescent="0.25">
      <c r="A32" s="118"/>
      <c r="B32" s="451" t="s">
        <v>655</v>
      </c>
      <c r="C32" s="439"/>
      <c r="D32" s="439"/>
      <c r="E32" s="439">
        <v>3</v>
      </c>
      <c r="F32" s="439">
        <v>3</v>
      </c>
      <c r="G32" s="439">
        <f>E32</f>
        <v>3</v>
      </c>
      <c r="H32" s="439">
        <f>G32</f>
        <v>3</v>
      </c>
    </row>
    <row r="33" spans="1:8" x14ac:dyDescent="0.25">
      <c r="A33" s="118"/>
      <c r="B33" s="451" t="s">
        <v>656</v>
      </c>
      <c r="C33" s="439"/>
      <c r="D33" s="439"/>
      <c r="E33" s="439">
        <v>27</v>
      </c>
      <c r="F33" s="439">
        <v>27</v>
      </c>
      <c r="G33" s="439">
        <f>E33</f>
        <v>27</v>
      </c>
      <c r="H33" s="439">
        <f>G33</f>
        <v>27</v>
      </c>
    </row>
    <row r="34" spans="1:8" ht="56.25" x14ac:dyDescent="0.25">
      <c r="A34" s="102" t="s">
        <v>53</v>
      </c>
      <c r="B34" s="438" t="s">
        <v>1185</v>
      </c>
      <c r="C34" s="439"/>
      <c r="D34" s="439"/>
      <c r="E34" s="439">
        <v>5702</v>
      </c>
      <c r="F34" s="439">
        <f>SUM(F35:F37)</f>
        <v>6062</v>
      </c>
      <c r="G34" s="439">
        <f>SUM(G35:G37)</f>
        <v>6247</v>
      </c>
      <c r="H34" s="439">
        <f>SUM(H35:H37)</f>
        <v>6432</v>
      </c>
    </row>
    <row r="35" spans="1:8" x14ac:dyDescent="0.25">
      <c r="A35" s="102"/>
      <c r="B35" s="438" t="s">
        <v>1602</v>
      </c>
      <c r="C35" s="439">
        <v>57</v>
      </c>
      <c r="D35" s="440">
        <v>47</v>
      </c>
      <c r="E35" s="439"/>
      <c r="F35" s="439">
        <v>5193</v>
      </c>
      <c r="G35" s="439">
        <f>ROUND(F35+19*8.8,0)</f>
        <v>5360</v>
      </c>
      <c r="H35" s="439">
        <f>ROUND(G35+19*8.8,0)</f>
        <v>5527</v>
      </c>
    </row>
    <row r="36" spans="1:8" s="434" customFormat="1" x14ac:dyDescent="0.25">
      <c r="A36" s="102"/>
      <c r="B36" s="438" t="s">
        <v>1364</v>
      </c>
      <c r="C36" s="439"/>
      <c r="D36" s="440"/>
      <c r="E36" s="439"/>
      <c r="F36" s="439">
        <v>513</v>
      </c>
      <c r="G36" s="439">
        <f>F36</f>
        <v>513</v>
      </c>
      <c r="H36" s="439">
        <f>G36</f>
        <v>513</v>
      </c>
    </row>
    <row r="37" spans="1:8" ht="37.5" x14ac:dyDescent="0.25">
      <c r="A37" s="102"/>
      <c r="B37" s="438" t="s">
        <v>1152</v>
      </c>
      <c r="C37" s="439">
        <v>6</v>
      </c>
      <c r="D37" s="439">
        <v>6</v>
      </c>
      <c r="E37" s="439"/>
      <c r="F37" s="439">
        <v>356</v>
      </c>
      <c r="G37" s="439">
        <f>ROUND(F37+2*8.8,0)</f>
        <v>374</v>
      </c>
      <c r="H37" s="439">
        <f>ROUND(G37+2*8.8,0)</f>
        <v>392</v>
      </c>
    </row>
    <row r="38" spans="1:8" ht="37.5" x14ac:dyDescent="0.25">
      <c r="A38" s="102" t="s">
        <v>54</v>
      </c>
      <c r="B38" s="438" t="s">
        <v>1603</v>
      </c>
      <c r="C38" s="439">
        <v>57</v>
      </c>
      <c r="D38" s="439"/>
      <c r="E38" s="440">
        <v>1200</v>
      </c>
      <c r="F38" s="440">
        <f>C38*20</f>
        <v>1140</v>
      </c>
      <c r="G38" s="440">
        <f>F38</f>
        <v>1140</v>
      </c>
      <c r="H38" s="440">
        <f>G38</f>
        <v>1140</v>
      </c>
    </row>
    <row r="39" spans="1:8" x14ac:dyDescent="0.25">
      <c r="A39" s="102" t="s">
        <v>55</v>
      </c>
      <c r="B39" s="438" t="s">
        <v>1092</v>
      </c>
      <c r="C39" s="439"/>
      <c r="D39" s="439"/>
      <c r="E39" s="440">
        <f>SUM(E40:E41)</f>
        <v>130</v>
      </c>
      <c r="F39" s="440">
        <f>SUM(F40:F41)</f>
        <v>114</v>
      </c>
      <c r="G39" s="440">
        <f>SUM(G40:G41)</f>
        <v>114</v>
      </c>
      <c r="H39" s="440">
        <f>SUM(H40:H41)</f>
        <v>114</v>
      </c>
    </row>
    <row r="40" spans="1:8" x14ac:dyDescent="0.25">
      <c r="A40" s="102"/>
      <c r="B40" s="438" t="s">
        <v>969</v>
      </c>
      <c r="C40" s="439"/>
      <c r="D40" s="439"/>
      <c r="E40" s="439">
        <v>120</v>
      </c>
      <c r="F40" s="439">
        <v>114</v>
      </c>
      <c r="G40" s="439">
        <f>F40</f>
        <v>114</v>
      </c>
      <c r="H40" s="439">
        <f>G40</f>
        <v>114</v>
      </c>
    </row>
    <row r="41" spans="1:8" x14ac:dyDescent="0.25">
      <c r="A41" s="102"/>
      <c r="B41" s="438" t="s">
        <v>968</v>
      </c>
      <c r="C41" s="439"/>
      <c r="D41" s="439"/>
      <c r="E41" s="439">
        <v>10</v>
      </c>
      <c r="F41" s="439"/>
      <c r="G41" s="439"/>
      <c r="H41" s="439"/>
    </row>
    <row r="42" spans="1:8" s="50" customFormat="1" x14ac:dyDescent="0.25">
      <c r="A42" s="101">
        <v>2</v>
      </c>
      <c r="B42" s="442" t="s">
        <v>11</v>
      </c>
      <c r="C42" s="443"/>
      <c r="D42" s="443"/>
      <c r="E42" s="453">
        <f>SUM(E43:E48)</f>
        <v>420</v>
      </c>
      <c r="F42" s="453">
        <f>SUM(F43:F48)</f>
        <v>418</v>
      </c>
      <c r="G42" s="453">
        <f>SUM(G43:G48)</f>
        <v>173</v>
      </c>
      <c r="H42" s="453">
        <f>SUM(H43:H48)</f>
        <v>218</v>
      </c>
    </row>
    <row r="43" spans="1:8" s="434" customFormat="1" x14ac:dyDescent="0.25">
      <c r="A43" s="102" t="s">
        <v>99</v>
      </c>
      <c r="B43" s="438" t="s">
        <v>482</v>
      </c>
      <c r="C43" s="439"/>
      <c r="D43" s="439"/>
      <c r="E43" s="440">
        <v>15</v>
      </c>
      <c r="F43" s="440">
        <v>15</v>
      </c>
      <c r="G43" s="440">
        <f>F43</f>
        <v>15</v>
      </c>
      <c r="H43" s="440">
        <f>G43</f>
        <v>15</v>
      </c>
    </row>
    <row r="44" spans="1:8" s="434" customFormat="1" x14ac:dyDescent="0.25">
      <c r="A44" s="102" t="s">
        <v>99</v>
      </c>
      <c r="B44" s="438" t="s">
        <v>1352</v>
      </c>
      <c r="C44" s="439"/>
      <c r="D44" s="439"/>
      <c r="E44" s="440">
        <v>60</v>
      </c>
      <c r="F44" s="440">
        <f>E44+45</f>
        <v>105</v>
      </c>
      <c r="G44" s="440">
        <f>E44</f>
        <v>60</v>
      </c>
      <c r="H44" s="440">
        <f>F44</f>
        <v>105</v>
      </c>
    </row>
    <row r="45" spans="1:8" s="434" customFormat="1" x14ac:dyDescent="0.25">
      <c r="A45" s="102" t="s">
        <v>99</v>
      </c>
      <c r="B45" s="438" t="s">
        <v>183</v>
      </c>
      <c r="C45" s="439"/>
      <c r="D45" s="439"/>
      <c r="E45" s="440"/>
      <c r="F45" s="440"/>
      <c r="G45" s="440"/>
      <c r="H45" s="440"/>
    </row>
    <row r="46" spans="1:8" s="434" customFormat="1" ht="37.5" x14ac:dyDescent="0.25">
      <c r="A46" s="102" t="s">
        <v>99</v>
      </c>
      <c r="B46" s="438" t="s">
        <v>1607</v>
      </c>
      <c r="C46" s="439"/>
      <c r="D46" s="439"/>
      <c r="E46" s="440">
        <v>98</v>
      </c>
      <c r="F46" s="440">
        <f>E46</f>
        <v>98</v>
      </c>
      <c r="G46" s="440">
        <f>F46</f>
        <v>98</v>
      </c>
      <c r="H46" s="440">
        <f>G46</f>
        <v>98</v>
      </c>
    </row>
    <row r="47" spans="1:8" s="434" customFormat="1" ht="37.5" x14ac:dyDescent="0.25">
      <c r="A47" s="102" t="s">
        <v>99</v>
      </c>
      <c r="B47" s="438" t="s">
        <v>1608</v>
      </c>
      <c r="C47" s="439"/>
      <c r="D47" s="439"/>
      <c r="E47" s="440">
        <v>247</v>
      </c>
      <c r="F47" s="440"/>
      <c r="G47" s="440"/>
      <c r="H47" s="440"/>
    </row>
    <row r="48" spans="1:8" s="434" customFormat="1" ht="56.25" x14ac:dyDescent="0.25">
      <c r="A48" s="102" t="s">
        <v>99</v>
      </c>
      <c r="B48" s="438" t="s">
        <v>1609</v>
      </c>
      <c r="C48" s="439"/>
      <c r="D48" s="439"/>
      <c r="E48" s="440"/>
      <c r="F48" s="440">
        <v>200</v>
      </c>
      <c r="G48" s="440"/>
      <c r="H48" s="440"/>
    </row>
    <row r="49" spans="1:9" s="50" customFormat="1" x14ac:dyDescent="0.25">
      <c r="A49" s="101" t="s">
        <v>52</v>
      </c>
      <c r="B49" s="442" t="s">
        <v>659</v>
      </c>
      <c r="C49" s="443"/>
      <c r="D49" s="443"/>
      <c r="E49" s="453">
        <f>E50+E61</f>
        <v>37343</v>
      </c>
      <c r="F49" s="453">
        <f>F50+F61</f>
        <v>40000</v>
      </c>
      <c r="G49" s="453">
        <f>G50+G61</f>
        <v>40467</v>
      </c>
      <c r="H49" s="453">
        <f>H50+H61</f>
        <v>40898</v>
      </c>
    </row>
    <row r="50" spans="1:9" s="50" customFormat="1" hidden="1" x14ac:dyDescent="0.25">
      <c r="A50" s="101">
        <v>1</v>
      </c>
      <c r="B50" s="442" t="s">
        <v>1611</v>
      </c>
      <c r="C50" s="443"/>
      <c r="D50" s="443"/>
      <c r="E50" s="453">
        <f>+E54-E57</f>
        <v>17660</v>
      </c>
      <c r="F50" s="453">
        <f t="shared" ref="F50:H50" si="1">+F54-F57</f>
        <v>18700</v>
      </c>
      <c r="G50" s="453">
        <f t="shared" si="1"/>
        <v>19167</v>
      </c>
      <c r="H50" s="453">
        <f t="shared" si="1"/>
        <v>19598</v>
      </c>
      <c r="I50" s="143"/>
    </row>
    <row r="51" spans="1:9" x14ac:dyDescent="0.25">
      <c r="A51" s="102"/>
      <c r="B51" s="438" t="s">
        <v>657</v>
      </c>
      <c r="C51" s="439">
        <v>197</v>
      </c>
      <c r="D51" s="439">
        <v>136</v>
      </c>
      <c r="E51" s="440"/>
      <c r="F51" s="440"/>
      <c r="G51" s="440"/>
      <c r="H51" s="440"/>
    </row>
    <row r="52" spans="1:9" x14ac:dyDescent="0.25">
      <c r="A52" s="102"/>
      <c r="B52" s="438" t="s">
        <v>658</v>
      </c>
      <c r="C52" s="439">
        <v>52</v>
      </c>
      <c r="D52" s="439">
        <v>45</v>
      </c>
      <c r="E52" s="440"/>
      <c r="F52" s="440"/>
      <c r="G52" s="440"/>
      <c r="H52" s="440"/>
    </row>
    <row r="53" spans="1:9" ht="56.25" x14ac:dyDescent="0.25">
      <c r="A53" s="102"/>
      <c r="B53" s="438" t="s">
        <v>1620</v>
      </c>
      <c r="C53" s="439"/>
      <c r="D53" s="439"/>
      <c r="E53" s="440">
        <v>3046</v>
      </c>
      <c r="F53" s="440">
        <v>2613</v>
      </c>
      <c r="G53" s="440">
        <f>F53</f>
        <v>2613</v>
      </c>
      <c r="H53" s="440">
        <f>G53</f>
        <v>2613</v>
      </c>
    </row>
    <row r="54" spans="1:9" ht="56.25" hidden="1" x14ac:dyDescent="0.25">
      <c r="A54" s="102" t="s">
        <v>53</v>
      </c>
      <c r="B54" s="438" t="s">
        <v>1610</v>
      </c>
      <c r="C54" s="439"/>
      <c r="D54" s="439"/>
      <c r="E54" s="440">
        <f>SUM(E55:E56)</f>
        <v>18135</v>
      </c>
      <c r="F54" s="440">
        <f t="shared" ref="F54:H54" si="2">SUM(F55:F56)</f>
        <v>19211</v>
      </c>
      <c r="G54" s="440">
        <f t="shared" si="2"/>
        <v>19642</v>
      </c>
      <c r="H54" s="440">
        <f t="shared" si="2"/>
        <v>20073</v>
      </c>
    </row>
    <row r="55" spans="1:9" s="87" customFormat="1" ht="37.5" hidden="1" x14ac:dyDescent="0.25">
      <c r="A55" s="195"/>
      <c r="B55" s="85" t="s">
        <v>40</v>
      </c>
      <c r="C55" s="86"/>
      <c r="D55" s="86"/>
      <c r="E55" s="184">
        <f>2400+12087</f>
        <v>14487</v>
      </c>
      <c r="F55" s="184">
        <v>15468</v>
      </c>
      <c r="G55" s="86">
        <f>ROUND((F55+197*0.3*7.3),0)</f>
        <v>15899</v>
      </c>
      <c r="H55" s="86">
        <f>ROUND((G55+197*0.3*7.3),0)</f>
        <v>16330</v>
      </c>
      <c r="I55" s="291"/>
    </row>
    <row r="56" spans="1:9" s="87" customFormat="1" ht="37.5" hidden="1" x14ac:dyDescent="0.25">
      <c r="A56" s="195"/>
      <c r="B56" s="85" t="s">
        <v>1617</v>
      </c>
      <c r="C56" s="86">
        <v>197</v>
      </c>
      <c r="D56" s="86"/>
      <c r="E56" s="184">
        <f>147*19+855</f>
        <v>3648</v>
      </c>
      <c r="F56" s="184">
        <f>C56*19</f>
        <v>3743</v>
      </c>
      <c r="G56" s="184">
        <f>F56</f>
        <v>3743</v>
      </c>
      <c r="H56" s="184">
        <f>G56</f>
        <v>3743</v>
      </c>
      <c r="I56" s="291"/>
    </row>
    <row r="57" spans="1:9" hidden="1" x14ac:dyDescent="0.25">
      <c r="A57" s="102" t="s">
        <v>54</v>
      </c>
      <c r="B57" s="438" t="s">
        <v>1037</v>
      </c>
      <c r="C57" s="439"/>
      <c r="D57" s="439"/>
      <c r="E57" s="440">
        <f>SUM(E58:E59)</f>
        <v>475</v>
      </c>
      <c r="F57" s="440">
        <f t="shared" ref="F57:H57" si="3">SUM(F58:F59)</f>
        <v>511</v>
      </c>
      <c r="G57" s="440">
        <f t="shared" si="3"/>
        <v>475</v>
      </c>
      <c r="H57" s="440">
        <f t="shared" si="3"/>
        <v>475</v>
      </c>
    </row>
    <row r="58" spans="1:9" s="87" customFormat="1" hidden="1" x14ac:dyDescent="0.25">
      <c r="A58" s="195"/>
      <c r="B58" s="85" t="s">
        <v>968</v>
      </c>
      <c r="C58" s="86"/>
      <c r="D58" s="86"/>
      <c r="E58" s="184">
        <v>234</v>
      </c>
      <c r="F58" s="184">
        <v>160</v>
      </c>
      <c r="G58" s="184">
        <f>E58</f>
        <v>234</v>
      </c>
      <c r="H58" s="184">
        <f>G58</f>
        <v>234</v>
      </c>
    </row>
    <row r="59" spans="1:9" s="87" customFormat="1" hidden="1" x14ac:dyDescent="0.25">
      <c r="A59" s="195"/>
      <c r="B59" s="85" t="s">
        <v>969</v>
      </c>
      <c r="C59" s="86"/>
      <c r="D59" s="86"/>
      <c r="E59" s="184">
        <v>241</v>
      </c>
      <c r="F59" s="184">
        <v>351</v>
      </c>
      <c r="G59" s="184">
        <f>E59</f>
        <v>241</v>
      </c>
      <c r="H59" s="184">
        <f>G59</f>
        <v>241</v>
      </c>
    </row>
    <row r="60" spans="1:9" x14ac:dyDescent="0.25">
      <c r="A60" s="102">
        <v>1</v>
      </c>
      <c r="B60" s="438" t="s">
        <v>1643</v>
      </c>
      <c r="C60" s="439"/>
      <c r="D60" s="439"/>
      <c r="E60" s="440"/>
      <c r="F60" s="440"/>
      <c r="G60" s="440"/>
      <c r="H60" s="440"/>
    </row>
    <row r="61" spans="1:9" s="50" customFormat="1" hidden="1" x14ac:dyDescent="0.25">
      <c r="A61" s="101">
        <v>2</v>
      </c>
      <c r="B61" s="442" t="s">
        <v>11</v>
      </c>
      <c r="C61" s="443"/>
      <c r="D61" s="443"/>
      <c r="E61" s="453">
        <f>SUM(E62:E63)</f>
        <v>19683</v>
      </c>
      <c r="F61" s="453">
        <f>SUM(F62:F63)</f>
        <v>21300</v>
      </c>
      <c r="G61" s="453">
        <f>SUM(G62:G63)</f>
        <v>21300</v>
      </c>
      <c r="H61" s="453">
        <f>SUM(H62:H63)</f>
        <v>21300</v>
      </c>
    </row>
    <row r="62" spans="1:9" ht="93.75" x14ac:dyDescent="0.25">
      <c r="A62" s="102">
        <v>2</v>
      </c>
      <c r="B62" s="438" t="s">
        <v>1618</v>
      </c>
      <c r="C62" s="439"/>
      <c r="D62" s="439"/>
      <c r="E62" s="476">
        <v>13183</v>
      </c>
      <c r="F62" s="476">
        <f>40000-F63-F50</f>
        <v>14800</v>
      </c>
      <c r="G62" s="476">
        <f>F62</f>
        <v>14800</v>
      </c>
      <c r="H62" s="476">
        <f>G62</f>
        <v>14800</v>
      </c>
    </row>
    <row r="63" spans="1:9" x14ac:dyDescent="0.25">
      <c r="A63" s="102">
        <v>3</v>
      </c>
      <c r="B63" s="438" t="s">
        <v>1619</v>
      </c>
      <c r="C63" s="439"/>
      <c r="D63" s="439"/>
      <c r="E63" s="440">
        <v>6500</v>
      </c>
      <c r="F63" s="440">
        <f>E63</f>
        <v>6500</v>
      </c>
      <c r="G63" s="440">
        <f>E63</f>
        <v>6500</v>
      </c>
      <c r="H63" s="440">
        <f>G63</f>
        <v>6500</v>
      </c>
    </row>
    <row r="64" spans="1:9" s="50" customFormat="1" x14ac:dyDescent="0.25">
      <c r="A64" s="101" t="s">
        <v>147</v>
      </c>
      <c r="B64" s="442" t="s">
        <v>1038</v>
      </c>
      <c r="C64" s="443"/>
      <c r="D64" s="443"/>
      <c r="E64" s="453">
        <f>+E65</f>
        <v>2500</v>
      </c>
      <c r="F64" s="453">
        <f>+F65</f>
        <v>2500</v>
      </c>
      <c r="G64" s="453">
        <f>+G65</f>
        <v>0</v>
      </c>
      <c r="H64" s="453">
        <f>+H65</f>
        <v>0</v>
      </c>
    </row>
    <row r="65" spans="1:9" ht="93.75" x14ac:dyDescent="0.25">
      <c r="A65" s="102" t="s">
        <v>99</v>
      </c>
      <c r="B65" s="438" t="s">
        <v>1632</v>
      </c>
      <c r="C65" s="439"/>
      <c r="D65" s="439"/>
      <c r="E65" s="440">
        <v>2500</v>
      </c>
      <c r="F65" s="440">
        <f>E65</f>
        <v>2500</v>
      </c>
      <c r="G65" s="440"/>
      <c r="H65" s="440"/>
    </row>
    <row r="66" spans="1:9" s="50" customFormat="1" x14ac:dyDescent="0.25">
      <c r="A66" s="101" t="s">
        <v>294</v>
      </c>
      <c r="B66" s="442" t="s">
        <v>1631</v>
      </c>
      <c r="C66" s="443"/>
      <c r="D66" s="443"/>
      <c r="E66" s="453">
        <v>13397</v>
      </c>
      <c r="F66" s="453">
        <v>15000</v>
      </c>
      <c r="G66" s="453">
        <f>F66</f>
        <v>15000</v>
      </c>
      <c r="H66" s="453">
        <f>G66</f>
        <v>15000</v>
      </c>
      <c r="I66" s="49"/>
    </row>
    <row r="67" spans="1:9" s="434" customFormat="1" ht="37.5" x14ac:dyDescent="0.25">
      <c r="A67" s="102" t="s">
        <v>99</v>
      </c>
      <c r="B67" s="438" t="s">
        <v>1629</v>
      </c>
      <c r="C67" s="439"/>
      <c r="D67" s="439"/>
      <c r="E67" s="440"/>
      <c r="F67" s="476">
        <v>9686</v>
      </c>
      <c r="G67" s="440"/>
      <c r="H67" s="440"/>
    </row>
    <row r="68" spans="1:9" s="434" customFormat="1" x14ac:dyDescent="0.25">
      <c r="A68" s="102" t="s">
        <v>99</v>
      </c>
      <c r="B68" s="438" t="s">
        <v>1630</v>
      </c>
      <c r="C68" s="439"/>
      <c r="D68" s="439"/>
      <c r="E68" s="440"/>
      <c r="F68" s="476">
        <v>3500</v>
      </c>
      <c r="G68" s="440"/>
      <c r="H68" s="440"/>
    </row>
    <row r="69" spans="1:9" s="434" customFormat="1" x14ac:dyDescent="0.25">
      <c r="A69" s="102" t="s">
        <v>99</v>
      </c>
      <c r="B69" s="438" t="s">
        <v>1635</v>
      </c>
      <c r="C69" s="439"/>
      <c r="D69" s="439"/>
      <c r="E69" s="440"/>
      <c r="F69" s="476">
        <v>654</v>
      </c>
      <c r="G69" s="440"/>
      <c r="H69" s="440"/>
    </row>
    <row r="70" spans="1:9" s="434" customFormat="1" ht="37.5" x14ac:dyDescent="0.25">
      <c r="A70" s="102" t="s">
        <v>99</v>
      </c>
      <c r="B70" s="438" t="s">
        <v>1638</v>
      </c>
      <c r="C70" s="439"/>
      <c r="D70" s="439"/>
      <c r="E70" s="440"/>
      <c r="F70" s="476">
        <v>5153</v>
      </c>
      <c r="G70" s="440"/>
      <c r="H70" s="440"/>
    </row>
    <row r="71" spans="1:9" s="50" customFormat="1" x14ac:dyDescent="0.25">
      <c r="A71" s="101" t="s">
        <v>295</v>
      </c>
      <c r="B71" s="442" t="s">
        <v>348</v>
      </c>
      <c r="C71" s="443"/>
      <c r="D71" s="443"/>
      <c r="E71" s="453">
        <f>E74+E85</f>
        <v>39354</v>
      </c>
      <c r="F71" s="453">
        <f>F74+F85</f>
        <v>54704</v>
      </c>
      <c r="G71" s="453">
        <f>G74+G85</f>
        <v>10952</v>
      </c>
      <c r="H71" s="453">
        <f>H74+H85</f>
        <v>11200</v>
      </c>
    </row>
    <row r="72" spans="1:9" ht="56.25" x14ac:dyDescent="0.25">
      <c r="A72" s="102"/>
      <c r="B72" s="438" t="s">
        <v>1640</v>
      </c>
      <c r="C72" s="439"/>
      <c r="D72" s="439"/>
      <c r="E72" s="440">
        <v>2000</v>
      </c>
      <c r="F72" s="476">
        <v>1400</v>
      </c>
      <c r="G72" s="476">
        <f>F72</f>
        <v>1400</v>
      </c>
      <c r="H72" s="476">
        <f>G72</f>
        <v>1400</v>
      </c>
    </row>
    <row r="73" spans="1:9" hidden="1" x14ac:dyDescent="0.25">
      <c r="A73" s="102"/>
      <c r="B73" s="438" t="s">
        <v>611</v>
      </c>
      <c r="C73" s="439"/>
      <c r="D73" s="439"/>
      <c r="E73" s="440"/>
      <c r="F73" s="476">
        <v>500</v>
      </c>
      <c r="G73" s="476">
        <f>F73</f>
        <v>500</v>
      </c>
      <c r="H73" s="476">
        <f>G73</f>
        <v>500</v>
      </c>
    </row>
    <row r="74" spans="1:9" s="50" customFormat="1" hidden="1" x14ac:dyDescent="0.25">
      <c r="A74" s="101">
        <v>1</v>
      </c>
      <c r="B74" s="442" t="s">
        <v>1627</v>
      </c>
      <c r="C74" s="443"/>
      <c r="D74" s="443"/>
      <c r="E74" s="453">
        <f>E75+E79-E80-E83</f>
        <v>9739</v>
      </c>
      <c r="F74" s="453">
        <f t="shared" ref="F74:H74" si="4">F75+F79-F80-F83</f>
        <v>10704</v>
      </c>
      <c r="G74" s="453">
        <f t="shared" si="4"/>
        <v>10952</v>
      </c>
      <c r="H74" s="453">
        <f t="shared" si="4"/>
        <v>11200</v>
      </c>
    </row>
    <row r="75" spans="1:9" s="50" customFormat="1" ht="37.5" hidden="1" x14ac:dyDescent="0.25">
      <c r="A75" s="102" t="s">
        <v>53</v>
      </c>
      <c r="B75" s="438" t="s">
        <v>1621</v>
      </c>
      <c r="C75" s="443"/>
      <c r="D75" s="443"/>
      <c r="E75" s="440">
        <v>8680</v>
      </c>
      <c r="F75" s="440">
        <f>SUM(F76:F78)</f>
        <v>9464</v>
      </c>
      <c r="G75" s="440">
        <f>SUM(G76:G78)</f>
        <v>9712</v>
      </c>
      <c r="H75" s="440">
        <f>SUM(H76:H78)</f>
        <v>9960</v>
      </c>
    </row>
    <row r="76" spans="1:9" hidden="1" x14ac:dyDescent="0.25">
      <c r="A76" s="102"/>
      <c r="B76" s="438" t="s">
        <v>1622</v>
      </c>
      <c r="C76" s="439">
        <f>69+31</f>
        <v>100</v>
      </c>
      <c r="D76" s="439">
        <v>81</v>
      </c>
      <c r="E76" s="440"/>
      <c r="F76" s="440">
        <v>8172</v>
      </c>
      <c r="G76" s="439">
        <f>ROUND(F76+33*7.3,0)</f>
        <v>8413</v>
      </c>
      <c r="H76" s="439">
        <f>ROUND(G76+33*7.3,0)</f>
        <v>8654</v>
      </c>
      <c r="I76" s="148"/>
    </row>
    <row r="77" spans="1:9" s="434" customFormat="1" hidden="1" x14ac:dyDescent="0.25">
      <c r="A77" s="102"/>
      <c r="B77" s="438" t="s">
        <v>1623</v>
      </c>
      <c r="C77" s="439"/>
      <c r="D77" s="439"/>
      <c r="E77" s="440"/>
      <c r="F77" s="440">
        <v>982</v>
      </c>
      <c r="G77" s="439">
        <f>F77</f>
        <v>982</v>
      </c>
      <c r="H77" s="439">
        <f>G77</f>
        <v>982</v>
      </c>
      <c r="I77" s="148"/>
    </row>
    <row r="78" spans="1:9" s="434" customFormat="1" hidden="1" x14ac:dyDescent="0.25">
      <c r="A78" s="102"/>
      <c r="B78" s="438" t="s">
        <v>1624</v>
      </c>
      <c r="C78" s="439">
        <v>5</v>
      </c>
      <c r="D78" s="439">
        <v>11</v>
      </c>
      <c r="E78" s="440"/>
      <c r="F78" s="440">
        <v>310</v>
      </c>
      <c r="G78" s="439">
        <f>ROUND(F78+1*7.3,0)</f>
        <v>317</v>
      </c>
      <c r="H78" s="439">
        <f>ROUND(G78+1*7.3,0)</f>
        <v>324</v>
      </c>
      <c r="I78" s="148"/>
    </row>
    <row r="79" spans="1:9" ht="37.5" hidden="1" x14ac:dyDescent="0.25">
      <c r="A79" s="102" t="s">
        <v>54</v>
      </c>
      <c r="B79" s="438" t="s">
        <v>1625</v>
      </c>
      <c r="C79" s="439">
        <v>100</v>
      </c>
      <c r="D79" s="439"/>
      <c r="E79" s="440">
        <v>1900</v>
      </c>
      <c r="F79" s="440">
        <f>C79*19</f>
        <v>1900</v>
      </c>
      <c r="G79" s="440">
        <f>F79</f>
        <v>1900</v>
      </c>
      <c r="H79" s="440">
        <f>G79</f>
        <v>1900</v>
      </c>
    </row>
    <row r="80" spans="1:9" hidden="1" x14ac:dyDescent="0.25">
      <c r="A80" s="102" t="s">
        <v>55</v>
      </c>
      <c r="B80" s="438" t="s">
        <v>1037</v>
      </c>
      <c r="C80" s="439"/>
      <c r="D80" s="439"/>
      <c r="E80" s="440">
        <f>SUM(E81:E82)</f>
        <v>841</v>
      </c>
      <c r="F80" s="440">
        <f t="shared" ref="F80:H80" si="5">SUM(F81:F82)</f>
        <v>360</v>
      </c>
      <c r="G80" s="440">
        <f t="shared" si="5"/>
        <v>360</v>
      </c>
      <c r="H80" s="440">
        <f t="shared" si="5"/>
        <v>360</v>
      </c>
    </row>
    <row r="81" spans="1:8" hidden="1" x14ac:dyDescent="0.25">
      <c r="A81" s="102"/>
      <c r="B81" s="438" t="s">
        <v>968</v>
      </c>
      <c r="C81" s="439"/>
      <c r="D81" s="439"/>
      <c r="E81" s="440">
        <v>651</v>
      </c>
      <c r="F81" s="440">
        <f>F73*0.4</f>
        <v>200</v>
      </c>
      <c r="G81" s="440">
        <f t="shared" ref="G81:H83" si="6">F81</f>
        <v>200</v>
      </c>
      <c r="H81" s="440">
        <f t="shared" si="6"/>
        <v>200</v>
      </c>
    </row>
    <row r="82" spans="1:8" ht="37.5" hidden="1" x14ac:dyDescent="0.25">
      <c r="A82" s="102"/>
      <c r="B82" s="438" t="s">
        <v>1628</v>
      </c>
      <c r="C82" s="439"/>
      <c r="D82" s="439"/>
      <c r="E82" s="440">
        <v>190</v>
      </c>
      <c r="F82" s="440">
        <v>160</v>
      </c>
      <c r="G82" s="440">
        <f t="shared" si="6"/>
        <v>160</v>
      </c>
      <c r="H82" s="440">
        <f t="shared" si="6"/>
        <v>160</v>
      </c>
    </row>
    <row r="83" spans="1:8" s="434" customFormat="1" ht="37.5" hidden="1" x14ac:dyDescent="0.25">
      <c r="A83" s="102" t="s">
        <v>156</v>
      </c>
      <c r="B83" s="438" t="s">
        <v>1626</v>
      </c>
      <c r="C83" s="439"/>
      <c r="D83" s="439"/>
      <c r="E83" s="440"/>
      <c r="F83" s="440">
        <v>300</v>
      </c>
      <c r="G83" s="440">
        <f t="shared" si="6"/>
        <v>300</v>
      </c>
      <c r="H83" s="440">
        <f t="shared" si="6"/>
        <v>300</v>
      </c>
    </row>
    <row r="84" spans="1:8" s="434" customFormat="1" ht="37.5" x14ac:dyDescent="0.25">
      <c r="A84" s="102">
        <v>1</v>
      </c>
      <c r="B84" s="438" t="s">
        <v>1641</v>
      </c>
      <c r="C84" s="439"/>
      <c r="D84" s="439"/>
      <c r="E84" s="440"/>
      <c r="F84" s="440"/>
      <c r="G84" s="440"/>
      <c r="H84" s="440"/>
    </row>
    <row r="85" spans="1:8" s="50" customFormat="1" hidden="1" x14ac:dyDescent="0.25">
      <c r="A85" s="101">
        <v>2</v>
      </c>
      <c r="B85" s="442" t="s">
        <v>11</v>
      </c>
      <c r="C85" s="443"/>
      <c r="D85" s="443"/>
      <c r="E85" s="453">
        <f>SUM(E86:E90)</f>
        <v>29615</v>
      </c>
      <c r="F85" s="453">
        <v>44000</v>
      </c>
      <c r="G85" s="453">
        <f t="shared" ref="G85:H85" si="7">SUM(G86:G90)</f>
        <v>0</v>
      </c>
      <c r="H85" s="453">
        <f t="shared" si="7"/>
        <v>0</v>
      </c>
    </row>
    <row r="86" spans="1:8" x14ac:dyDescent="0.25">
      <c r="A86" s="102">
        <v>2</v>
      </c>
      <c r="B86" s="438" t="s">
        <v>1634</v>
      </c>
      <c r="C86" s="439"/>
      <c r="D86" s="439"/>
      <c r="E86" s="440">
        <v>25655</v>
      </c>
      <c r="F86" s="476">
        <v>27218</v>
      </c>
      <c r="G86" s="440"/>
      <c r="H86" s="440"/>
    </row>
    <row r="87" spans="1:8" s="434" customFormat="1" x14ac:dyDescent="0.25">
      <c r="A87" s="102">
        <v>3</v>
      </c>
      <c r="B87" s="438" t="s">
        <v>1636</v>
      </c>
      <c r="C87" s="439"/>
      <c r="D87" s="439"/>
      <c r="E87" s="440"/>
      <c r="F87" s="476">
        <v>1000</v>
      </c>
      <c r="G87" s="440"/>
      <c r="H87" s="440"/>
    </row>
    <row r="88" spans="1:8" s="434" customFormat="1" ht="56.25" x14ac:dyDescent="0.25">
      <c r="A88" s="102">
        <v>4</v>
      </c>
      <c r="B88" s="438" t="s">
        <v>1637</v>
      </c>
      <c r="C88" s="439"/>
      <c r="D88" s="439"/>
      <c r="E88" s="440"/>
      <c r="F88" s="476">
        <v>1000</v>
      </c>
      <c r="G88" s="440"/>
      <c r="H88" s="440"/>
    </row>
    <row r="89" spans="1:8" ht="37.5" x14ac:dyDescent="0.25">
      <c r="A89" s="102">
        <v>5</v>
      </c>
      <c r="B89" s="438" t="s">
        <v>1633</v>
      </c>
      <c r="C89" s="439"/>
      <c r="D89" s="439"/>
      <c r="E89" s="440">
        <f>2460</f>
        <v>2460</v>
      </c>
      <c r="F89" s="476">
        <v>12414</v>
      </c>
      <c r="G89" s="440"/>
      <c r="H89" s="440"/>
    </row>
    <row r="90" spans="1:8" x14ac:dyDescent="0.25">
      <c r="A90" s="102">
        <v>6</v>
      </c>
      <c r="B90" s="438" t="s">
        <v>972</v>
      </c>
      <c r="C90" s="439"/>
      <c r="D90" s="439"/>
      <c r="E90" s="440">
        <v>1500</v>
      </c>
      <c r="F90" s="440">
        <v>2000</v>
      </c>
      <c r="G90" s="440"/>
      <c r="H90" s="440"/>
    </row>
    <row r="91" spans="1:8" x14ac:dyDescent="0.25">
      <c r="A91" s="103"/>
      <c r="B91" s="445"/>
      <c r="C91" s="446"/>
      <c r="D91" s="446"/>
      <c r="E91" s="446"/>
      <c r="F91" s="446"/>
      <c r="G91" s="446"/>
      <c r="H91" s="446"/>
    </row>
    <row r="92" spans="1:8" ht="43.5" customHeight="1" x14ac:dyDescent="0.25">
      <c r="A92" s="104"/>
      <c r="B92" s="567" t="s">
        <v>1639</v>
      </c>
      <c r="C92" s="567"/>
      <c r="D92" s="567"/>
      <c r="E92" s="567"/>
      <c r="F92" s="567"/>
      <c r="G92" s="567"/>
      <c r="H92" s="567"/>
    </row>
    <row r="93" spans="1:8" s="434" customFormat="1" ht="40.5" customHeight="1" x14ac:dyDescent="0.25">
      <c r="A93" s="577" t="s">
        <v>1642</v>
      </c>
      <c r="B93" s="577"/>
      <c r="C93" s="577"/>
      <c r="D93" s="577"/>
      <c r="E93" s="577"/>
      <c r="F93" s="577"/>
      <c r="G93" s="577"/>
      <c r="H93" s="577"/>
    </row>
    <row r="94" spans="1:8" x14ac:dyDescent="0.25">
      <c r="B94" s="7" t="s">
        <v>1253</v>
      </c>
      <c r="C94" s="7"/>
      <c r="D94" s="7"/>
      <c r="E94" s="7"/>
      <c r="F94" s="7"/>
      <c r="G94" s="7"/>
      <c r="H94" s="7"/>
    </row>
    <row r="96" spans="1:8" x14ac:dyDescent="0.25">
      <c r="A96" s="568" t="s">
        <v>36</v>
      </c>
      <c r="B96" s="568"/>
      <c r="D96" s="568" t="s">
        <v>37</v>
      </c>
      <c r="E96" s="568"/>
      <c r="F96" s="568"/>
      <c r="G96" s="568"/>
      <c r="H96" s="568"/>
    </row>
  </sheetData>
  <mergeCells count="20">
    <mergeCell ref="B92:H92"/>
    <mergeCell ref="A96:B96"/>
    <mergeCell ref="D96:H96"/>
    <mergeCell ref="C22:H22"/>
    <mergeCell ref="C23:H23"/>
    <mergeCell ref="C24:H24"/>
    <mergeCell ref="B25:H25"/>
    <mergeCell ref="A93:H93"/>
    <mergeCell ref="C21:H21"/>
    <mergeCell ref="A1:H1"/>
    <mergeCell ref="B3:H3"/>
    <mergeCell ref="C6:H6"/>
    <mergeCell ref="C7:H7"/>
    <mergeCell ref="C8:H8"/>
    <mergeCell ref="C9:H9"/>
    <mergeCell ref="C10:H10"/>
    <mergeCell ref="C16:H16"/>
    <mergeCell ref="C18:H18"/>
    <mergeCell ref="C19:H19"/>
    <mergeCell ref="C20:H20"/>
  </mergeCells>
  <printOptions horizontalCentered="1"/>
  <pageMargins left="0" right="0" top="1" bottom="0.75" header="0.31496062992126" footer="0.31496062992126"/>
  <pageSetup paperSize="9" scale="93" orientation="portrait" r:id="rId1"/>
  <headerFooter>
    <oddFooter>&amp;C&amp;P/&amp;N</oddFooter>
  </headerFooter>
  <legacyDrawing r:id="rId2"/>
</worksheet>
</file>

<file path=xl/worksheets/sheet3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141"/>
  <sheetViews>
    <sheetView topLeftCell="A130" zoomScale="115" zoomScaleNormal="115" workbookViewId="0">
      <selection activeCell="B102" sqref="B102"/>
    </sheetView>
  </sheetViews>
  <sheetFormatPr defaultRowHeight="18.75" x14ac:dyDescent="0.25"/>
  <cols>
    <col min="1" max="1" width="4.85546875" style="418" customWidth="1"/>
    <col min="2" max="2" width="43.28515625" style="418" customWidth="1"/>
    <col min="3" max="4" width="7.85546875" style="418" customWidth="1"/>
    <col min="5" max="8" width="11.7109375" style="418" customWidth="1"/>
    <col min="9" max="9" width="10" style="418" bestFit="1" customWidth="1"/>
    <col min="10" max="16384" width="9.140625" style="418"/>
  </cols>
  <sheetData>
    <row r="1" spans="1:8" ht="41.25" customHeight="1" x14ac:dyDescent="0.25">
      <c r="A1" s="578" t="s">
        <v>1074</v>
      </c>
      <c r="B1" s="550"/>
      <c r="C1" s="550"/>
      <c r="D1" s="550"/>
      <c r="E1" s="550"/>
      <c r="F1" s="550"/>
      <c r="G1" s="550"/>
      <c r="H1" s="550"/>
    </row>
    <row r="2" spans="1:8" x14ac:dyDescent="0.25">
      <c r="A2" s="417"/>
      <c r="B2" s="417"/>
      <c r="C2" s="417"/>
      <c r="D2" s="413"/>
      <c r="E2" s="413"/>
      <c r="F2" s="413"/>
      <c r="G2" s="413"/>
      <c r="H2" s="413"/>
    </row>
    <row r="3" spans="1:8" ht="40.5" customHeight="1" x14ac:dyDescent="0.25">
      <c r="B3" s="565" t="s">
        <v>1651</v>
      </c>
      <c r="C3" s="565"/>
      <c r="D3" s="565"/>
      <c r="E3" s="565"/>
      <c r="F3" s="565"/>
      <c r="G3" s="565"/>
      <c r="H3" s="565"/>
    </row>
    <row r="4" spans="1:8" x14ac:dyDescent="0.25">
      <c r="B4" s="418" t="s">
        <v>39</v>
      </c>
      <c r="D4" s="419"/>
      <c r="E4" s="419"/>
      <c r="F4" s="419"/>
      <c r="G4" s="419"/>
      <c r="H4" s="419"/>
    </row>
    <row r="5" spans="1:8" s="417" customFormat="1" x14ac:dyDescent="0.25">
      <c r="B5" s="415" t="s">
        <v>18</v>
      </c>
    </row>
    <row r="6" spans="1:8" s="417" customFormat="1" hidden="1" x14ac:dyDescent="0.25">
      <c r="B6" s="414" t="s">
        <v>955</v>
      </c>
      <c r="C6" s="418" t="s">
        <v>212</v>
      </c>
    </row>
    <row r="7" spans="1:8" x14ac:dyDescent="0.25">
      <c r="B7" s="414" t="s">
        <v>23</v>
      </c>
      <c r="C7" s="558" t="s">
        <v>176</v>
      </c>
      <c r="D7" s="558"/>
      <c r="E7" s="558"/>
      <c r="F7" s="558"/>
      <c r="G7" s="558"/>
      <c r="H7" s="558"/>
    </row>
    <row r="8" spans="1:8" x14ac:dyDescent="0.25">
      <c r="A8" s="414"/>
      <c r="B8" s="414" t="s">
        <v>19</v>
      </c>
      <c r="C8" s="558" t="s">
        <v>50</v>
      </c>
      <c r="D8" s="558"/>
      <c r="E8" s="558"/>
      <c r="F8" s="558"/>
      <c r="G8" s="558"/>
      <c r="H8" s="558"/>
    </row>
    <row r="9" spans="1:8" hidden="1" x14ac:dyDescent="0.25">
      <c r="A9" s="414"/>
      <c r="B9" s="414" t="s">
        <v>90</v>
      </c>
      <c r="C9" s="558" t="s">
        <v>60</v>
      </c>
      <c r="D9" s="558"/>
      <c r="E9" s="558"/>
      <c r="F9" s="558"/>
      <c r="G9" s="558"/>
      <c r="H9" s="558"/>
    </row>
    <row r="10" spans="1:8" x14ac:dyDescent="0.25">
      <c r="A10" s="414"/>
      <c r="B10" s="414" t="s">
        <v>59</v>
      </c>
      <c r="C10" s="558" t="s">
        <v>60</v>
      </c>
      <c r="D10" s="558"/>
      <c r="E10" s="558"/>
      <c r="F10" s="558"/>
      <c r="G10" s="558"/>
      <c r="H10" s="558"/>
    </row>
    <row r="11" spans="1:8" hidden="1" x14ac:dyDescent="0.25">
      <c r="A11" s="414"/>
      <c r="B11" s="414" t="s">
        <v>20</v>
      </c>
      <c r="C11" s="558" t="s">
        <v>86</v>
      </c>
      <c r="D11" s="558"/>
      <c r="E11" s="558"/>
      <c r="F11" s="558"/>
      <c r="G11" s="558"/>
      <c r="H11" s="558"/>
    </row>
    <row r="12" spans="1:8" x14ac:dyDescent="0.25">
      <c r="A12" s="414"/>
      <c r="B12" s="414" t="s">
        <v>1205</v>
      </c>
      <c r="C12" s="479" t="s">
        <v>87</v>
      </c>
      <c r="D12" s="479"/>
      <c r="E12" s="479"/>
      <c r="F12" s="479"/>
      <c r="G12" s="479"/>
      <c r="H12" s="479"/>
    </row>
    <row r="13" spans="1:8" x14ac:dyDescent="0.25">
      <c r="A13" s="414"/>
      <c r="B13" s="414" t="s">
        <v>306</v>
      </c>
      <c r="C13" s="479" t="s">
        <v>88</v>
      </c>
      <c r="D13" s="479"/>
      <c r="E13" s="479"/>
      <c r="F13" s="479"/>
      <c r="G13" s="479"/>
      <c r="H13" s="479"/>
    </row>
    <row r="14" spans="1:8" hidden="1" x14ac:dyDescent="0.25">
      <c r="A14" s="414"/>
      <c r="B14" s="414" t="s">
        <v>94</v>
      </c>
      <c r="C14" s="479" t="s">
        <v>95</v>
      </c>
      <c r="D14" s="479"/>
      <c r="E14" s="479"/>
      <c r="F14" s="479"/>
      <c r="G14" s="479"/>
      <c r="H14" s="479"/>
    </row>
    <row r="15" spans="1:8" x14ac:dyDescent="0.25">
      <c r="A15" s="414"/>
      <c r="B15" s="414"/>
      <c r="C15" s="479"/>
      <c r="D15" s="479"/>
      <c r="E15" s="479"/>
      <c r="F15" s="479"/>
      <c r="G15" s="479"/>
      <c r="H15" s="479"/>
    </row>
    <row r="16" spans="1:8" hidden="1" x14ac:dyDescent="0.25">
      <c r="A16" s="414"/>
      <c r="B16" s="414" t="s">
        <v>21</v>
      </c>
      <c r="C16" s="558"/>
      <c r="D16" s="558"/>
      <c r="E16" s="558"/>
      <c r="F16" s="558"/>
      <c r="G16" s="558"/>
      <c r="H16" s="558"/>
    </row>
    <row r="17" spans="1:8" s="417" customFormat="1" x14ac:dyDescent="0.25">
      <c r="A17" s="415"/>
      <c r="B17" s="415" t="s">
        <v>398</v>
      </c>
      <c r="C17" s="415"/>
      <c r="D17" s="415"/>
      <c r="E17" s="415"/>
      <c r="F17" s="415"/>
      <c r="G17" s="415"/>
      <c r="H17" s="415"/>
    </row>
    <row r="18" spans="1:8" x14ac:dyDescent="0.25">
      <c r="A18" s="414"/>
      <c r="B18" s="414" t="s">
        <v>400</v>
      </c>
      <c r="C18" s="558" t="s">
        <v>212</v>
      </c>
      <c r="D18" s="558"/>
      <c r="E18" s="558"/>
      <c r="F18" s="558"/>
      <c r="G18" s="558"/>
      <c r="H18" s="558"/>
    </row>
    <row r="19" spans="1:8" hidden="1" x14ac:dyDescent="0.25">
      <c r="A19" s="414"/>
      <c r="B19" s="414" t="s">
        <v>956</v>
      </c>
      <c r="C19" s="414" t="s">
        <v>957</v>
      </c>
      <c r="D19" s="414"/>
      <c r="E19" s="414"/>
      <c r="F19" s="414"/>
      <c r="G19" s="414"/>
      <c r="H19" s="414"/>
    </row>
    <row r="20" spans="1:8" x14ac:dyDescent="0.25">
      <c r="A20" s="414"/>
      <c r="B20" s="414" t="s">
        <v>402</v>
      </c>
      <c r="C20" s="414" t="s">
        <v>404</v>
      </c>
      <c r="D20" s="414"/>
      <c r="E20" s="414"/>
      <c r="F20" s="414"/>
      <c r="G20" s="414"/>
      <c r="H20" s="414"/>
    </row>
    <row r="21" spans="1:8" x14ac:dyDescent="0.25">
      <c r="A21" s="414"/>
      <c r="B21" s="414" t="s">
        <v>958</v>
      </c>
      <c r="C21" s="414" t="s">
        <v>404</v>
      </c>
      <c r="D21" s="414"/>
      <c r="E21" s="414"/>
      <c r="F21" s="414"/>
      <c r="G21" s="414"/>
      <c r="H21" s="414"/>
    </row>
    <row r="22" spans="1:8" x14ac:dyDescent="0.25">
      <c r="A22" s="414"/>
      <c r="B22" s="414" t="s">
        <v>1660</v>
      </c>
      <c r="C22" s="414" t="s">
        <v>1661</v>
      </c>
      <c r="D22" s="414"/>
      <c r="E22" s="414"/>
      <c r="F22" s="414"/>
      <c r="G22" s="414"/>
      <c r="H22" s="414"/>
    </row>
    <row r="23" spans="1:8" x14ac:dyDescent="0.25">
      <c r="A23" s="414"/>
      <c r="B23" s="414" t="s">
        <v>1659</v>
      </c>
      <c r="C23" s="414" t="s">
        <v>108</v>
      </c>
      <c r="D23" s="414"/>
      <c r="E23" s="414"/>
      <c r="F23" s="414"/>
      <c r="G23" s="414"/>
      <c r="H23" s="414"/>
    </row>
    <row r="24" spans="1:8" hidden="1" x14ac:dyDescent="0.25">
      <c r="A24" s="414"/>
      <c r="B24" s="414" t="s">
        <v>21</v>
      </c>
      <c r="C24" s="558" t="s">
        <v>108</v>
      </c>
      <c r="D24" s="558"/>
      <c r="E24" s="558"/>
      <c r="F24" s="558"/>
      <c r="G24" s="558"/>
      <c r="H24" s="558"/>
    </row>
    <row r="25" spans="1:8" hidden="1" x14ac:dyDescent="0.25">
      <c r="A25" s="414"/>
      <c r="B25" s="414" t="s">
        <v>21</v>
      </c>
      <c r="C25" s="558" t="s">
        <v>108</v>
      </c>
      <c r="D25" s="558"/>
      <c r="E25" s="558"/>
      <c r="F25" s="558"/>
      <c r="G25" s="558"/>
      <c r="H25" s="558"/>
    </row>
    <row r="26" spans="1:8" hidden="1" x14ac:dyDescent="0.25">
      <c r="A26" s="414"/>
      <c r="B26" s="414" t="s">
        <v>21</v>
      </c>
      <c r="C26" s="558" t="s">
        <v>108</v>
      </c>
      <c r="D26" s="558"/>
      <c r="E26" s="558"/>
      <c r="F26" s="558"/>
      <c r="G26" s="558"/>
      <c r="H26" s="558"/>
    </row>
    <row r="27" spans="1:8" hidden="1" x14ac:dyDescent="0.25">
      <c r="A27" s="414"/>
      <c r="B27" s="414" t="s">
        <v>20</v>
      </c>
      <c r="C27" s="558" t="s">
        <v>108</v>
      </c>
      <c r="D27" s="558"/>
      <c r="E27" s="558"/>
      <c r="F27" s="558"/>
      <c r="G27" s="558"/>
      <c r="H27" s="558"/>
    </row>
    <row r="28" spans="1:8" ht="39.75" customHeight="1" x14ac:dyDescent="0.25">
      <c r="A28" s="414"/>
      <c r="B28" s="556" t="s">
        <v>1073</v>
      </c>
      <c r="C28" s="556"/>
      <c r="D28" s="556"/>
      <c r="E28" s="556"/>
      <c r="F28" s="556"/>
      <c r="G28" s="556"/>
      <c r="H28" s="556"/>
    </row>
    <row r="29" spans="1:8" x14ac:dyDescent="0.25">
      <c r="A29" s="416"/>
      <c r="H29" s="416" t="s">
        <v>61</v>
      </c>
    </row>
    <row r="30" spans="1:8" s="477" customFormat="1" ht="75" x14ac:dyDescent="0.25">
      <c r="A30" s="478" t="s">
        <v>62</v>
      </c>
      <c r="B30" s="478" t="s">
        <v>2</v>
      </c>
      <c r="C30" s="478" t="s">
        <v>17</v>
      </c>
      <c r="D30" s="480" t="s">
        <v>464</v>
      </c>
      <c r="E30" s="504" t="s">
        <v>1099</v>
      </c>
      <c r="F30" s="478" t="s">
        <v>9</v>
      </c>
      <c r="G30" s="478" t="s">
        <v>461</v>
      </c>
      <c r="H30" s="478" t="s">
        <v>1046</v>
      </c>
    </row>
    <row r="31" spans="1:8" s="417" customFormat="1" x14ac:dyDescent="0.25">
      <c r="A31" s="478"/>
      <c r="B31" s="478" t="s">
        <v>1712</v>
      </c>
      <c r="C31" s="431"/>
      <c r="D31" s="431"/>
      <c r="E31" s="505">
        <f>E32+E48+E134</f>
        <v>430861</v>
      </c>
      <c r="F31" s="505">
        <f>F32+F48+F134</f>
        <v>493023.44</v>
      </c>
      <c r="G31" s="431">
        <f>G32+G48+G134</f>
        <v>462321</v>
      </c>
      <c r="H31" s="431">
        <f>H32+H48+H134</f>
        <v>470352</v>
      </c>
    </row>
    <row r="32" spans="1:8" s="417" customFormat="1" x14ac:dyDescent="0.25">
      <c r="A32" s="420" t="s">
        <v>6</v>
      </c>
      <c r="B32" s="421" t="s">
        <v>373</v>
      </c>
      <c r="C32" s="427"/>
      <c r="D32" s="427"/>
      <c r="E32" s="427">
        <f>E33+E40</f>
        <v>9140</v>
      </c>
      <c r="F32" s="427">
        <f t="shared" ref="F32:H32" si="0">F33+F40</f>
        <v>8478</v>
      </c>
      <c r="G32" s="427">
        <f t="shared" si="0"/>
        <v>8532</v>
      </c>
      <c r="H32" s="427">
        <f t="shared" si="0"/>
        <v>8700</v>
      </c>
    </row>
    <row r="33" spans="1:8" s="417" customFormat="1" ht="21" customHeight="1" x14ac:dyDescent="0.25">
      <c r="A33" s="424" t="s">
        <v>51</v>
      </c>
      <c r="B33" s="425" t="s">
        <v>1078</v>
      </c>
      <c r="C33" s="429"/>
      <c r="D33" s="429"/>
      <c r="E33" s="429">
        <f>+E34+E38-E39</f>
        <v>8123</v>
      </c>
      <c r="F33" s="429">
        <f>+F34+F38-F39</f>
        <v>7994</v>
      </c>
      <c r="G33" s="429">
        <f>+G34+G38-G39</f>
        <v>8162</v>
      </c>
      <c r="H33" s="429">
        <f>+H34+H38-H39</f>
        <v>8330</v>
      </c>
    </row>
    <row r="34" spans="1:8" ht="56.25" x14ac:dyDescent="0.25">
      <c r="A34" s="422">
        <v>1</v>
      </c>
      <c r="B34" s="423" t="s">
        <v>1341</v>
      </c>
      <c r="C34" s="428"/>
      <c r="D34" s="428"/>
      <c r="E34" s="428">
        <f>SUM(E35:E37)</f>
        <v>7079</v>
      </c>
      <c r="F34" s="428">
        <f>SUM(F35:F37)</f>
        <v>6968</v>
      </c>
      <c r="G34" s="428">
        <f>SUM(G35:G37)</f>
        <v>7136</v>
      </c>
      <c r="H34" s="428">
        <f>SUM(H35:H37)</f>
        <v>7304</v>
      </c>
    </row>
    <row r="35" spans="1:8" x14ac:dyDescent="0.25">
      <c r="A35" s="422"/>
      <c r="B35" s="423" t="s">
        <v>1652</v>
      </c>
      <c r="C35" s="428">
        <v>57</v>
      </c>
      <c r="D35" s="433">
        <v>52</v>
      </c>
      <c r="E35" s="428">
        <v>6756</v>
      </c>
      <c r="F35" s="428">
        <v>6358</v>
      </c>
      <c r="G35" s="428">
        <f>ROUND(F35+17*8.8,0)</f>
        <v>6508</v>
      </c>
      <c r="H35" s="428">
        <f>ROUND(G35+17*8.8,0)</f>
        <v>6658</v>
      </c>
    </row>
    <row r="36" spans="1:8" x14ac:dyDescent="0.25">
      <c r="A36" s="422"/>
      <c r="B36" s="423" t="s">
        <v>1119</v>
      </c>
      <c r="C36" s="428"/>
      <c r="D36" s="433"/>
      <c r="E36" s="428"/>
      <c r="F36" s="428">
        <v>258</v>
      </c>
      <c r="G36" s="428">
        <f>F36</f>
        <v>258</v>
      </c>
      <c r="H36" s="428">
        <f>G36</f>
        <v>258</v>
      </c>
    </row>
    <row r="37" spans="1:8" ht="37.5" x14ac:dyDescent="0.25">
      <c r="A37" s="422"/>
      <c r="B37" s="423" t="s">
        <v>1096</v>
      </c>
      <c r="C37" s="428">
        <v>6</v>
      </c>
      <c r="D37" s="428">
        <v>6</v>
      </c>
      <c r="E37" s="428">
        <v>323</v>
      </c>
      <c r="F37" s="428">
        <v>352</v>
      </c>
      <c r="G37" s="428">
        <f>ROUND(F37+2*8.8,0)</f>
        <v>370</v>
      </c>
      <c r="H37" s="428">
        <f>ROUND(G37+2*8.8,0)</f>
        <v>388</v>
      </c>
    </row>
    <row r="38" spans="1:8" ht="37.5" x14ac:dyDescent="0.25">
      <c r="A38" s="422">
        <v>2</v>
      </c>
      <c r="B38" s="423" t="s">
        <v>1603</v>
      </c>
      <c r="C38" s="428">
        <v>57</v>
      </c>
      <c r="D38" s="428"/>
      <c r="E38" s="433">
        <v>1160</v>
      </c>
      <c r="F38" s="433">
        <f>C38*20</f>
        <v>1140</v>
      </c>
      <c r="G38" s="433">
        <f>F38</f>
        <v>1140</v>
      </c>
      <c r="H38" s="433">
        <f>G38</f>
        <v>1140</v>
      </c>
    </row>
    <row r="39" spans="1:8" ht="37.5" x14ac:dyDescent="0.25">
      <c r="A39" s="422">
        <v>3</v>
      </c>
      <c r="B39" s="423" t="s">
        <v>103</v>
      </c>
      <c r="C39" s="428"/>
      <c r="D39" s="428"/>
      <c r="E39" s="428">
        <v>116</v>
      </c>
      <c r="F39" s="428">
        <v>114</v>
      </c>
      <c r="G39" s="428">
        <f>F39</f>
        <v>114</v>
      </c>
      <c r="H39" s="428">
        <f>G39</f>
        <v>114</v>
      </c>
    </row>
    <row r="40" spans="1:8" s="50" customFormat="1" x14ac:dyDescent="0.25">
      <c r="A40" s="441" t="s">
        <v>52</v>
      </c>
      <c r="B40" s="442" t="s">
        <v>11</v>
      </c>
      <c r="C40" s="443"/>
      <c r="D40" s="443"/>
      <c r="E40" s="443">
        <f>SUM(E41:E47)</f>
        <v>1017</v>
      </c>
      <c r="F40" s="443">
        <f t="shared" ref="F40:H40" si="1">SUM(F41:F47)</f>
        <v>484</v>
      </c>
      <c r="G40" s="443">
        <f t="shared" si="1"/>
        <v>370</v>
      </c>
      <c r="H40" s="443">
        <f t="shared" si="1"/>
        <v>370</v>
      </c>
    </row>
    <row r="41" spans="1:8" s="434" customFormat="1" x14ac:dyDescent="0.25">
      <c r="A41" s="437" t="s">
        <v>99</v>
      </c>
      <c r="B41" s="438" t="s">
        <v>399</v>
      </c>
      <c r="C41" s="439"/>
      <c r="D41" s="439"/>
      <c r="E41" s="439">
        <v>300</v>
      </c>
      <c r="F41" s="439">
        <f>E41</f>
        <v>300</v>
      </c>
      <c r="G41" s="439">
        <f>E41</f>
        <v>300</v>
      </c>
      <c r="H41" s="439">
        <f>G41</f>
        <v>300</v>
      </c>
    </row>
    <row r="42" spans="1:8" s="434" customFormat="1" x14ac:dyDescent="0.25">
      <c r="A42" s="437" t="s">
        <v>99</v>
      </c>
      <c r="B42" s="438" t="s">
        <v>482</v>
      </c>
      <c r="C42" s="439"/>
      <c r="D42" s="439"/>
      <c r="E42" s="439">
        <v>15</v>
      </c>
      <c r="F42" s="439">
        <f>E42</f>
        <v>15</v>
      </c>
      <c r="G42" s="439">
        <f>E42</f>
        <v>15</v>
      </c>
      <c r="H42" s="439">
        <f>G42</f>
        <v>15</v>
      </c>
    </row>
    <row r="43" spans="1:8" s="434" customFormat="1" x14ac:dyDescent="0.3">
      <c r="A43" s="437" t="s">
        <v>99</v>
      </c>
      <c r="B43" s="432" t="s">
        <v>1653</v>
      </c>
      <c r="C43" s="439"/>
      <c r="D43" s="439"/>
      <c r="E43" s="439">
        <v>25</v>
      </c>
      <c r="F43" s="439">
        <f>E43</f>
        <v>25</v>
      </c>
      <c r="G43" s="439">
        <f>E43</f>
        <v>25</v>
      </c>
      <c r="H43" s="439">
        <f>G43</f>
        <v>25</v>
      </c>
    </row>
    <row r="44" spans="1:8" s="434" customFormat="1" x14ac:dyDescent="0.25">
      <c r="A44" s="437" t="s">
        <v>99</v>
      </c>
      <c r="B44" s="438" t="s">
        <v>1188</v>
      </c>
      <c r="C44" s="439"/>
      <c r="D44" s="439"/>
      <c r="E44" s="439">
        <v>30</v>
      </c>
      <c r="F44" s="439">
        <f>E44+23</f>
        <v>53</v>
      </c>
      <c r="G44" s="439">
        <f>E44</f>
        <v>30</v>
      </c>
      <c r="H44" s="439">
        <f>G44</f>
        <v>30</v>
      </c>
    </row>
    <row r="45" spans="1:8" s="434" customFormat="1" ht="37.5" x14ac:dyDescent="0.25">
      <c r="A45" s="437" t="s">
        <v>99</v>
      </c>
      <c r="B45" s="438" t="s">
        <v>959</v>
      </c>
      <c r="C45" s="439"/>
      <c r="D45" s="439"/>
      <c r="E45" s="439">
        <f>45+30+40+32</f>
        <v>147</v>
      </c>
      <c r="F45" s="439"/>
      <c r="G45" s="439"/>
      <c r="H45" s="439"/>
    </row>
    <row r="46" spans="1:8" s="434" customFormat="1" ht="56.25" x14ac:dyDescent="0.25">
      <c r="A46" s="437" t="s">
        <v>99</v>
      </c>
      <c r="B46" s="438" t="s">
        <v>1654</v>
      </c>
      <c r="C46" s="439"/>
      <c r="D46" s="439"/>
      <c r="E46" s="439"/>
      <c r="F46" s="439">
        <f>45+20+10+16</f>
        <v>91</v>
      </c>
      <c r="G46" s="439"/>
      <c r="H46" s="439"/>
    </row>
    <row r="47" spans="1:8" s="434" customFormat="1" x14ac:dyDescent="0.25">
      <c r="A47" s="437" t="s">
        <v>99</v>
      </c>
      <c r="B47" s="438" t="s">
        <v>960</v>
      </c>
      <c r="C47" s="439"/>
      <c r="D47" s="439"/>
      <c r="E47" s="439">
        <v>500</v>
      </c>
      <c r="F47" s="439"/>
      <c r="G47" s="439"/>
      <c r="H47" s="439"/>
    </row>
    <row r="48" spans="1:8" s="50" customFormat="1" x14ac:dyDescent="0.25">
      <c r="A48" s="441" t="s">
        <v>7</v>
      </c>
      <c r="B48" s="442" t="s">
        <v>380</v>
      </c>
      <c r="C48" s="443"/>
      <c r="D48" s="443"/>
      <c r="E48" s="443">
        <f>E49+E59+E69+E73</f>
        <v>413835</v>
      </c>
      <c r="F48" s="443">
        <f t="shared" ref="F48:H48" si="2">F49+F59+F69+F73</f>
        <v>480315</v>
      </c>
      <c r="G48" s="443">
        <f t="shared" si="2"/>
        <v>453789</v>
      </c>
      <c r="H48" s="443">
        <f t="shared" si="2"/>
        <v>461652</v>
      </c>
    </row>
    <row r="49" spans="1:9" s="50" customFormat="1" x14ac:dyDescent="0.25">
      <c r="A49" s="441" t="s">
        <v>51</v>
      </c>
      <c r="B49" s="442" t="s">
        <v>1101</v>
      </c>
      <c r="C49" s="443"/>
      <c r="D49" s="443"/>
      <c r="E49" s="443">
        <v>367216</v>
      </c>
      <c r="F49" s="443">
        <f>+F54+F55-F56</f>
        <v>407878</v>
      </c>
      <c r="G49" s="443">
        <f t="shared" ref="G49:H49" si="3">+G54+G55-G56</f>
        <v>415448</v>
      </c>
      <c r="H49" s="443">
        <f t="shared" si="3"/>
        <v>423018</v>
      </c>
      <c r="I49" s="143"/>
    </row>
    <row r="50" spans="1:9" s="434" customFormat="1" x14ac:dyDescent="0.25">
      <c r="A50" s="437">
        <v>1</v>
      </c>
      <c r="B50" s="438" t="s">
        <v>292</v>
      </c>
      <c r="C50" s="439"/>
      <c r="D50" s="439"/>
      <c r="E50" s="439">
        <f>SUM(E51:E53)</f>
        <v>25514</v>
      </c>
      <c r="F50" s="439">
        <f>SUM(F51:F53)</f>
        <v>28774</v>
      </c>
      <c r="G50" s="439">
        <f>SUM(G51:G53)</f>
        <v>28774</v>
      </c>
      <c r="H50" s="439">
        <f>SUM(H51:H53)</f>
        <v>28774</v>
      </c>
    </row>
    <row r="51" spans="1:9" s="434" customFormat="1" x14ac:dyDescent="0.25">
      <c r="A51" s="437"/>
      <c r="B51" s="438" t="s">
        <v>401</v>
      </c>
      <c r="C51" s="439"/>
      <c r="D51" s="439"/>
      <c r="E51" s="439">
        <v>20140</v>
      </c>
      <c r="F51" s="439">
        <v>22187</v>
      </c>
      <c r="G51" s="439">
        <f>F51</f>
        <v>22187</v>
      </c>
      <c r="H51" s="439">
        <f>G51</f>
        <v>22187</v>
      </c>
    </row>
    <row r="52" spans="1:9" s="434" customFormat="1" x14ac:dyDescent="0.25">
      <c r="A52" s="437"/>
      <c r="B52" s="438" t="s">
        <v>962</v>
      </c>
      <c r="C52" s="439"/>
      <c r="D52" s="439"/>
      <c r="E52" s="439">
        <v>5374</v>
      </c>
      <c r="F52" s="439">
        <v>6587</v>
      </c>
      <c r="G52" s="439">
        <f>F52</f>
        <v>6587</v>
      </c>
      <c r="H52" s="439">
        <f>G52</f>
        <v>6587</v>
      </c>
    </row>
    <row r="53" spans="1:9" s="434" customFormat="1" hidden="1" x14ac:dyDescent="0.25">
      <c r="A53" s="437"/>
      <c r="B53" s="438" t="s">
        <v>405</v>
      </c>
      <c r="C53" s="439"/>
      <c r="D53" s="439"/>
      <c r="E53" s="439"/>
      <c r="F53" s="439"/>
      <c r="G53" s="439">
        <f>E53</f>
        <v>0</v>
      </c>
      <c r="H53" s="439">
        <f>G53</f>
        <v>0</v>
      </c>
    </row>
    <row r="54" spans="1:9" s="434" customFormat="1" ht="37.5" x14ac:dyDescent="0.25">
      <c r="A54" s="437">
        <v>2</v>
      </c>
      <c r="B54" s="438" t="s">
        <v>1709</v>
      </c>
      <c r="C54" s="439">
        <v>3088</v>
      </c>
      <c r="D54" s="440">
        <v>2944</v>
      </c>
      <c r="E54" s="213">
        <f>326026+50</f>
        <v>326076</v>
      </c>
      <c r="F54" s="439">
        <f>4302+352974</f>
        <v>357276</v>
      </c>
      <c r="G54" s="439">
        <f>ROUND(F54+1037*7.3,0)</f>
        <v>364846</v>
      </c>
      <c r="H54" s="439">
        <f>ROUND(G54+1037*7.3,0)</f>
        <v>372416</v>
      </c>
    </row>
    <row r="55" spans="1:9" s="434" customFormat="1" x14ac:dyDescent="0.25">
      <c r="A55" s="437">
        <v>3</v>
      </c>
      <c r="B55" s="438" t="s">
        <v>1673</v>
      </c>
      <c r="C55" s="439"/>
      <c r="D55" s="439"/>
      <c r="E55" s="213">
        <v>53914</v>
      </c>
      <c r="F55" s="439">
        <v>68720</v>
      </c>
      <c r="G55" s="439">
        <f>F55</f>
        <v>68720</v>
      </c>
      <c r="H55" s="439">
        <f>G55</f>
        <v>68720</v>
      </c>
    </row>
    <row r="56" spans="1:9" s="434" customFormat="1" x14ac:dyDescent="0.25">
      <c r="A56" s="437">
        <v>4</v>
      </c>
      <c r="B56" s="438" t="s">
        <v>1092</v>
      </c>
      <c r="C56" s="439"/>
      <c r="D56" s="439"/>
      <c r="E56" s="213">
        <f>SUM(E57:E58)</f>
        <v>15597</v>
      </c>
      <c r="F56" s="439">
        <f>SUM(F57:F58)</f>
        <v>18118</v>
      </c>
      <c r="G56" s="439">
        <f>SUM(G57:G58)</f>
        <v>18118</v>
      </c>
      <c r="H56" s="439">
        <f>SUM(H57:H58)</f>
        <v>18118</v>
      </c>
    </row>
    <row r="57" spans="1:9" s="434" customFormat="1" x14ac:dyDescent="0.25">
      <c r="A57" s="437"/>
      <c r="B57" s="438" t="s">
        <v>969</v>
      </c>
      <c r="C57" s="439"/>
      <c r="D57" s="439"/>
      <c r="E57" s="213">
        <v>5391</v>
      </c>
      <c r="F57" s="439">
        <v>6872</v>
      </c>
      <c r="G57" s="439">
        <f>F57</f>
        <v>6872</v>
      </c>
      <c r="H57" s="439">
        <f>G57</f>
        <v>6872</v>
      </c>
    </row>
    <row r="58" spans="1:9" s="434" customFormat="1" x14ac:dyDescent="0.25">
      <c r="A58" s="437"/>
      <c r="B58" s="438" t="s">
        <v>968</v>
      </c>
      <c r="C58" s="439"/>
      <c r="D58" s="439"/>
      <c r="E58" s="213">
        <f>8056+2150</f>
        <v>10206</v>
      </c>
      <c r="F58" s="439">
        <v>11246</v>
      </c>
      <c r="G58" s="439">
        <f>F58</f>
        <v>11246</v>
      </c>
      <c r="H58" s="439">
        <f>G58</f>
        <v>11246</v>
      </c>
    </row>
    <row r="59" spans="1:9" s="50" customFormat="1" x14ac:dyDescent="0.25">
      <c r="A59" s="441" t="s">
        <v>52</v>
      </c>
      <c r="B59" s="130" t="s">
        <v>1675</v>
      </c>
      <c r="C59" s="443"/>
      <c r="D59" s="443"/>
      <c r="E59" s="443">
        <v>8683</v>
      </c>
      <c r="F59" s="443">
        <f>+F64+F65-F66</f>
        <v>8925</v>
      </c>
      <c r="G59" s="443">
        <f>+G64+G65-G66</f>
        <v>9108</v>
      </c>
      <c r="H59" s="443">
        <f>+H64+H65-H66</f>
        <v>9291</v>
      </c>
    </row>
    <row r="60" spans="1:9" s="434" customFormat="1" x14ac:dyDescent="0.25">
      <c r="A60" s="437">
        <v>1</v>
      </c>
      <c r="B60" s="438" t="s">
        <v>292</v>
      </c>
      <c r="C60" s="439"/>
      <c r="D60" s="439"/>
      <c r="E60" s="439">
        <f>SUM(E61:E63)</f>
        <v>1638</v>
      </c>
      <c r="F60" s="439">
        <f>SUM(F61:F63)</f>
        <v>1828</v>
      </c>
      <c r="G60" s="439">
        <f>SUM(G61:G63)</f>
        <v>1828</v>
      </c>
      <c r="H60" s="439">
        <f>SUM(H61:H63)</f>
        <v>1828</v>
      </c>
    </row>
    <row r="61" spans="1:9" s="434" customFormat="1" x14ac:dyDescent="0.25">
      <c r="A61" s="437"/>
      <c r="B61" s="438" t="s">
        <v>401</v>
      </c>
      <c r="C61" s="439"/>
      <c r="D61" s="439"/>
      <c r="E61" s="439">
        <v>374</v>
      </c>
      <c r="F61" s="439">
        <v>440</v>
      </c>
      <c r="G61" s="439">
        <f>F61</f>
        <v>440</v>
      </c>
      <c r="H61" s="439">
        <f>G61</f>
        <v>440</v>
      </c>
    </row>
    <row r="62" spans="1:9" s="434" customFormat="1" x14ac:dyDescent="0.25">
      <c r="A62" s="437"/>
      <c r="B62" s="438" t="s">
        <v>1674</v>
      </c>
      <c r="C62" s="439"/>
      <c r="D62" s="439"/>
      <c r="E62" s="439">
        <v>1264</v>
      </c>
      <c r="F62" s="439">
        <v>1388</v>
      </c>
      <c r="G62" s="439">
        <f>F62</f>
        <v>1388</v>
      </c>
      <c r="H62" s="439">
        <f>G62</f>
        <v>1388</v>
      </c>
    </row>
    <row r="63" spans="1:9" s="434" customFormat="1" hidden="1" x14ac:dyDescent="0.25">
      <c r="A63" s="437"/>
      <c r="B63" s="438" t="s">
        <v>405</v>
      </c>
      <c r="C63" s="439"/>
      <c r="D63" s="439"/>
      <c r="E63" s="439"/>
      <c r="F63" s="439"/>
      <c r="G63" s="439">
        <f>E63</f>
        <v>0</v>
      </c>
      <c r="H63" s="439">
        <f>G63</f>
        <v>0</v>
      </c>
    </row>
    <row r="64" spans="1:9" s="434" customFormat="1" ht="37.5" x14ac:dyDescent="0.25">
      <c r="A64" s="437">
        <v>2</v>
      </c>
      <c r="B64" s="438" t="s">
        <v>1710</v>
      </c>
      <c r="C64" s="439">
        <v>81</v>
      </c>
      <c r="D64" s="440">
        <v>69</v>
      </c>
      <c r="E64" s="213">
        <v>7824</v>
      </c>
      <c r="F64" s="439">
        <v>8293</v>
      </c>
      <c r="G64" s="439">
        <f>ROUND(F64+25*7.3,0)</f>
        <v>8476</v>
      </c>
      <c r="H64" s="439">
        <f>ROUND(G64+25*7.3,0)</f>
        <v>8659</v>
      </c>
    </row>
    <row r="65" spans="1:8" s="434" customFormat="1" x14ac:dyDescent="0.25">
      <c r="A65" s="437">
        <v>3</v>
      </c>
      <c r="B65" s="438" t="s">
        <v>1673</v>
      </c>
      <c r="C65" s="439"/>
      <c r="D65" s="439"/>
      <c r="E65" s="213">
        <v>1192</v>
      </c>
      <c r="F65" s="439">
        <v>1453</v>
      </c>
      <c r="G65" s="439">
        <f>F65</f>
        <v>1453</v>
      </c>
      <c r="H65" s="439">
        <f>G65</f>
        <v>1453</v>
      </c>
    </row>
    <row r="66" spans="1:8" s="434" customFormat="1" x14ac:dyDescent="0.25">
      <c r="A66" s="437">
        <v>4</v>
      </c>
      <c r="B66" s="438" t="s">
        <v>1092</v>
      </c>
      <c r="C66" s="439"/>
      <c r="D66" s="440"/>
      <c r="E66" s="213">
        <f>SUM(E67:E68)</f>
        <v>479</v>
      </c>
      <c r="F66" s="439">
        <f>SUM(F67:F68)</f>
        <v>821</v>
      </c>
      <c r="G66" s="439">
        <f>SUM(G67:G68)</f>
        <v>821</v>
      </c>
      <c r="H66" s="439">
        <f>SUM(H67:H68)</f>
        <v>821</v>
      </c>
    </row>
    <row r="67" spans="1:8" s="434" customFormat="1" x14ac:dyDescent="0.25">
      <c r="A67" s="437"/>
      <c r="B67" s="438" t="s">
        <v>969</v>
      </c>
      <c r="C67" s="439"/>
      <c r="D67" s="439"/>
      <c r="E67" s="213">
        <v>119</v>
      </c>
      <c r="F67" s="439">
        <v>145</v>
      </c>
      <c r="G67" s="439">
        <f>F67</f>
        <v>145</v>
      </c>
      <c r="H67" s="439">
        <f>G67</f>
        <v>145</v>
      </c>
    </row>
    <row r="68" spans="1:8" s="434" customFormat="1" x14ac:dyDescent="0.25">
      <c r="A68" s="437"/>
      <c r="B68" s="438" t="s">
        <v>968</v>
      </c>
      <c r="C68" s="439"/>
      <c r="D68" s="439"/>
      <c r="E68" s="213">
        <f>ROUND((374+344+184)*0.4,0)-1</f>
        <v>360</v>
      </c>
      <c r="F68" s="439">
        <v>676</v>
      </c>
      <c r="G68" s="439">
        <f>F68</f>
        <v>676</v>
      </c>
      <c r="H68" s="439">
        <f>G68</f>
        <v>676</v>
      </c>
    </row>
    <row r="69" spans="1:8" s="50" customFormat="1" x14ac:dyDescent="0.25">
      <c r="A69" s="441" t="s">
        <v>147</v>
      </c>
      <c r="B69" s="130" t="s">
        <v>1102</v>
      </c>
      <c r="C69" s="443"/>
      <c r="D69" s="443"/>
      <c r="E69" s="443">
        <v>5054</v>
      </c>
      <c r="F69" s="443">
        <f>+F70+F71-F72</f>
        <v>6416</v>
      </c>
      <c r="G69" s="443">
        <f>+G70+G71-G72</f>
        <v>6526</v>
      </c>
      <c r="H69" s="443">
        <f>+H70+H71-H72</f>
        <v>6636</v>
      </c>
    </row>
    <row r="70" spans="1:8" s="434" customFormat="1" ht="56.25" x14ac:dyDescent="0.25">
      <c r="A70" s="437">
        <v>1</v>
      </c>
      <c r="B70" s="438" t="s">
        <v>1711</v>
      </c>
      <c r="C70" s="439">
        <v>51</v>
      </c>
      <c r="D70" s="440">
        <v>34</v>
      </c>
      <c r="E70" s="213">
        <v>3855</v>
      </c>
      <c r="F70" s="439">
        <v>4670</v>
      </c>
      <c r="G70" s="439">
        <f>ROUND(F70+15*7.3,0)</f>
        <v>4780</v>
      </c>
      <c r="H70" s="439">
        <f>ROUND(G70+15*7.3,0)</f>
        <v>4890</v>
      </c>
    </row>
    <row r="71" spans="1:8" s="434" customFormat="1" x14ac:dyDescent="0.25">
      <c r="A71" s="437">
        <v>2</v>
      </c>
      <c r="B71" s="438" t="s">
        <v>1673</v>
      </c>
      <c r="C71" s="439"/>
      <c r="D71" s="439"/>
      <c r="E71" s="213">
        <v>1291</v>
      </c>
      <c r="F71" s="439">
        <v>1939</v>
      </c>
      <c r="G71" s="439">
        <f>F71</f>
        <v>1939</v>
      </c>
      <c r="H71" s="439">
        <f>G71</f>
        <v>1939</v>
      </c>
    </row>
    <row r="72" spans="1:8" s="434" customFormat="1" ht="37.5" x14ac:dyDescent="0.25">
      <c r="A72" s="437">
        <v>3</v>
      </c>
      <c r="B72" s="438" t="s">
        <v>103</v>
      </c>
      <c r="C72" s="439"/>
      <c r="D72" s="439"/>
      <c r="E72" s="213">
        <v>129</v>
      </c>
      <c r="F72" s="439">
        <v>193</v>
      </c>
      <c r="G72" s="439">
        <f>F72</f>
        <v>193</v>
      </c>
      <c r="H72" s="439">
        <f>G72</f>
        <v>193</v>
      </c>
    </row>
    <row r="73" spans="1:8" s="50" customFormat="1" x14ac:dyDescent="0.25">
      <c r="A73" s="441" t="s">
        <v>294</v>
      </c>
      <c r="B73" s="442" t="s">
        <v>572</v>
      </c>
      <c r="C73" s="443"/>
      <c r="D73" s="443"/>
      <c r="E73" s="443">
        <v>32882</v>
      </c>
      <c r="F73" s="443">
        <f>SUM(F74:F102)</f>
        <v>57096</v>
      </c>
      <c r="G73" s="443">
        <f>SUM(G74:G102)</f>
        <v>22707</v>
      </c>
      <c r="H73" s="443">
        <f>SUM(H74:H102)</f>
        <v>22707</v>
      </c>
    </row>
    <row r="74" spans="1:8" s="434" customFormat="1" ht="37.5" x14ac:dyDescent="0.25">
      <c r="A74" s="437">
        <v>1</v>
      </c>
      <c r="B74" s="438" t="s">
        <v>961</v>
      </c>
      <c r="C74" s="439"/>
      <c r="D74" s="439"/>
      <c r="E74" s="213">
        <v>3000</v>
      </c>
      <c r="F74" s="439">
        <f>E74</f>
        <v>3000</v>
      </c>
      <c r="G74" s="439">
        <f>E74</f>
        <v>3000</v>
      </c>
      <c r="H74" s="439">
        <f>G74</f>
        <v>3000</v>
      </c>
    </row>
    <row r="75" spans="1:8" s="434" customFormat="1" ht="75" x14ac:dyDescent="0.25">
      <c r="A75" s="437">
        <v>2</v>
      </c>
      <c r="B75" s="438" t="s">
        <v>1042</v>
      </c>
      <c r="C75" s="439"/>
      <c r="D75" s="439"/>
      <c r="E75" s="213">
        <f>70758+504-56397-406</f>
        <v>14459</v>
      </c>
      <c r="F75" s="439"/>
      <c r="G75" s="439"/>
      <c r="H75" s="439"/>
    </row>
    <row r="76" spans="1:8" s="434" customFormat="1" ht="93.75" x14ac:dyDescent="0.25">
      <c r="A76" s="437">
        <v>3</v>
      </c>
      <c r="B76" s="438" t="s">
        <v>1669</v>
      </c>
      <c r="C76" s="439"/>
      <c r="D76" s="439"/>
      <c r="E76" s="501">
        <v>106315</v>
      </c>
      <c r="F76" s="133"/>
      <c r="G76" s="133"/>
      <c r="H76" s="133"/>
    </row>
    <row r="77" spans="1:8" s="434" customFormat="1" ht="112.5" x14ac:dyDescent="0.25">
      <c r="A77" s="437">
        <v>4</v>
      </c>
      <c r="B77" s="438" t="s">
        <v>1672</v>
      </c>
      <c r="C77" s="439"/>
      <c r="D77" s="439"/>
      <c r="E77" s="213">
        <v>5641</v>
      </c>
      <c r="F77" s="439"/>
      <c r="G77" s="439"/>
      <c r="H77" s="439"/>
    </row>
    <row r="78" spans="1:8" s="434" customFormat="1" ht="56.25" x14ac:dyDescent="0.25">
      <c r="A78" s="437">
        <v>5</v>
      </c>
      <c r="B78" s="438" t="s">
        <v>1655</v>
      </c>
      <c r="C78" s="439"/>
      <c r="D78" s="439"/>
      <c r="E78" s="213"/>
      <c r="F78" s="121">
        <v>1665</v>
      </c>
      <c r="G78" s="439"/>
      <c r="H78" s="439"/>
    </row>
    <row r="79" spans="1:8" s="434" customFormat="1" x14ac:dyDescent="0.25">
      <c r="A79" s="437">
        <v>6</v>
      </c>
      <c r="B79" s="438" t="s">
        <v>1861</v>
      </c>
      <c r="C79" s="439"/>
      <c r="D79" s="439"/>
      <c r="E79" s="213">
        <v>3700</v>
      </c>
      <c r="F79" s="121">
        <v>3750</v>
      </c>
      <c r="G79" s="439">
        <f>F79</f>
        <v>3750</v>
      </c>
      <c r="H79" s="439">
        <f>G79</f>
        <v>3750</v>
      </c>
    </row>
    <row r="80" spans="1:8" s="434" customFormat="1" ht="37.5" x14ac:dyDescent="0.25">
      <c r="A80" s="437">
        <v>7</v>
      </c>
      <c r="B80" s="438" t="s">
        <v>1656</v>
      </c>
      <c r="C80" s="439"/>
      <c r="D80" s="439"/>
      <c r="E80" s="213">
        <v>460</v>
      </c>
      <c r="F80" s="121">
        <v>460</v>
      </c>
      <c r="G80" s="439">
        <f>F80</f>
        <v>460</v>
      </c>
      <c r="H80" s="439">
        <f>G80</f>
        <v>460</v>
      </c>
    </row>
    <row r="81" spans="1:8" s="434" customFormat="1" ht="56.25" x14ac:dyDescent="0.25">
      <c r="A81" s="437">
        <v>8</v>
      </c>
      <c r="B81" s="438" t="s">
        <v>1658</v>
      </c>
      <c r="C81" s="439"/>
      <c r="D81" s="439"/>
      <c r="E81" s="213"/>
      <c r="F81" s="121">
        <v>1032</v>
      </c>
      <c r="G81" s="439"/>
      <c r="H81" s="439"/>
    </row>
    <row r="82" spans="1:8" s="434" customFormat="1" ht="56.25" x14ac:dyDescent="0.25">
      <c r="A82" s="437">
        <v>9</v>
      </c>
      <c r="B82" s="541" t="s">
        <v>1662</v>
      </c>
      <c r="C82" s="439"/>
      <c r="D82" s="439"/>
      <c r="E82" s="213">
        <v>2121</v>
      </c>
      <c r="F82" s="121">
        <v>1981</v>
      </c>
      <c r="G82" s="439">
        <f t="shared" ref="G82:H88" si="4">F82</f>
        <v>1981</v>
      </c>
      <c r="H82" s="439">
        <f t="shared" si="4"/>
        <v>1981</v>
      </c>
    </row>
    <row r="83" spans="1:8" s="434" customFormat="1" x14ac:dyDescent="0.25">
      <c r="A83" s="437">
        <v>10</v>
      </c>
      <c r="B83" s="541" t="s">
        <v>1663</v>
      </c>
      <c r="C83" s="439"/>
      <c r="D83" s="439"/>
      <c r="E83" s="213">
        <v>1688</v>
      </c>
      <c r="F83" s="121">
        <v>1957</v>
      </c>
      <c r="G83" s="439">
        <f t="shared" si="4"/>
        <v>1957</v>
      </c>
      <c r="H83" s="439">
        <f t="shared" si="4"/>
        <v>1957</v>
      </c>
    </row>
    <row r="84" spans="1:8" s="434" customFormat="1" x14ac:dyDescent="0.25">
      <c r="A84" s="437">
        <v>11</v>
      </c>
      <c r="B84" s="438" t="s">
        <v>1664</v>
      </c>
      <c r="C84" s="439"/>
      <c r="D84" s="439"/>
      <c r="E84" s="213">
        <v>2866</v>
      </c>
      <c r="F84" s="121">
        <v>2854</v>
      </c>
      <c r="G84" s="439">
        <f t="shared" si="4"/>
        <v>2854</v>
      </c>
      <c r="H84" s="439">
        <f t="shared" si="4"/>
        <v>2854</v>
      </c>
    </row>
    <row r="85" spans="1:8" s="434" customFormat="1" ht="37.5" x14ac:dyDescent="0.25">
      <c r="A85" s="437">
        <v>12</v>
      </c>
      <c r="B85" s="541" t="s">
        <v>1665</v>
      </c>
      <c r="C85" s="439"/>
      <c r="D85" s="439"/>
      <c r="E85" s="213">
        <v>550</v>
      </c>
      <c r="F85" s="121">
        <v>621</v>
      </c>
      <c r="G85" s="439">
        <f t="shared" si="4"/>
        <v>621</v>
      </c>
      <c r="H85" s="439">
        <f t="shared" si="4"/>
        <v>621</v>
      </c>
    </row>
    <row r="86" spans="1:8" s="434" customFormat="1" ht="37.5" x14ac:dyDescent="0.25">
      <c r="A86" s="437">
        <v>13</v>
      </c>
      <c r="B86" s="261" t="s">
        <v>1668</v>
      </c>
      <c r="C86" s="439"/>
      <c r="D86" s="439"/>
      <c r="E86" s="502">
        <v>645</v>
      </c>
      <c r="F86" s="121">
        <f>975+645</f>
        <v>1620</v>
      </c>
      <c r="G86" s="439">
        <v>645</v>
      </c>
      <c r="H86" s="439">
        <f t="shared" si="4"/>
        <v>645</v>
      </c>
    </row>
    <row r="87" spans="1:8" s="434" customFormat="1" ht="75" x14ac:dyDescent="0.25">
      <c r="A87" s="437">
        <v>14</v>
      </c>
      <c r="B87" s="438" t="s">
        <v>1666</v>
      </c>
      <c r="C87" s="439"/>
      <c r="D87" s="439"/>
      <c r="E87" s="213"/>
      <c r="F87" s="121">
        <v>950</v>
      </c>
      <c r="G87" s="439">
        <f t="shared" si="4"/>
        <v>950</v>
      </c>
      <c r="H87" s="439">
        <f t="shared" si="4"/>
        <v>950</v>
      </c>
    </row>
    <row r="88" spans="1:8" s="434" customFormat="1" ht="56.25" x14ac:dyDescent="0.25">
      <c r="A88" s="437">
        <v>15</v>
      </c>
      <c r="B88" s="438" t="s">
        <v>1667</v>
      </c>
      <c r="C88" s="439"/>
      <c r="D88" s="439"/>
      <c r="E88" s="213">
        <v>60</v>
      </c>
      <c r="F88" s="121">
        <v>139</v>
      </c>
      <c r="G88" s="439">
        <f t="shared" si="4"/>
        <v>139</v>
      </c>
      <c r="H88" s="439">
        <f t="shared" si="4"/>
        <v>139</v>
      </c>
    </row>
    <row r="89" spans="1:8" s="434" customFormat="1" x14ac:dyDescent="0.25">
      <c r="A89" s="437">
        <v>16</v>
      </c>
      <c r="B89" s="438" t="s">
        <v>1702</v>
      </c>
      <c r="C89" s="439"/>
      <c r="D89" s="439"/>
      <c r="E89" s="213">
        <v>350</v>
      </c>
      <c r="F89" s="121">
        <v>600</v>
      </c>
      <c r="G89" s="439"/>
      <c r="H89" s="439"/>
    </row>
    <row r="90" spans="1:8" s="434" customFormat="1" ht="56.25" x14ac:dyDescent="0.25">
      <c r="A90" s="437">
        <v>17</v>
      </c>
      <c r="B90" s="438" t="s">
        <v>1715</v>
      </c>
      <c r="C90" s="439"/>
      <c r="D90" s="439"/>
      <c r="E90" s="213">
        <v>1707</v>
      </c>
      <c r="F90" s="121">
        <v>1707</v>
      </c>
      <c r="G90" s="439"/>
      <c r="H90" s="439"/>
    </row>
    <row r="91" spans="1:8" s="434" customFormat="1" x14ac:dyDescent="0.25">
      <c r="A91" s="437">
        <v>18</v>
      </c>
      <c r="B91" s="438" t="s">
        <v>1704</v>
      </c>
      <c r="C91" s="439"/>
      <c r="D91" s="439"/>
      <c r="E91" s="213">
        <v>972</v>
      </c>
      <c r="F91" s="121">
        <v>820</v>
      </c>
      <c r="G91" s="439"/>
      <c r="H91" s="439"/>
    </row>
    <row r="92" spans="1:8" s="434" customFormat="1" ht="37.5" x14ac:dyDescent="0.25">
      <c r="A92" s="437">
        <v>19</v>
      </c>
      <c r="B92" s="438" t="s">
        <v>1706</v>
      </c>
      <c r="C92" s="439"/>
      <c r="D92" s="439"/>
      <c r="E92" s="213"/>
      <c r="F92" s="121">
        <v>250</v>
      </c>
      <c r="G92" s="439"/>
      <c r="H92" s="439"/>
    </row>
    <row r="93" spans="1:8" s="434" customFormat="1" ht="37.5" x14ac:dyDescent="0.25">
      <c r="A93" s="437">
        <v>20</v>
      </c>
      <c r="B93" s="438" t="s">
        <v>1716</v>
      </c>
      <c r="C93" s="439"/>
      <c r="D93" s="439"/>
      <c r="E93" s="213">
        <v>1700</v>
      </c>
      <c r="F93" s="121">
        <f>-91+1961</f>
        <v>1870</v>
      </c>
      <c r="G93" s="439"/>
      <c r="H93" s="439"/>
    </row>
    <row r="94" spans="1:8" s="434" customFormat="1" ht="37.5" x14ac:dyDescent="0.25">
      <c r="A94" s="437">
        <v>21</v>
      </c>
      <c r="B94" s="438" t="s">
        <v>1708</v>
      </c>
      <c r="C94" s="439"/>
      <c r="D94" s="439"/>
      <c r="E94" s="213">
        <v>800</v>
      </c>
      <c r="F94" s="121">
        <v>800</v>
      </c>
      <c r="G94" s="439"/>
      <c r="H94" s="439"/>
    </row>
    <row r="95" spans="1:8" s="434" customFormat="1" ht="37.5" x14ac:dyDescent="0.3">
      <c r="A95" s="437">
        <v>22</v>
      </c>
      <c r="B95" s="488" t="s">
        <v>1713</v>
      </c>
      <c r="C95" s="439"/>
      <c r="D95" s="439"/>
      <c r="E95" s="213"/>
      <c r="F95" s="121">
        <v>257</v>
      </c>
      <c r="G95" s="439"/>
      <c r="H95" s="439"/>
    </row>
    <row r="96" spans="1:8" s="434" customFormat="1" ht="56.25" x14ac:dyDescent="0.3">
      <c r="A96" s="437">
        <v>23</v>
      </c>
      <c r="B96" s="488" t="s">
        <v>1718</v>
      </c>
      <c r="C96" s="439"/>
      <c r="D96" s="439"/>
      <c r="E96" s="213"/>
      <c r="F96" s="121">
        <v>3963</v>
      </c>
      <c r="G96" s="439"/>
      <c r="H96" s="439"/>
    </row>
    <row r="97" spans="1:8" s="459" customFormat="1" ht="75" x14ac:dyDescent="0.25">
      <c r="A97" s="437">
        <v>24</v>
      </c>
      <c r="B97" s="261" t="s">
        <v>1877</v>
      </c>
      <c r="C97" s="121"/>
      <c r="D97" s="121"/>
      <c r="E97" s="121">
        <v>1298</v>
      </c>
      <c r="F97" s="121">
        <v>6034</v>
      </c>
      <c r="G97" s="121"/>
      <c r="H97" s="121"/>
    </row>
    <row r="98" spans="1:8" s="434" customFormat="1" ht="56.25" x14ac:dyDescent="0.25">
      <c r="A98" s="437">
        <v>25</v>
      </c>
      <c r="B98" s="261" t="s">
        <v>1769</v>
      </c>
      <c r="C98" s="439"/>
      <c r="D98" s="439"/>
      <c r="E98" s="213"/>
      <c r="F98" s="121">
        <v>2150</v>
      </c>
      <c r="G98" s="439"/>
      <c r="H98" s="439"/>
    </row>
    <row r="99" spans="1:8" s="434" customFormat="1" ht="37.5" x14ac:dyDescent="0.3">
      <c r="A99" s="437">
        <v>26</v>
      </c>
      <c r="B99" s="488" t="s">
        <v>1676</v>
      </c>
      <c r="C99" s="439"/>
      <c r="D99" s="439"/>
      <c r="E99" s="213"/>
      <c r="F99" s="121">
        <v>16</v>
      </c>
      <c r="G99" s="439"/>
      <c r="H99" s="439"/>
    </row>
    <row r="100" spans="1:8" s="434" customFormat="1" ht="56.25" x14ac:dyDescent="0.25">
      <c r="A100" s="437">
        <v>27</v>
      </c>
      <c r="B100" s="438" t="s">
        <v>1879</v>
      </c>
      <c r="C100" s="439"/>
      <c r="D100" s="439"/>
      <c r="E100" s="213"/>
      <c r="F100" s="121">
        <v>12000</v>
      </c>
      <c r="G100" s="439"/>
      <c r="H100" s="439"/>
    </row>
    <row r="101" spans="1:8" s="434" customFormat="1" ht="37.5" x14ac:dyDescent="0.25">
      <c r="A101" s="437">
        <v>28</v>
      </c>
      <c r="B101" s="438" t="s">
        <v>1657</v>
      </c>
      <c r="C101" s="439"/>
      <c r="D101" s="439"/>
      <c r="E101" s="213">
        <v>1000</v>
      </c>
      <c r="F101" s="121">
        <v>250</v>
      </c>
      <c r="G101" s="439"/>
      <c r="H101" s="439"/>
    </row>
    <row r="102" spans="1:8" s="434" customFormat="1" x14ac:dyDescent="0.25">
      <c r="A102" s="437">
        <v>29</v>
      </c>
      <c r="B102" s="438" t="s">
        <v>1677</v>
      </c>
      <c r="C102" s="439"/>
      <c r="D102" s="439"/>
      <c r="E102" s="213">
        <v>4500</v>
      </c>
      <c r="F102" s="121">
        <v>6350</v>
      </c>
      <c r="G102" s="439">
        <f>F102</f>
        <v>6350</v>
      </c>
      <c r="H102" s="439">
        <f>G102</f>
        <v>6350</v>
      </c>
    </row>
    <row r="103" spans="1:8" s="142" customFormat="1" ht="39" x14ac:dyDescent="0.25">
      <c r="A103" s="456" t="s">
        <v>192</v>
      </c>
      <c r="B103" s="457" t="s">
        <v>1687</v>
      </c>
      <c r="C103" s="458"/>
      <c r="D103" s="458"/>
      <c r="E103" s="503"/>
      <c r="F103" s="458">
        <f>SUM(F104:F133)</f>
        <v>11091</v>
      </c>
      <c r="G103" s="458"/>
      <c r="H103" s="458"/>
    </row>
    <row r="104" spans="1:8" s="434" customFormat="1" ht="75" x14ac:dyDescent="0.25">
      <c r="A104" s="437"/>
      <c r="B104" s="438" t="s">
        <v>1688</v>
      </c>
      <c r="C104" s="439"/>
      <c r="D104" s="439"/>
      <c r="E104" s="213">
        <v>100</v>
      </c>
      <c r="F104" s="121">
        <v>115</v>
      </c>
      <c r="G104" s="439"/>
      <c r="H104" s="439"/>
    </row>
    <row r="105" spans="1:8" s="434" customFormat="1" x14ac:dyDescent="0.25">
      <c r="A105" s="437"/>
      <c r="B105" s="438" t="s">
        <v>1689</v>
      </c>
      <c r="C105" s="439"/>
      <c r="D105" s="439"/>
      <c r="E105" s="213"/>
      <c r="F105" s="121">
        <v>120</v>
      </c>
      <c r="G105" s="439"/>
      <c r="H105" s="439"/>
    </row>
    <row r="106" spans="1:8" s="434" customFormat="1" ht="56.25" x14ac:dyDescent="0.25">
      <c r="A106" s="437"/>
      <c r="B106" s="438" t="s">
        <v>1690</v>
      </c>
      <c r="C106" s="439"/>
      <c r="D106" s="439"/>
      <c r="E106" s="213"/>
      <c r="F106" s="121">
        <v>100</v>
      </c>
      <c r="G106" s="439"/>
      <c r="H106" s="439"/>
    </row>
    <row r="107" spans="1:8" s="434" customFormat="1" ht="75" x14ac:dyDescent="0.25">
      <c r="A107" s="437"/>
      <c r="B107" s="261" t="s">
        <v>1691</v>
      </c>
      <c r="C107" s="439"/>
      <c r="D107" s="439"/>
      <c r="E107" s="213"/>
      <c r="F107" s="121">
        <v>2150</v>
      </c>
      <c r="G107" s="439"/>
      <c r="H107" s="439"/>
    </row>
    <row r="108" spans="1:8" s="434" customFormat="1" ht="56.25" x14ac:dyDescent="0.25">
      <c r="A108" s="437"/>
      <c r="B108" s="438" t="s">
        <v>978</v>
      </c>
      <c r="C108" s="439"/>
      <c r="D108" s="439"/>
      <c r="E108" s="213">
        <v>240</v>
      </c>
      <c r="F108" s="121">
        <v>260</v>
      </c>
      <c r="G108" s="439"/>
      <c r="H108" s="439"/>
    </row>
    <row r="109" spans="1:8" s="434" customFormat="1" ht="37.5" x14ac:dyDescent="0.25">
      <c r="A109" s="437"/>
      <c r="B109" s="438" t="s">
        <v>1692</v>
      </c>
      <c r="C109" s="439"/>
      <c r="D109" s="439"/>
      <c r="E109" s="213"/>
      <c r="F109" s="121">
        <v>280</v>
      </c>
      <c r="G109" s="439"/>
      <c r="H109" s="439"/>
    </row>
    <row r="110" spans="1:8" s="434" customFormat="1" ht="56.25" x14ac:dyDescent="0.3">
      <c r="A110" s="437"/>
      <c r="B110" s="489" t="s">
        <v>1693</v>
      </c>
      <c r="C110" s="439"/>
      <c r="D110" s="439"/>
      <c r="E110" s="213">
        <v>650</v>
      </c>
      <c r="F110" s="121">
        <v>700</v>
      </c>
      <c r="G110" s="439"/>
      <c r="H110" s="439"/>
    </row>
    <row r="111" spans="1:8" s="434" customFormat="1" ht="56.25" x14ac:dyDescent="0.3">
      <c r="A111" s="437"/>
      <c r="B111" s="490" t="s">
        <v>1694</v>
      </c>
      <c r="C111" s="439"/>
      <c r="D111" s="439"/>
      <c r="E111" s="213"/>
      <c r="F111" s="121">
        <v>850</v>
      </c>
      <c r="G111" s="439"/>
      <c r="H111" s="439"/>
    </row>
    <row r="112" spans="1:8" s="434" customFormat="1" x14ac:dyDescent="0.3">
      <c r="A112" s="437"/>
      <c r="B112" s="491" t="s">
        <v>1695</v>
      </c>
      <c r="C112" s="439"/>
      <c r="D112" s="439"/>
      <c r="E112" s="213">
        <v>1000</v>
      </c>
      <c r="F112" s="121">
        <v>1000</v>
      </c>
      <c r="G112" s="439"/>
      <c r="H112" s="439"/>
    </row>
    <row r="113" spans="1:8" s="434" customFormat="1" ht="37.5" x14ac:dyDescent="0.25">
      <c r="A113" s="437"/>
      <c r="B113" s="438" t="s">
        <v>1696</v>
      </c>
      <c r="C113" s="439"/>
      <c r="D113" s="439"/>
      <c r="E113" s="213"/>
      <c r="F113" s="121">
        <v>200</v>
      </c>
      <c r="G113" s="439"/>
      <c r="H113" s="439"/>
    </row>
    <row r="114" spans="1:8" s="434" customFormat="1" ht="56.25" x14ac:dyDescent="0.25">
      <c r="A114" s="437"/>
      <c r="B114" s="438" t="s">
        <v>1697</v>
      </c>
      <c r="C114" s="439"/>
      <c r="D114" s="439"/>
      <c r="E114" s="213">
        <v>110</v>
      </c>
      <c r="F114" s="121">
        <v>170</v>
      </c>
      <c r="G114" s="439">
        <f>F114</f>
        <v>170</v>
      </c>
      <c r="H114" s="439">
        <f>G114</f>
        <v>170</v>
      </c>
    </row>
    <row r="115" spans="1:8" s="434" customFormat="1" ht="93.75" x14ac:dyDescent="0.3">
      <c r="A115" s="437"/>
      <c r="B115" s="492" t="s">
        <v>1698</v>
      </c>
      <c r="C115" s="439"/>
      <c r="D115" s="439"/>
      <c r="E115" s="213"/>
      <c r="F115" s="121">
        <v>48</v>
      </c>
      <c r="G115" s="439"/>
      <c r="H115" s="439"/>
    </row>
    <row r="116" spans="1:8" s="434" customFormat="1" ht="37.5" x14ac:dyDescent="0.3">
      <c r="A116" s="437"/>
      <c r="B116" s="493" t="s">
        <v>1679</v>
      </c>
      <c r="C116" s="439"/>
      <c r="D116" s="439"/>
      <c r="E116" s="213"/>
      <c r="F116" s="121">
        <v>140</v>
      </c>
      <c r="G116" s="439"/>
      <c r="H116" s="439"/>
    </row>
    <row r="117" spans="1:8" s="434" customFormat="1" ht="37.5" x14ac:dyDescent="0.3">
      <c r="A117" s="437"/>
      <c r="B117" s="494" t="s">
        <v>1680</v>
      </c>
      <c r="C117" s="439"/>
      <c r="D117" s="439"/>
      <c r="E117" s="213"/>
      <c r="F117" s="121">
        <v>623</v>
      </c>
      <c r="G117" s="439"/>
      <c r="H117" s="439"/>
    </row>
    <row r="118" spans="1:8" s="434" customFormat="1" x14ac:dyDescent="0.3">
      <c r="A118" s="437"/>
      <c r="B118" s="495" t="s">
        <v>980</v>
      </c>
      <c r="C118" s="439"/>
      <c r="D118" s="439"/>
      <c r="E118" s="213"/>
      <c r="F118" s="121">
        <v>80</v>
      </c>
      <c r="G118" s="439"/>
      <c r="H118" s="439"/>
    </row>
    <row r="119" spans="1:8" s="434" customFormat="1" ht="56.25" x14ac:dyDescent="0.25">
      <c r="A119" s="437"/>
      <c r="B119" s="496" t="s">
        <v>1681</v>
      </c>
      <c r="C119" s="439"/>
      <c r="D119" s="439"/>
      <c r="E119" s="213"/>
      <c r="F119" s="121">
        <v>884</v>
      </c>
      <c r="G119" s="439"/>
      <c r="H119" s="439"/>
    </row>
    <row r="120" spans="1:8" s="434" customFormat="1" ht="56.25" x14ac:dyDescent="0.25">
      <c r="A120" s="437"/>
      <c r="B120" s="438" t="s">
        <v>1699</v>
      </c>
      <c r="C120" s="439"/>
      <c r="D120" s="439"/>
      <c r="E120" s="213">
        <v>100</v>
      </c>
      <c r="F120" s="121">
        <v>160</v>
      </c>
      <c r="G120" s="439"/>
      <c r="H120" s="439"/>
    </row>
    <row r="121" spans="1:8" s="434" customFormat="1" x14ac:dyDescent="0.3">
      <c r="A121" s="437"/>
      <c r="B121" s="492" t="s">
        <v>1714</v>
      </c>
      <c r="C121" s="439"/>
      <c r="D121" s="439"/>
      <c r="E121" s="213"/>
      <c r="F121" s="121">
        <v>94</v>
      </c>
      <c r="G121" s="439"/>
      <c r="H121" s="439"/>
    </row>
    <row r="122" spans="1:8" s="434" customFormat="1" ht="93.75" x14ac:dyDescent="0.25">
      <c r="A122" s="437"/>
      <c r="B122" s="497" t="s">
        <v>1700</v>
      </c>
      <c r="C122" s="439"/>
      <c r="D122" s="439"/>
      <c r="E122" s="213"/>
      <c r="F122" s="121">
        <v>303</v>
      </c>
      <c r="G122" s="439"/>
      <c r="H122" s="439"/>
    </row>
    <row r="123" spans="1:8" s="434" customFormat="1" ht="37.5" x14ac:dyDescent="0.25">
      <c r="A123" s="437"/>
      <c r="B123" s="438" t="s">
        <v>1678</v>
      </c>
      <c r="C123" s="439"/>
      <c r="D123" s="439"/>
      <c r="E123" s="213">
        <v>89</v>
      </c>
      <c r="F123" s="121">
        <v>170</v>
      </c>
      <c r="G123" s="439"/>
      <c r="H123" s="439"/>
    </row>
    <row r="124" spans="1:8" s="434" customFormat="1" ht="150" x14ac:dyDescent="0.25">
      <c r="A124" s="437"/>
      <c r="B124" s="498" t="s">
        <v>1682</v>
      </c>
      <c r="C124" s="439"/>
      <c r="D124" s="439"/>
      <c r="E124" s="213"/>
      <c r="F124" s="121">
        <v>265</v>
      </c>
      <c r="G124" s="439"/>
      <c r="H124" s="439"/>
    </row>
    <row r="125" spans="1:8" s="434" customFormat="1" ht="37.5" x14ac:dyDescent="0.3">
      <c r="A125" s="437"/>
      <c r="B125" s="492" t="s">
        <v>1683</v>
      </c>
      <c r="C125" s="439"/>
      <c r="D125" s="439"/>
      <c r="E125" s="213"/>
      <c r="F125" s="121">
        <v>97</v>
      </c>
      <c r="G125" s="439"/>
      <c r="H125" s="439"/>
    </row>
    <row r="126" spans="1:8" s="434" customFormat="1" ht="37.5" x14ac:dyDescent="0.3">
      <c r="A126" s="437"/>
      <c r="B126" s="494" t="s">
        <v>1684</v>
      </c>
      <c r="C126" s="439"/>
      <c r="D126" s="439"/>
      <c r="E126" s="213"/>
      <c r="F126" s="121">
        <v>600</v>
      </c>
      <c r="G126" s="439"/>
      <c r="H126" s="439"/>
    </row>
    <row r="127" spans="1:8" s="434" customFormat="1" ht="56.25" x14ac:dyDescent="0.3">
      <c r="A127" s="437"/>
      <c r="B127" s="494" t="s">
        <v>1685</v>
      </c>
      <c r="C127" s="439"/>
      <c r="D127" s="439"/>
      <c r="E127" s="213"/>
      <c r="F127" s="121">
        <v>26</v>
      </c>
      <c r="G127" s="439"/>
      <c r="H127" s="439"/>
    </row>
    <row r="128" spans="1:8" s="434" customFormat="1" ht="75" x14ac:dyDescent="0.3">
      <c r="A128" s="437"/>
      <c r="B128" s="499" t="s">
        <v>1701</v>
      </c>
      <c r="C128" s="439"/>
      <c r="D128" s="439"/>
      <c r="E128" s="213"/>
      <c r="F128" s="121">
        <v>195</v>
      </c>
      <c r="G128" s="439"/>
      <c r="H128" s="439"/>
    </row>
    <row r="129" spans="1:8" s="434" customFormat="1" ht="56.25" x14ac:dyDescent="0.3">
      <c r="A129" s="437"/>
      <c r="B129" s="500" t="s">
        <v>1686</v>
      </c>
      <c r="C129" s="439"/>
      <c r="D129" s="439"/>
      <c r="E129" s="213"/>
      <c r="F129" s="121">
        <v>164</v>
      </c>
      <c r="G129" s="439"/>
      <c r="H129" s="439"/>
    </row>
    <row r="130" spans="1:8" s="434" customFormat="1" x14ac:dyDescent="0.25">
      <c r="A130" s="437"/>
      <c r="B130" s="438" t="s">
        <v>1703</v>
      </c>
      <c r="C130" s="439"/>
      <c r="D130" s="439"/>
      <c r="E130" s="213"/>
      <c r="F130" s="439">
        <v>382</v>
      </c>
      <c r="G130" s="439"/>
      <c r="H130" s="439"/>
    </row>
    <row r="131" spans="1:8" s="434" customFormat="1" ht="75" x14ac:dyDescent="0.25">
      <c r="A131" s="437"/>
      <c r="B131" s="438" t="s">
        <v>1705</v>
      </c>
      <c r="C131" s="439"/>
      <c r="D131" s="439"/>
      <c r="E131" s="213"/>
      <c r="F131" s="439">
        <f>1554-1070</f>
        <v>484</v>
      </c>
      <c r="G131" s="439"/>
      <c r="H131" s="439"/>
    </row>
    <row r="132" spans="1:8" s="434" customFormat="1" x14ac:dyDescent="0.25">
      <c r="A132" s="437"/>
      <c r="B132" s="438" t="s">
        <v>1717</v>
      </c>
      <c r="C132" s="439"/>
      <c r="D132" s="439"/>
      <c r="E132" s="213"/>
      <c r="F132" s="439">
        <v>91</v>
      </c>
      <c r="G132" s="439"/>
      <c r="H132" s="439"/>
    </row>
    <row r="133" spans="1:8" s="434" customFormat="1" ht="37.5" x14ac:dyDescent="0.25">
      <c r="A133" s="437"/>
      <c r="B133" s="438" t="s">
        <v>1707</v>
      </c>
      <c r="C133" s="439"/>
      <c r="D133" s="439"/>
      <c r="E133" s="213"/>
      <c r="F133" s="439">
        <v>340</v>
      </c>
      <c r="G133" s="439"/>
      <c r="H133" s="439"/>
    </row>
    <row r="134" spans="1:8" s="50" customFormat="1" x14ac:dyDescent="0.25">
      <c r="A134" s="485" t="s">
        <v>16</v>
      </c>
      <c r="B134" s="486" t="s">
        <v>1670</v>
      </c>
      <c r="C134" s="487"/>
      <c r="D134" s="487"/>
      <c r="E134" s="487">
        <v>7886</v>
      </c>
      <c r="F134" s="487">
        <f>SUM(F135:F136)</f>
        <v>4230.4400000000005</v>
      </c>
      <c r="G134" s="487">
        <f t="shared" ref="G134:H134" si="5">SUM(G135:G136)</f>
        <v>0</v>
      </c>
      <c r="H134" s="487">
        <f t="shared" si="5"/>
        <v>0</v>
      </c>
    </row>
    <row r="135" spans="1:8" s="434" customFormat="1" ht="93.75" x14ac:dyDescent="0.25">
      <c r="A135" s="437">
        <v>1</v>
      </c>
      <c r="B135" s="438" t="s">
        <v>1671</v>
      </c>
      <c r="C135" s="439"/>
      <c r="D135" s="439"/>
      <c r="E135" s="213">
        <v>2245</v>
      </c>
      <c r="F135" s="439">
        <v>1119</v>
      </c>
      <c r="G135" s="439"/>
      <c r="H135" s="439"/>
    </row>
    <row r="136" spans="1:8" s="434" customFormat="1" ht="56.25" x14ac:dyDescent="0.25">
      <c r="A136" s="392">
        <v>2</v>
      </c>
      <c r="B136" s="116" t="s">
        <v>1878</v>
      </c>
      <c r="C136" s="483"/>
      <c r="D136" s="483"/>
      <c r="E136" s="511"/>
      <c r="F136" s="483">
        <v>3111.44</v>
      </c>
      <c r="G136" s="483"/>
      <c r="H136" s="483"/>
    </row>
    <row r="137" spans="1:8" s="434" customFormat="1" x14ac:dyDescent="0.25">
      <c r="A137" s="444"/>
      <c r="B137" s="445"/>
      <c r="C137" s="446"/>
      <c r="D137" s="446"/>
      <c r="E137" s="446"/>
      <c r="F137" s="446"/>
      <c r="G137" s="446"/>
      <c r="H137" s="446"/>
    </row>
    <row r="138" spans="1:8" s="434" customFormat="1" ht="43.5" customHeight="1" x14ac:dyDescent="0.25">
      <c r="A138" s="447"/>
      <c r="B138" s="579" t="s">
        <v>1860</v>
      </c>
      <c r="C138" s="579"/>
      <c r="D138" s="579"/>
      <c r="E138" s="579"/>
      <c r="F138" s="579"/>
      <c r="G138" s="579"/>
      <c r="H138" s="579"/>
    </row>
    <row r="139" spans="1:8" x14ac:dyDescent="0.25">
      <c r="A139" s="414"/>
      <c r="B139" s="418" t="s">
        <v>661</v>
      </c>
    </row>
    <row r="140" spans="1:8" x14ac:dyDescent="0.25">
      <c r="A140" s="414"/>
    </row>
    <row r="141" spans="1:8" x14ac:dyDescent="0.25">
      <c r="A141" s="550" t="s">
        <v>36</v>
      </c>
      <c r="B141" s="550"/>
      <c r="D141" s="550" t="s">
        <v>37</v>
      </c>
      <c r="E141" s="550"/>
      <c r="F141" s="550"/>
      <c r="G141" s="550"/>
      <c r="H141" s="550"/>
    </row>
  </sheetData>
  <mergeCells count="17">
    <mergeCell ref="C27:H27"/>
    <mergeCell ref="B28:H28"/>
    <mergeCell ref="B138:H138"/>
    <mergeCell ref="A141:B141"/>
    <mergeCell ref="D141:H141"/>
    <mergeCell ref="C26:H26"/>
    <mergeCell ref="A1:H1"/>
    <mergeCell ref="B3:H3"/>
    <mergeCell ref="C7:H7"/>
    <mergeCell ref="C8:H8"/>
    <mergeCell ref="C9:H9"/>
    <mergeCell ref="C10:H10"/>
    <mergeCell ref="C11:H11"/>
    <mergeCell ref="C16:H16"/>
    <mergeCell ref="C18:H18"/>
    <mergeCell ref="C24:H24"/>
    <mergeCell ref="C25:H25"/>
  </mergeCells>
  <printOptions horizontalCentered="1"/>
  <pageMargins left="0.19685039370078741" right="0.19685039370078741" top="0.39370078740157483" bottom="0.29527559055118113" header="0.31496062992125984" footer="0.31496062992125984"/>
  <pageSetup paperSize="9" scale="89" orientation="portrait" r:id="rId1"/>
  <headerFooter>
    <oddFooter>&amp;C&amp;P/&amp;N</oddFooter>
  </headerFooter>
  <legacyDrawing r:id="rId2"/>
</worksheet>
</file>

<file path=xl/worksheets/sheet3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96"/>
  <sheetViews>
    <sheetView topLeftCell="A86" zoomScaleNormal="100" workbookViewId="0">
      <selection activeCell="F84" activeCellId="1" sqref="F78:F79 F84:F86"/>
    </sheetView>
  </sheetViews>
  <sheetFormatPr defaultRowHeight="18.75" x14ac:dyDescent="0.25"/>
  <cols>
    <col min="1" max="1" width="4.85546875" style="49" customWidth="1"/>
    <col min="2" max="2" width="44.42578125" style="49" customWidth="1"/>
    <col min="3" max="4" width="7.85546875" style="49" customWidth="1"/>
    <col min="5" max="8" width="11.7109375" style="49" customWidth="1"/>
    <col min="9" max="16384" width="9.140625" style="49"/>
  </cols>
  <sheetData>
    <row r="1" spans="1:8" ht="41.25" customHeight="1" x14ac:dyDescent="0.25">
      <c r="A1" s="569" t="s">
        <v>1074</v>
      </c>
      <c r="B1" s="570"/>
      <c r="C1" s="570"/>
      <c r="D1" s="570"/>
      <c r="E1" s="570"/>
      <c r="F1" s="570"/>
      <c r="G1" s="570"/>
      <c r="H1" s="570"/>
    </row>
    <row r="2" spans="1:8" x14ac:dyDescent="0.25">
      <c r="A2" s="50"/>
      <c r="B2" s="50"/>
      <c r="C2" s="50"/>
      <c r="D2" s="51"/>
      <c r="E2" s="51"/>
      <c r="F2" s="51"/>
      <c r="G2" s="51"/>
      <c r="H2" s="51"/>
    </row>
    <row r="3" spans="1:8" ht="40.5" customHeight="1" x14ac:dyDescent="0.25">
      <c r="B3" s="565" t="s">
        <v>1719</v>
      </c>
      <c r="C3" s="565"/>
      <c r="D3" s="565"/>
      <c r="E3" s="565"/>
      <c r="F3" s="565"/>
      <c r="G3" s="565"/>
      <c r="H3" s="565"/>
    </row>
    <row r="4" spans="1:8" x14ac:dyDescent="0.25">
      <c r="B4" s="49" t="s">
        <v>39</v>
      </c>
      <c r="D4" s="52"/>
      <c r="E4" s="52"/>
      <c r="F4" s="52"/>
      <c r="G4" s="52"/>
      <c r="H4" s="52"/>
    </row>
    <row r="5" spans="1:8" s="50" customFormat="1" x14ac:dyDescent="0.25">
      <c r="B5" s="50" t="s">
        <v>18</v>
      </c>
    </row>
    <row r="6" spans="1:8" s="50" customFormat="1" x14ac:dyDescent="0.25">
      <c r="B6" s="49" t="s">
        <v>414</v>
      </c>
      <c r="C6" s="566" t="s">
        <v>49</v>
      </c>
      <c r="D6" s="566"/>
      <c r="E6" s="566"/>
      <c r="F6" s="566"/>
      <c r="G6" s="566"/>
      <c r="H6" s="566"/>
    </row>
    <row r="7" spans="1:8" hidden="1" x14ac:dyDescent="0.25">
      <c r="B7" s="49" t="s">
        <v>411</v>
      </c>
      <c r="C7" s="566" t="s">
        <v>49</v>
      </c>
      <c r="D7" s="566"/>
      <c r="E7" s="566"/>
      <c r="F7" s="566"/>
      <c r="G7" s="566"/>
      <c r="H7" s="566"/>
    </row>
    <row r="8" spans="1:8" x14ac:dyDescent="0.25">
      <c r="B8" s="49" t="s">
        <v>19</v>
      </c>
      <c r="C8" s="566" t="s">
        <v>50</v>
      </c>
      <c r="D8" s="566"/>
      <c r="E8" s="566"/>
      <c r="F8" s="566"/>
      <c r="G8" s="566"/>
      <c r="H8" s="566"/>
    </row>
    <row r="9" spans="1:8" hidden="1" x14ac:dyDescent="0.25">
      <c r="B9" s="49" t="s">
        <v>90</v>
      </c>
      <c r="C9" s="566" t="s">
        <v>60</v>
      </c>
      <c r="D9" s="566"/>
      <c r="E9" s="566"/>
      <c r="F9" s="566"/>
      <c r="G9" s="566"/>
      <c r="H9" s="566"/>
    </row>
    <row r="10" spans="1:8" x14ac:dyDescent="0.25">
      <c r="B10" s="49" t="s">
        <v>59</v>
      </c>
      <c r="C10" s="566" t="s">
        <v>60</v>
      </c>
      <c r="D10" s="566"/>
      <c r="E10" s="566"/>
      <c r="F10" s="566"/>
      <c r="G10" s="566"/>
      <c r="H10" s="566"/>
    </row>
    <row r="11" spans="1:8" hidden="1" x14ac:dyDescent="0.25">
      <c r="B11" s="49" t="s">
        <v>20</v>
      </c>
      <c r="C11" s="566" t="s">
        <v>86</v>
      </c>
      <c r="D11" s="566"/>
      <c r="E11" s="566"/>
      <c r="F11" s="566"/>
      <c r="G11" s="566"/>
      <c r="H11" s="566"/>
    </row>
    <row r="12" spans="1:8" x14ac:dyDescent="0.25">
      <c r="B12" s="49" t="s">
        <v>1205</v>
      </c>
      <c r="C12" s="132" t="s">
        <v>87</v>
      </c>
      <c r="D12" s="132"/>
      <c r="E12" s="132"/>
      <c r="F12" s="321"/>
      <c r="G12" s="132"/>
      <c r="H12" s="132"/>
    </row>
    <row r="13" spans="1:8" x14ac:dyDescent="0.25">
      <c r="B13" s="49" t="s">
        <v>306</v>
      </c>
      <c r="C13" s="132" t="s">
        <v>88</v>
      </c>
      <c r="D13" s="132"/>
      <c r="E13" s="132"/>
      <c r="F13" s="321"/>
      <c r="G13" s="132"/>
      <c r="H13" s="132"/>
    </row>
    <row r="14" spans="1:8" hidden="1" x14ac:dyDescent="0.25">
      <c r="B14" s="49" t="s">
        <v>94</v>
      </c>
      <c r="C14" s="132" t="s">
        <v>95</v>
      </c>
      <c r="D14" s="132"/>
      <c r="E14" s="132"/>
      <c r="F14" s="321"/>
      <c r="G14" s="132"/>
      <c r="H14" s="132"/>
    </row>
    <row r="15" spans="1:8" x14ac:dyDescent="0.25">
      <c r="C15" s="132"/>
      <c r="D15" s="132"/>
      <c r="E15" s="132"/>
      <c r="F15" s="321"/>
      <c r="G15" s="132"/>
      <c r="H15" s="132"/>
    </row>
    <row r="16" spans="1:8" hidden="1" x14ac:dyDescent="0.25">
      <c r="B16" s="49" t="s">
        <v>21</v>
      </c>
      <c r="C16" s="566"/>
      <c r="D16" s="566"/>
      <c r="E16" s="566"/>
      <c r="F16" s="566"/>
      <c r="G16" s="566"/>
      <c r="H16" s="566"/>
    </row>
    <row r="17" spans="1:9" s="50" customFormat="1" x14ac:dyDescent="0.25">
      <c r="B17" s="50" t="s">
        <v>406</v>
      </c>
    </row>
    <row r="18" spans="1:9" x14ac:dyDescent="0.25">
      <c r="B18" s="49" t="s">
        <v>412</v>
      </c>
      <c r="C18" s="566" t="s">
        <v>410</v>
      </c>
      <c r="D18" s="566"/>
      <c r="E18" s="566"/>
      <c r="F18" s="566"/>
      <c r="G18" s="566"/>
      <c r="H18" s="566"/>
    </row>
    <row r="19" spans="1:9" hidden="1" x14ac:dyDescent="0.25">
      <c r="B19" s="49" t="s">
        <v>906</v>
      </c>
      <c r="C19" s="230" t="s">
        <v>907</v>
      </c>
      <c r="D19" s="230"/>
      <c r="E19" s="230"/>
      <c r="F19" s="321"/>
      <c r="G19" s="230"/>
      <c r="H19" s="230"/>
    </row>
    <row r="20" spans="1:9" x14ac:dyDescent="0.25">
      <c r="B20" s="49" t="s">
        <v>407</v>
      </c>
      <c r="C20" s="132" t="s">
        <v>408</v>
      </c>
      <c r="D20" s="132"/>
      <c r="E20" s="132"/>
      <c r="F20" s="321"/>
      <c r="G20" s="132"/>
      <c r="H20" s="132"/>
    </row>
    <row r="21" spans="1:9" x14ac:dyDescent="0.25">
      <c r="B21" s="49" t="s">
        <v>1720</v>
      </c>
      <c r="C21" s="132" t="s">
        <v>1721</v>
      </c>
      <c r="D21" s="132"/>
      <c r="E21" s="132"/>
      <c r="F21" s="321"/>
      <c r="G21" s="132"/>
      <c r="H21" s="132"/>
    </row>
    <row r="22" spans="1:9" x14ac:dyDescent="0.25">
      <c r="B22" s="49" t="s">
        <v>409</v>
      </c>
      <c r="C22" s="566" t="s">
        <v>334</v>
      </c>
      <c r="D22" s="566"/>
      <c r="E22" s="566"/>
      <c r="F22" s="566"/>
      <c r="G22" s="566"/>
      <c r="H22" s="566"/>
    </row>
    <row r="23" spans="1:9" hidden="1" x14ac:dyDescent="0.25">
      <c r="B23" s="49" t="s">
        <v>20</v>
      </c>
      <c r="C23" s="566"/>
      <c r="D23" s="566"/>
      <c r="E23" s="566"/>
      <c r="F23" s="566"/>
      <c r="G23" s="566"/>
      <c r="H23" s="566"/>
    </row>
    <row r="24" spans="1:9" hidden="1" x14ac:dyDescent="0.25">
      <c r="B24" s="49" t="s">
        <v>21</v>
      </c>
      <c r="C24" s="566"/>
      <c r="D24" s="566"/>
      <c r="E24" s="566"/>
      <c r="F24" s="566"/>
      <c r="G24" s="566"/>
      <c r="H24" s="566"/>
    </row>
    <row r="25" spans="1:9" hidden="1" x14ac:dyDescent="0.25">
      <c r="B25" s="49" t="s">
        <v>21</v>
      </c>
      <c r="C25" s="566"/>
      <c r="D25" s="566"/>
      <c r="E25" s="566"/>
      <c r="F25" s="566"/>
      <c r="G25" s="566"/>
      <c r="H25" s="566"/>
    </row>
    <row r="26" spans="1:9" hidden="1" x14ac:dyDescent="0.25">
      <c r="B26" s="49" t="s">
        <v>21</v>
      </c>
      <c r="C26" s="566"/>
      <c r="D26" s="566"/>
      <c r="E26" s="566"/>
      <c r="F26" s="566"/>
      <c r="G26" s="566"/>
      <c r="H26" s="566"/>
    </row>
    <row r="27" spans="1:9" ht="39.75" customHeight="1" x14ac:dyDescent="0.25">
      <c r="B27" s="556" t="s">
        <v>1073</v>
      </c>
      <c r="C27" s="556"/>
      <c r="D27" s="556"/>
      <c r="E27" s="556"/>
      <c r="F27" s="556"/>
      <c r="G27" s="556"/>
      <c r="H27" s="556"/>
    </row>
    <row r="28" spans="1:9" x14ac:dyDescent="0.25">
      <c r="A28" s="54"/>
      <c r="H28" s="54" t="s">
        <v>61</v>
      </c>
    </row>
    <row r="29" spans="1:9" s="320" customFormat="1" ht="75" x14ac:dyDescent="0.25">
      <c r="A29" s="484" t="s">
        <v>62</v>
      </c>
      <c r="B29" s="484" t="s">
        <v>2</v>
      </c>
      <c r="C29" s="484" t="s">
        <v>17</v>
      </c>
      <c r="D29" s="484" t="s">
        <v>464</v>
      </c>
      <c r="E29" s="482" t="s">
        <v>1099</v>
      </c>
      <c r="F29" s="482" t="s">
        <v>9</v>
      </c>
      <c r="G29" s="482" t="s">
        <v>461</v>
      </c>
      <c r="H29" s="482" t="s">
        <v>1046</v>
      </c>
    </row>
    <row r="30" spans="1:9" s="131" customFormat="1" x14ac:dyDescent="0.25">
      <c r="A30" s="482"/>
      <c r="B30" s="482" t="s">
        <v>97</v>
      </c>
      <c r="C30" s="431"/>
      <c r="D30" s="431"/>
      <c r="E30" s="431">
        <f>E31+E41</f>
        <v>24030</v>
      </c>
      <c r="F30" s="431">
        <f>F31+F41</f>
        <v>28610.6</v>
      </c>
      <c r="G30" s="431">
        <f>G31+G41</f>
        <v>10214</v>
      </c>
      <c r="H30" s="431">
        <f>H31+H41</f>
        <v>7605</v>
      </c>
      <c r="I30" s="267"/>
    </row>
    <row r="31" spans="1:9" s="50" customFormat="1" ht="21" customHeight="1" x14ac:dyDescent="0.25">
      <c r="A31" s="96" t="s">
        <v>51</v>
      </c>
      <c r="B31" s="97" t="s">
        <v>1081</v>
      </c>
      <c r="C31" s="98"/>
      <c r="D31" s="98"/>
      <c r="E31" s="98">
        <f>+E36+E37-E38</f>
        <v>5944</v>
      </c>
      <c r="F31" s="98">
        <f>+F36+F37-F38</f>
        <v>6185</v>
      </c>
      <c r="G31" s="98">
        <f>+G36+G37-G38</f>
        <v>6295</v>
      </c>
      <c r="H31" s="98">
        <f>+H36+H37-H38</f>
        <v>6405</v>
      </c>
    </row>
    <row r="32" spans="1:9" s="142" customFormat="1" ht="19.5" x14ac:dyDescent="0.25">
      <c r="A32" s="456"/>
      <c r="B32" s="457" t="s">
        <v>1723</v>
      </c>
      <c r="C32" s="458"/>
      <c r="D32" s="458"/>
      <c r="E32" s="458">
        <f>E33</f>
        <v>1637</v>
      </c>
      <c r="F32" s="458">
        <f t="shared" ref="F32:H32" si="0">F33</f>
        <v>1741</v>
      </c>
      <c r="G32" s="458">
        <f t="shared" si="0"/>
        <v>1741</v>
      </c>
      <c r="H32" s="458">
        <f t="shared" si="0"/>
        <v>1741</v>
      </c>
    </row>
    <row r="33" spans="1:11" ht="37.5" x14ac:dyDescent="0.25">
      <c r="A33" s="437"/>
      <c r="B33" s="438" t="s">
        <v>909</v>
      </c>
      <c r="C33" s="439"/>
      <c r="D33" s="439"/>
      <c r="E33" s="439">
        <v>1637</v>
      </c>
      <c r="F33" s="439">
        <v>1741</v>
      </c>
      <c r="G33" s="439">
        <f t="shared" ref="G33:H35" si="1">F33</f>
        <v>1741</v>
      </c>
      <c r="H33" s="439">
        <f t="shared" si="1"/>
        <v>1741</v>
      </c>
    </row>
    <row r="34" spans="1:11" hidden="1" x14ac:dyDescent="0.25">
      <c r="A34" s="437"/>
      <c r="B34" s="438" t="s">
        <v>908</v>
      </c>
      <c r="C34" s="439"/>
      <c r="D34" s="439"/>
      <c r="E34" s="439">
        <v>1613</v>
      </c>
      <c r="F34" s="439">
        <v>890</v>
      </c>
      <c r="G34" s="439">
        <f t="shared" si="1"/>
        <v>890</v>
      </c>
      <c r="H34" s="439">
        <f t="shared" si="1"/>
        <v>890</v>
      </c>
    </row>
    <row r="35" spans="1:11" x14ac:dyDescent="0.25">
      <c r="A35" s="437"/>
      <c r="B35" s="438" t="s">
        <v>910</v>
      </c>
      <c r="C35" s="439"/>
      <c r="D35" s="439"/>
      <c r="E35" s="439">
        <f>E33-16</f>
        <v>1621</v>
      </c>
      <c r="F35" s="439">
        <f>(F33-1300-44)+(1300-679)</f>
        <v>1018</v>
      </c>
      <c r="G35" s="439">
        <f t="shared" si="1"/>
        <v>1018</v>
      </c>
      <c r="H35" s="439">
        <f t="shared" si="1"/>
        <v>1018</v>
      </c>
    </row>
    <row r="36" spans="1:11" s="434" customFormat="1" ht="37.5" x14ac:dyDescent="0.25">
      <c r="A36" s="437">
        <v>1</v>
      </c>
      <c r="B36" s="438" t="s">
        <v>1722</v>
      </c>
      <c r="C36" s="439">
        <v>47</v>
      </c>
      <c r="D36" s="439">
        <v>47</v>
      </c>
      <c r="E36" s="439">
        <v>5365</v>
      </c>
      <c r="F36" s="439">
        <v>5745</v>
      </c>
      <c r="G36" s="439">
        <f>ROUND(F36+15*7.3,0)</f>
        <v>5855</v>
      </c>
      <c r="H36" s="439">
        <f>ROUND(G36+15*7.3,0)</f>
        <v>5965</v>
      </c>
    </row>
    <row r="37" spans="1:11" s="434" customFormat="1" ht="37.5" x14ac:dyDescent="0.25">
      <c r="A37" s="437">
        <v>2</v>
      </c>
      <c r="B37" s="438" t="s">
        <v>816</v>
      </c>
      <c r="C37" s="227">
        <v>47</v>
      </c>
      <c r="D37" s="439"/>
      <c r="E37" s="439">
        <v>980</v>
      </c>
      <c r="F37" s="439">
        <f>C37*20</f>
        <v>940</v>
      </c>
      <c r="G37" s="439">
        <f>F37</f>
        <v>940</v>
      </c>
      <c r="H37" s="439">
        <f>G37</f>
        <v>940</v>
      </c>
    </row>
    <row r="38" spans="1:11" s="434" customFormat="1" x14ac:dyDescent="0.25">
      <c r="A38" s="437">
        <v>3</v>
      </c>
      <c r="B38" s="438" t="s">
        <v>1092</v>
      </c>
      <c r="C38" s="227"/>
      <c r="D38" s="439"/>
      <c r="E38" s="439">
        <f>SUM(E39:E40)</f>
        <v>401</v>
      </c>
      <c r="F38" s="439">
        <f>SUM(F39:F40)</f>
        <v>500</v>
      </c>
      <c r="G38" s="439">
        <f>SUM(G39:G40)</f>
        <v>500</v>
      </c>
      <c r="H38" s="439">
        <f>SUM(H39:H40)</f>
        <v>500</v>
      </c>
    </row>
    <row r="39" spans="1:11" x14ac:dyDescent="0.25">
      <c r="A39" s="437"/>
      <c r="B39" s="438" t="s">
        <v>969</v>
      </c>
      <c r="C39" s="439"/>
      <c r="D39" s="439"/>
      <c r="E39" s="439">
        <v>98</v>
      </c>
      <c r="F39" s="439">
        <v>94</v>
      </c>
      <c r="G39" s="439">
        <v>94</v>
      </c>
      <c r="H39" s="439">
        <f>G39</f>
        <v>94</v>
      </c>
    </row>
    <row r="40" spans="1:11" x14ac:dyDescent="0.25">
      <c r="A40" s="437"/>
      <c r="B40" s="438" t="s">
        <v>968</v>
      </c>
      <c r="C40" s="439"/>
      <c r="D40" s="439"/>
      <c r="E40" s="439">
        <v>303</v>
      </c>
      <c r="F40" s="439">
        <v>406</v>
      </c>
      <c r="G40" s="439">
        <f>F40</f>
        <v>406</v>
      </c>
      <c r="H40" s="439">
        <f>G40</f>
        <v>406</v>
      </c>
    </row>
    <row r="41" spans="1:11" s="50" customFormat="1" x14ac:dyDescent="0.25">
      <c r="A41" s="441" t="s">
        <v>52</v>
      </c>
      <c r="B41" s="442" t="s">
        <v>98</v>
      </c>
      <c r="C41" s="443"/>
      <c r="D41" s="443"/>
      <c r="E41" s="443">
        <f>E42+E75</f>
        <v>18086</v>
      </c>
      <c r="F41" s="443">
        <f>F42+F75</f>
        <v>22425.599999999999</v>
      </c>
      <c r="G41" s="443">
        <f t="shared" ref="G41:H41" si="2">G42+G75</f>
        <v>3919</v>
      </c>
      <c r="H41" s="443">
        <f t="shared" si="2"/>
        <v>1200</v>
      </c>
    </row>
    <row r="42" spans="1:11" s="50" customFormat="1" x14ac:dyDescent="0.25">
      <c r="A42" s="441">
        <v>1</v>
      </c>
      <c r="B42" s="442" t="s">
        <v>1747</v>
      </c>
      <c r="C42" s="443"/>
      <c r="D42" s="443"/>
      <c r="E42" s="443">
        <f>E43+E50+E56+E62</f>
        <v>15038</v>
      </c>
      <c r="F42" s="443">
        <f t="shared" ref="F42:H42" si="3">F43+F50+F56+F62</f>
        <v>18920.599999999999</v>
      </c>
      <c r="G42" s="443">
        <f t="shared" si="3"/>
        <v>2719</v>
      </c>
      <c r="H42" s="443">
        <f t="shared" si="3"/>
        <v>0</v>
      </c>
    </row>
    <row r="43" spans="1:11" s="142" customFormat="1" ht="19.5" x14ac:dyDescent="0.25">
      <c r="A43" s="456" t="s">
        <v>53</v>
      </c>
      <c r="B43" s="457" t="s">
        <v>717</v>
      </c>
      <c r="C43" s="458"/>
      <c r="D43" s="458"/>
      <c r="E43" s="458">
        <v>4550</v>
      </c>
      <c r="F43" s="458">
        <f>SUM(F44:F49)</f>
        <v>5747</v>
      </c>
      <c r="G43" s="458">
        <f>SUM(G44:G49)</f>
        <v>0</v>
      </c>
      <c r="H43" s="458">
        <f>SUM(H44:H49)</f>
        <v>0</v>
      </c>
      <c r="I43" s="510"/>
      <c r="J43" s="510"/>
      <c r="K43" s="510"/>
    </row>
    <row r="44" spans="1:11" x14ac:dyDescent="0.25">
      <c r="A44" s="437" t="s">
        <v>99</v>
      </c>
      <c r="B44" s="438" t="s">
        <v>1724</v>
      </c>
      <c r="C44" s="439"/>
      <c r="D44" s="439"/>
      <c r="E44" s="439"/>
      <c r="F44" s="439">
        <v>195</v>
      </c>
      <c r="G44" s="439"/>
      <c r="H44" s="439"/>
    </row>
    <row r="45" spans="1:11" x14ac:dyDescent="0.25">
      <c r="A45" s="437" t="s">
        <v>99</v>
      </c>
      <c r="B45" s="438" t="s">
        <v>1725</v>
      </c>
      <c r="C45" s="439"/>
      <c r="D45" s="439"/>
      <c r="E45" s="439"/>
      <c r="F45" s="439">
        <v>2276</v>
      </c>
      <c r="G45" s="439"/>
      <c r="H45" s="439"/>
    </row>
    <row r="46" spans="1:11" ht="37.5" x14ac:dyDescent="0.25">
      <c r="A46" s="437" t="s">
        <v>99</v>
      </c>
      <c r="B46" s="438" t="s">
        <v>1726</v>
      </c>
      <c r="C46" s="439"/>
      <c r="D46" s="439"/>
      <c r="E46" s="439"/>
      <c r="F46" s="439">
        <v>1198</v>
      </c>
      <c r="G46" s="439"/>
      <c r="H46" s="439"/>
    </row>
    <row r="47" spans="1:11" ht="37.5" x14ac:dyDescent="0.25">
      <c r="A47" s="437" t="s">
        <v>99</v>
      </c>
      <c r="B47" s="438" t="s">
        <v>1758</v>
      </c>
      <c r="C47" s="439"/>
      <c r="D47" s="439"/>
      <c r="E47" s="439"/>
      <c r="F47" s="439">
        <v>1848</v>
      </c>
      <c r="G47" s="439"/>
      <c r="H47" s="439"/>
    </row>
    <row r="48" spans="1:11" ht="37.5" x14ac:dyDescent="0.25">
      <c r="A48" s="437" t="s">
        <v>99</v>
      </c>
      <c r="B48" s="438" t="s">
        <v>1727</v>
      </c>
      <c r="C48" s="439"/>
      <c r="D48" s="439"/>
      <c r="E48" s="439"/>
      <c r="F48" s="439">
        <v>130</v>
      </c>
      <c r="G48" s="439"/>
      <c r="H48" s="439"/>
    </row>
    <row r="49" spans="1:9" x14ac:dyDescent="0.25">
      <c r="A49" s="437" t="s">
        <v>99</v>
      </c>
      <c r="B49" s="438" t="s">
        <v>413</v>
      </c>
      <c r="C49" s="439"/>
      <c r="D49" s="439"/>
      <c r="E49" s="439"/>
      <c r="F49" s="439">
        <v>100</v>
      </c>
      <c r="G49" s="439"/>
      <c r="H49" s="439"/>
    </row>
    <row r="50" spans="1:9" s="142" customFormat="1" ht="19.5" x14ac:dyDescent="0.25">
      <c r="A50" s="456" t="s">
        <v>54</v>
      </c>
      <c r="B50" s="457" t="s">
        <v>1730</v>
      </c>
      <c r="C50" s="458"/>
      <c r="D50" s="458"/>
      <c r="E50" s="458">
        <v>2774</v>
      </c>
      <c r="F50" s="458">
        <f>SUM(F51:F55)</f>
        <v>4542</v>
      </c>
      <c r="G50" s="458">
        <f>SUM(G51:G55)</f>
        <v>0</v>
      </c>
      <c r="H50" s="458">
        <f>SUM(H51:H55)</f>
        <v>0</v>
      </c>
    </row>
    <row r="51" spans="1:9" x14ac:dyDescent="0.3">
      <c r="A51" s="437" t="s">
        <v>99</v>
      </c>
      <c r="B51" s="251" t="s">
        <v>1728</v>
      </c>
      <c r="C51" s="439"/>
      <c r="D51" s="439"/>
      <c r="E51" s="439"/>
      <c r="F51" s="439">
        <v>1681</v>
      </c>
      <c r="G51" s="439"/>
      <c r="H51" s="439"/>
    </row>
    <row r="52" spans="1:9" ht="37.5" x14ac:dyDescent="0.25">
      <c r="A52" s="437" t="s">
        <v>99</v>
      </c>
      <c r="B52" s="438" t="s">
        <v>1759</v>
      </c>
      <c r="C52" s="439"/>
      <c r="D52" s="439"/>
      <c r="E52" s="439"/>
      <c r="F52" s="439">
        <v>2220</v>
      </c>
      <c r="G52" s="439"/>
      <c r="H52" s="439"/>
    </row>
    <row r="53" spans="1:9" ht="37.5" x14ac:dyDescent="0.25">
      <c r="A53" s="437" t="s">
        <v>99</v>
      </c>
      <c r="B53" s="438" t="s">
        <v>1729</v>
      </c>
      <c r="C53" s="439"/>
      <c r="D53" s="439"/>
      <c r="E53" s="439"/>
      <c r="F53" s="439">
        <v>155</v>
      </c>
      <c r="G53" s="439"/>
      <c r="H53" s="439"/>
    </row>
    <row r="54" spans="1:9" s="434" customFormat="1" ht="37.5" x14ac:dyDescent="0.25">
      <c r="A54" s="437" t="s">
        <v>99</v>
      </c>
      <c r="B54" s="438" t="s">
        <v>1760</v>
      </c>
      <c r="C54" s="439"/>
      <c r="D54" s="439"/>
      <c r="E54" s="439"/>
      <c r="F54" s="439">
        <v>186</v>
      </c>
      <c r="G54" s="439"/>
      <c r="H54" s="439"/>
    </row>
    <row r="55" spans="1:9" x14ac:dyDescent="0.3">
      <c r="A55" s="437" t="s">
        <v>99</v>
      </c>
      <c r="B55" s="65" t="s">
        <v>413</v>
      </c>
      <c r="C55" s="439"/>
      <c r="D55" s="439"/>
      <c r="E55" s="439"/>
      <c r="F55" s="439">
        <v>300</v>
      </c>
      <c r="G55" s="439"/>
      <c r="H55" s="439"/>
    </row>
    <row r="56" spans="1:9" s="142" customFormat="1" ht="19.5" x14ac:dyDescent="0.25">
      <c r="A56" s="456" t="s">
        <v>55</v>
      </c>
      <c r="B56" s="457" t="s">
        <v>1731</v>
      </c>
      <c r="C56" s="458"/>
      <c r="D56" s="458"/>
      <c r="E56" s="458">
        <v>3640</v>
      </c>
      <c r="F56" s="458">
        <f>SUM(F57:F61)</f>
        <v>3733</v>
      </c>
      <c r="G56" s="458">
        <f>SUM(G57:G61)</f>
        <v>0</v>
      </c>
      <c r="H56" s="458">
        <f>SUM(H57:H61)</f>
        <v>0</v>
      </c>
    </row>
    <row r="57" spans="1:9" x14ac:dyDescent="0.3">
      <c r="A57" s="437" t="s">
        <v>99</v>
      </c>
      <c r="B57" s="251" t="s">
        <v>1732</v>
      </c>
      <c r="C57" s="439"/>
      <c r="D57" s="439"/>
      <c r="E57" s="439"/>
      <c r="F57" s="439">
        <v>703</v>
      </c>
      <c r="G57" s="439"/>
      <c r="H57" s="439"/>
    </row>
    <row r="58" spans="1:9" ht="37.5" x14ac:dyDescent="0.25">
      <c r="A58" s="437" t="s">
        <v>99</v>
      </c>
      <c r="B58" s="438" t="s">
        <v>1733</v>
      </c>
      <c r="C58" s="439"/>
      <c r="D58" s="439"/>
      <c r="E58" s="439"/>
      <c r="F58" s="439">
        <v>1406</v>
      </c>
      <c r="G58" s="439"/>
      <c r="H58" s="439"/>
    </row>
    <row r="59" spans="1:9" ht="37.5" x14ac:dyDescent="0.25">
      <c r="A59" s="437" t="s">
        <v>99</v>
      </c>
      <c r="B59" s="438" t="s">
        <v>1734</v>
      </c>
      <c r="C59" s="439"/>
      <c r="D59" s="439"/>
      <c r="E59" s="439"/>
      <c r="F59" s="439">
        <v>880</v>
      </c>
      <c r="G59" s="439"/>
      <c r="H59" s="439"/>
    </row>
    <row r="60" spans="1:9" x14ac:dyDescent="0.25">
      <c r="A60" s="437" t="s">
        <v>99</v>
      </c>
      <c r="B60" s="438" t="s">
        <v>1735</v>
      </c>
      <c r="C60" s="439"/>
      <c r="D60" s="439"/>
      <c r="E60" s="439"/>
      <c r="F60" s="439">
        <v>634</v>
      </c>
      <c r="G60" s="439"/>
      <c r="H60" s="439"/>
    </row>
    <row r="61" spans="1:9" ht="37.5" x14ac:dyDescent="0.25">
      <c r="A61" s="437" t="s">
        <v>99</v>
      </c>
      <c r="B61" s="438" t="s">
        <v>1736</v>
      </c>
      <c r="C61" s="439"/>
      <c r="D61" s="439"/>
      <c r="E61" s="439"/>
      <c r="F61" s="439">
        <v>110</v>
      </c>
      <c r="G61" s="439"/>
      <c r="H61" s="439"/>
    </row>
    <row r="62" spans="1:9" s="142" customFormat="1" ht="57.75" x14ac:dyDescent="0.25">
      <c r="A62" s="456" t="s">
        <v>156</v>
      </c>
      <c r="B62" s="457" t="s">
        <v>1748</v>
      </c>
      <c r="C62" s="458"/>
      <c r="D62" s="458"/>
      <c r="E62" s="458">
        <f>1198+2876</f>
        <v>4074</v>
      </c>
      <c r="F62" s="458">
        <f t="shared" ref="F62:H62" si="4">F63+F67</f>
        <v>4898.6000000000004</v>
      </c>
      <c r="G62" s="458">
        <f t="shared" si="4"/>
        <v>2719</v>
      </c>
      <c r="H62" s="458">
        <f t="shared" si="4"/>
        <v>0</v>
      </c>
      <c r="I62" s="510"/>
    </row>
    <row r="63" spans="1:9" x14ac:dyDescent="0.3">
      <c r="A63" s="441"/>
      <c r="B63" s="252" t="s">
        <v>1745</v>
      </c>
      <c r="C63" s="439"/>
      <c r="D63" s="439"/>
      <c r="E63" s="443"/>
      <c r="F63" s="443">
        <f>SUM(F64:F66)</f>
        <v>817</v>
      </c>
      <c r="G63" s="439"/>
      <c r="H63" s="439"/>
    </row>
    <row r="64" spans="1:9" ht="37.5" x14ac:dyDescent="0.25">
      <c r="A64" s="437"/>
      <c r="B64" s="438" t="s">
        <v>1761</v>
      </c>
      <c r="C64" s="439"/>
      <c r="D64" s="439"/>
      <c r="E64" s="439"/>
      <c r="F64" s="538">
        <v>286</v>
      </c>
      <c r="G64" s="439"/>
      <c r="H64" s="439"/>
    </row>
    <row r="65" spans="1:8" ht="37.5" x14ac:dyDescent="0.25">
      <c r="A65" s="437"/>
      <c r="B65" s="438" t="s">
        <v>1762</v>
      </c>
      <c r="C65" s="439"/>
      <c r="D65" s="439"/>
      <c r="E65" s="439"/>
      <c r="F65" s="538">
        <v>286</v>
      </c>
      <c r="G65" s="439"/>
      <c r="H65" s="439"/>
    </row>
    <row r="66" spans="1:8" ht="56.25" x14ac:dyDescent="0.25">
      <c r="A66" s="437"/>
      <c r="B66" s="438" t="s">
        <v>1756</v>
      </c>
      <c r="C66" s="439"/>
      <c r="D66" s="439"/>
      <c r="E66" s="439"/>
      <c r="F66" s="121">
        <v>245</v>
      </c>
      <c r="G66" s="439"/>
      <c r="H66" s="439"/>
    </row>
    <row r="67" spans="1:8" x14ac:dyDescent="0.3">
      <c r="A67" s="441"/>
      <c r="B67" s="253" t="s">
        <v>1746</v>
      </c>
      <c r="C67" s="439"/>
      <c r="D67" s="439"/>
      <c r="E67" s="443"/>
      <c r="F67" s="443">
        <f>SUM(F68:F74)</f>
        <v>4081.6000000000004</v>
      </c>
      <c r="G67" s="443">
        <f>SUM(G68:G74)</f>
        <v>2719</v>
      </c>
      <c r="H67" s="439"/>
    </row>
    <row r="68" spans="1:8" ht="37.5" x14ac:dyDescent="0.25">
      <c r="A68" s="437"/>
      <c r="B68" s="438" t="s">
        <v>1763</v>
      </c>
      <c r="C68" s="439"/>
      <c r="D68" s="439"/>
      <c r="E68" s="439"/>
      <c r="F68" s="121">
        <v>797.2</v>
      </c>
      <c r="G68" s="439">
        <v>531</v>
      </c>
      <c r="H68" s="439"/>
    </row>
    <row r="69" spans="1:8" ht="37.5" hidden="1" x14ac:dyDescent="0.25">
      <c r="A69" s="437"/>
      <c r="B69" s="438" t="s">
        <v>1737</v>
      </c>
      <c r="C69" s="439"/>
      <c r="D69" s="439"/>
      <c r="E69" s="439"/>
      <c r="F69" s="439"/>
      <c r="G69" s="439"/>
      <c r="H69" s="439"/>
    </row>
    <row r="70" spans="1:8" ht="37.5" x14ac:dyDescent="0.25">
      <c r="A70" s="437"/>
      <c r="B70" s="438" t="s">
        <v>1764</v>
      </c>
      <c r="C70" s="439"/>
      <c r="D70" s="439"/>
      <c r="E70" s="439"/>
      <c r="F70" s="538">
        <v>845</v>
      </c>
      <c r="G70" s="439">
        <v>563</v>
      </c>
      <c r="H70" s="439"/>
    </row>
    <row r="71" spans="1:8" ht="37.5" x14ac:dyDescent="0.25">
      <c r="A71" s="437"/>
      <c r="B71" s="438" t="s">
        <v>1765</v>
      </c>
      <c r="C71" s="439"/>
      <c r="D71" s="439"/>
      <c r="E71" s="439"/>
      <c r="F71" s="121">
        <v>797.2</v>
      </c>
      <c r="G71" s="439">
        <v>531</v>
      </c>
      <c r="H71" s="439"/>
    </row>
    <row r="72" spans="1:8" ht="37.5" x14ac:dyDescent="0.25">
      <c r="A72" s="437"/>
      <c r="B72" s="438" t="s">
        <v>1766</v>
      </c>
      <c r="C72" s="439"/>
      <c r="D72" s="439"/>
      <c r="E72" s="439"/>
      <c r="F72" s="538">
        <v>845</v>
      </c>
      <c r="G72" s="439">
        <v>563</v>
      </c>
      <c r="H72" s="439"/>
    </row>
    <row r="73" spans="1:8" ht="37.5" hidden="1" x14ac:dyDescent="0.25">
      <c r="A73" s="437"/>
      <c r="B73" s="438" t="s">
        <v>1738</v>
      </c>
      <c r="C73" s="439"/>
      <c r="D73" s="439"/>
      <c r="E73" s="439"/>
      <c r="F73" s="439"/>
      <c r="G73" s="439"/>
      <c r="H73" s="439"/>
    </row>
    <row r="74" spans="1:8" ht="37.5" x14ac:dyDescent="0.25">
      <c r="A74" s="437"/>
      <c r="B74" s="438" t="s">
        <v>1767</v>
      </c>
      <c r="C74" s="439"/>
      <c r="D74" s="439"/>
      <c r="E74" s="439"/>
      <c r="F74" s="121">
        <v>797.2</v>
      </c>
      <c r="G74" s="439">
        <v>531</v>
      </c>
      <c r="H74" s="439"/>
    </row>
    <row r="75" spans="1:8" s="50" customFormat="1" x14ac:dyDescent="0.25">
      <c r="A75" s="441">
        <v>2</v>
      </c>
      <c r="B75" s="442" t="s">
        <v>1749</v>
      </c>
      <c r="C75" s="443"/>
      <c r="D75" s="443"/>
      <c r="E75" s="443">
        <f>SUM(E76:E90)</f>
        <v>3048</v>
      </c>
      <c r="F75" s="443">
        <f>SUM(F76:F90)</f>
        <v>3505</v>
      </c>
      <c r="G75" s="443">
        <f t="shared" ref="G75:H75" si="5">SUM(G76:G90)</f>
        <v>1200</v>
      </c>
      <c r="H75" s="443">
        <f t="shared" si="5"/>
        <v>1200</v>
      </c>
    </row>
    <row r="76" spans="1:8" s="434" customFormat="1" ht="112.5" x14ac:dyDescent="0.25">
      <c r="A76" s="437" t="s">
        <v>99</v>
      </c>
      <c r="B76" s="438" t="s">
        <v>1768</v>
      </c>
      <c r="C76" s="439"/>
      <c r="D76" s="439"/>
      <c r="E76" s="439">
        <v>1000</v>
      </c>
      <c r="F76" s="439">
        <v>1200</v>
      </c>
      <c r="G76" s="439">
        <f>F76</f>
        <v>1200</v>
      </c>
      <c r="H76" s="439">
        <f t="shared" ref="H76" si="6">G76</f>
        <v>1200</v>
      </c>
    </row>
    <row r="77" spans="1:8" ht="75" x14ac:dyDescent="0.25">
      <c r="A77" s="437" t="s">
        <v>99</v>
      </c>
      <c r="B77" s="438" t="s">
        <v>1753</v>
      </c>
      <c r="C77" s="439"/>
      <c r="D77" s="439"/>
      <c r="E77" s="439">
        <v>400</v>
      </c>
      <c r="F77" s="439"/>
      <c r="G77" s="439"/>
      <c r="H77" s="439"/>
    </row>
    <row r="78" spans="1:8" s="434" customFormat="1" ht="56.25" x14ac:dyDescent="0.25">
      <c r="A78" s="437" t="s">
        <v>99</v>
      </c>
      <c r="B78" s="438" t="s">
        <v>1742</v>
      </c>
      <c r="C78" s="439"/>
      <c r="D78" s="439"/>
      <c r="E78" s="439"/>
      <c r="F78" s="439">
        <f>15*6+60+6*18+35*4</f>
        <v>398</v>
      </c>
      <c r="G78" s="439"/>
      <c r="H78" s="439"/>
    </row>
    <row r="79" spans="1:8" s="434" customFormat="1" x14ac:dyDescent="0.25">
      <c r="A79" s="437" t="s">
        <v>99</v>
      </c>
      <c r="B79" s="438" t="s">
        <v>184</v>
      </c>
      <c r="C79" s="439"/>
      <c r="D79" s="439"/>
      <c r="E79" s="439"/>
      <c r="F79" s="439">
        <v>40</v>
      </c>
      <c r="G79" s="439"/>
      <c r="H79" s="439"/>
    </row>
    <row r="80" spans="1:8" x14ac:dyDescent="0.25">
      <c r="A80" s="437" t="s">
        <v>99</v>
      </c>
      <c r="B80" s="438" t="s">
        <v>911</v>
      </c>
      <c r="C80" s="439"/>
      <c r="D80" s="439"/>
      <c r="E80" s="439">
        <v>200</v>
      </c>
      <c r="F80" s="439"/>
      <c r="G80" s="439"/>
      <c r="H80" s="439"/>
    </row>
    <row r="81" spans="1:8" s="434" customFormat="1" x14ac:dyDescent="0.25">
      <c r="A81" s="437" t="s">
        <v>99</v>
      </c>
      <c r="B81" s="438" t="s">
        <v>1739</v>
      </c>
      <c r="C81" s="439"/>
      <c r="D81" s="439"/>
      <c r="E81" s="439">
        <v>373</v>
      </c>
      <c r="F81" s="439"/>
      <c r="G81" s="439"/>
      <c r="H81" s="439"/>
    </row>
    <row r="82" spans="1:8" s="434" customFormat="1" x14ac:dyDescent="0.25">
      <c r="A82" s="437" t="s">
        <v>99</v>
      </c>
      <c r="B82" s="438" t="s">
        <v>1740</v>
      </c>
      <c r="C82" s="439"/>
      <c r="D82" s="439"/>
      <c r="E82" s="439">
        <v>375</v>
      </c>
      <c r="F82" s="439"/>
      <c r="G82" s="439"/>
      <c r="H82" s="439"/>
    </row>
    <row r="83" spans="1:8" s="434" customFormat="1" x14ac:dyDescent="0.25">
      <c r="A83" s="437" t="s">
        <v>99</v>
      </c>
      <c r="B83" s="438" t="s">
        <v>1741</v>
      </c>
      <c r="C83" s="439"/>
      <c r="D83" s="439"/>
      <c r="E83" s="439">
        <v>700</v>
      </c>
      <c r="F83" s="439"/>
      <c r="G83" s="439"/>
      <c r="H83" s="439"/>
    </row>
    <row r="84" spans="1:8" s="434" customFormat="1" ht="37.5" x14ac:dyDescent="0.25">
      <c r="A84" s="437" t="s">
        <v>99</v>
      </c>
      <c r="B84" s="438" t="s">
        <v>1743</v>
      </c>
      <c r="C84" s="439"/>
      <c r="D84" s="439"/>
      <c r="E84" s="439"/>
      <c r="F84" s="439">
        <v>293</v>
      </c>
      <c r="G84" s="439"/>
      <c r="H84" s="439"/>
    </row>
    <row r="85" spans="1:8" s="434" customFormat="1" x14ac:dyDescent="0.25">
      <c r="A85" s="437" t="s">
        <v>99</v>
      </c>
      <c r="B85" s="438" t="s">
        <v>1751</v>
      </c>
      <c r="C85" s="439"/>
      <c r="D85" s="439"/>
      <c r="E85" s="439"/>
      <c r="F85" s="439">
        <v>692</v>
      </c>
      <c r="G85" s="439"/>
      <c r="H85" s="439"/>
    </row>
    <row r="86" spans="1:8" s="434" customFormat="1" x14ac:dyDescent="0.25">
      <c r="A86" s="437" t="s">
        <v>99</v>
      </c>
      <c r="B86" s="438" t="s">
        <v>1744</v>
      </c>
      <c r="C86" s="439"/>
      <c r="D86" s="439"/>
      <c r="E86" s="439"/>
      <c r="F86" s="439">
        <v>250</v>
      </c>
      <c r="G86" s="439"/>
      <c r="H86" s="439"/>
    </row>
    <row r="87" spans="1:8" s="434" customFormat="1" ht="37.5" x14ac:dyDescent="0.25">
      <c r="A87" s="437" t="s">
        <v>99</v>
      </c>
      <c r="B87" s="438" t="s">
        <v>1750</v>
      </c>
      <c r="C87" s="439"/>
      <c r="D87" s="439"/>
      <c r="E87" s="439"/>
      <c r="F87" s="439">
        <v>120</v>
      </c>
      <c r="G87" s="439"/>
      <c r="H87" s="439"/>
    </row>
    <row r="88" spans="1:8" s="434" customFormat="1" ht="37.5" x14ac:dyDescent="0.25">
      <c r="A88" s="437" t="s">
        <v>99</v>
      </c>
      <c r="B88" s="438" t="s">
        <v>1752</v>
      </c>
      <c r="C88" s="439"/>
      <c r="D88" s="439"/>
      <c r="E88" s="439"/>
      <c r="F88" s="439">
        <v>122</v>
      </c>
      <c r="G88" s="439"/>
      <c r="H88" s="439"/>
    </row>
    <row r="89" spans="1:8" s="434" customFormat="1" x14ac:dyDescent="0.25">
      <c r="A89" s="437" t="s">
        <v>99</v>
      </c>
      <c r="B89" s="438" t="s">
        <v>158</v>
      </c>
      <c r="C89" s="439"/>
      <c r="D89" s="439"/>
      <c r="E89" s="439"/>
      <c r="F89" s="439">
        <v>350</v>
      </c>
      <c r="G89" s="439"/>
      <c r="H89" s="439"/>
    </row>
    <row r="90" spans="1:8" s="434" customFormat="1" x14ac:dyDescent="0.25">
      <c r="A90" s="437" t="s">
        <v>99</v>
      </c>
      <c r="B90" s="438" t="s">
        <v>1754</v>
      </c>
      <c r="C90" s="439"/>
      <c r="D90" s="439"/>
      <c r="E90" s="439"/>
      <c r="F90" s="439">
        <v>40</v>
      </c>
      <c r="G90" s="439"/>
      <c r="H90" s="439"/>
    </row>
    <row r="91" spans="1:8" s="434" customFormat="1" ht="93.75" x14ac:dyDescent="0.25">
      <c r="A91" s="437" t="s">
        <v>99</v>
      </c>
      <c r="B91" s="438" t="s">
        <v>1755</v>
      </c>
      <c r="C91" s="439"/>
      <c r="D91" s="439"/>
      <c r="E91" s="439"/>
      <c r="F91" s="439"/>
      <c r="G91" s="439"/>
      <c r="H91" s="439"/>
    </row>
    <row r="92" spans="1:8" x14ac:dyDescent="0.25">
      <c r="A92" s="444"/>
      <c r="B92" s="445"/>
      <c r="C92" s="446"/>
      <c r="D92" s="446"/>
      <c r="E92" s="446"/>
      <c r="F92" s="446"/>
      <c r="G92" s="446"/>
      <c r="H92" s="446"/>
    </row>
    <row r="93" spans="1:8" ht="40.5" customHeight="1" x14ac:dyDescent="0.25">
      <c r="A93" s="70"/>
      <c r="B93" s="567" t="s">
        <v>1757</v>
      </c>
      <c r="C93" s="567"/>
      <c r="D93" s="567"/>
      <c r="E93" s="567"/>
      <c r="F93" s="567"/>
      <c r="G93" s="567"/>
      <c r="H93" s="567"/>
    </row>
    <row r="94" spans="1:8" x14ac:dyDescent="0.25">
      <c r="B94" s="7" t="s">
        <v>682</v>
      </c>
      <c r="C94" s="7"/>
      <c r="D94" s="7"/>
      <c r="E94" s="7"/>
      <c r="F94" s="7"/>
      <c r="G94" s="7"/>
      <c r="H94" s="7"/>
    </row>
    <row r="96" spans="1:8" x14ac:dyDescent="0.25">
      <c r="A96" s="568" t="s">
        <v>36</v>
      </c>
      <c r="B96" s="568"/>
      <c r="D96" s="568" t="s">
        <v>37</v>
      </c>
      <c r="E96" s="568"/>
      <c r="F96" s="568"/>
      <c r="G96" s="568"/>
      <c r="H96" s="568"/>
    </row>
  </sheetData>
  <mergeCells count="19">
    <mergeCell ref="B93:H93"/>
    <mergeCell ref="A96:B96"/>
    <mergeCell ref="D96:H96"/>
    <mergeCell ref="C6:H6"/>
    <mergeCell ref="C25:H25"/>
    <mergeCell ref="C26:H26"/>
    <mergeCell ref="B27:H27"/>
    <mergeCell ref="C11:H11"/>
    <mergeCell ref="C16:H16"/>
    <mergeCell ref="C18:H18"/>
    <mergeCell ref="C22:H22"/>
    <mergeCell ref="C23:H23"/>
    <mergeCell ref="C24:H24"/>
    <mergeCell ref="C10:H10"/>
    <mergeCell ref="A1:H1"/>
    <mergeCell ref="B3:H3"/>
    <mergeCell ref="C7:H7"/>
    <mergeCell ref="C8:H8"/>
    <mergeCell ref="C9:H9"/>
  </mergeCells>
  <printOptions horizontalCentered="1"/>
  <pageMargins left="0.196850393700787" right="0.196850393700787" top="1" bottom="0.75" header="0.31496062992126" footer="0.31496062992126"/>
  <pageSetup paperSize="9" scale="88" orientation="portrait" r:id="rId1"/>
  <headerFooter>
    <oddFooter>&amp;C&amp;P/&amp;N</oddFooter>
  </headerFooter>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5"/>
  <sheetViews>
    <sheetView zoomScaleNormal="100" workbookViewId="0">
      <selection activeCell="L30" sqref="L30"/>
    </sheetView>
  </sheetViews>
  <sheetFormatPr defaultColWidth="9.140625" defaultRowHeight="18.75" x14ac:dyDescent="0.25"/>
  <cols>
    <col min="1" max="1" width="4.85546875" style="7" customWidth="1"/>
    <col min="2" max="2" width="43.28515625" style="7" customWidth="1"/>
    <col min="3" max="4" width="7.85546875" style="7" customWidth="1"/>
    <col min="5" max="7" width="11.7109375" style="7" customWidth="1"/>
    <col min="8" max="16384" width="9.140625" style="7"/>
  </cols>
  <sheetData>
    <row r="1" spans="1:7" ht="41.25" customHeight="1" x14ac:dyDescent="0.25">
      <c r="A1" s="549" t="s">
        <v>72</v>
      </c>
      <c r="B1" s="555"/>
      <c r="C1" s="555"/>
      <c r="D1" s="555"/>
      <c r="E1" s="555"/>
      <c r="F1" s="555"/>
      <c r="G1" s="555"/>
    </row>
    <row r="2" spans="1:7" x14ac:dyDescent="0.25">
      <c r="A2" s="6"/>
      <c r="B2" s="6"/>
      <c r="C2" s="6"/>
      <c r="D2" s="1"/>
      <c r="E2" s="1"/>
      <c r="F2" s="1"/>
      <c r="G2" s="1"/>
    </row>
    <row r="3" spans="1:7" ht="40.5" customHeight="1" x14ac:dyDescent="0.25">
      <c r="B3" s="556" t="s">
        <v>73</v>
      </c>
      <c r="C3" s="556"/>
      <c r="D3" s="556"/>
      <c r="E3" s="556"/>
      <c r="F3" s="556"/>
      <c r="G3" s="556"/>
    </row>
    <row r="4" spans="1:7" x14ac:dyDescent="0.25">
      <c r="B4" s="7" t="s">
        <v>39</v>
      </c>
      <c r="D4" s="8"/>
      <c r="E4" s="8"/>
      <c r="F4" s="8"/>
      <c r="G4" s="8"/>
    </row>
    <row r="5" spans="1:7" s="6" customFormat="1" x14ac:dyDescent="0.25">
      <c r="B5" s="3" t="s">
        <v>18</v>
      </c>
    </row>
    <row r="6" spans="1:7" x14ac:dyDescent="0.25">
      <c r="B6" s="2" t="s">
        <v>23</v>
      </c>
      <c r="C6" s="558" t="s">
        <v>49</v>
      </c>
      <c r="D6" s="558"/>
      <c r="E6" s="558"/>
      <c r="F6" s="558"/>
      <c r="G6" s="558"/>
    </row>
    <row r="7" spans="1:7" x14ac:dyDescent="0.25">
      <c r="A7" s="2"/>
      <c r="B7" s="2" t="s">
        <v>19</v>
      </c>
      <c r="C7" s="558" t="s">
        <v>50</v>
      </c>
      <c r="D7" s="558"/>
      <c r="E7" s="558"/>
      <c r="F7" s="558"/>
      <c r="G7" s="558"/>
    </row>
    <row r="8" spans="1:7" x14ac:dyDescent="0.25">
      <c r="A8" s="2"/>
      <c r="B8" s="2" t="s">
        <v>59</v>
      </c>
      <c r="C8" s="558" t="s">
        <v>60</v>
      </c>
      <c r="D8" s="558"/>
      <c r="E8" s="558"/>
      <c r="F8" s="558"/>
      <c r="G8" s="558"/>
    </row>
    <row r="9" spans="1:7" x14ac:dyDescent="0.25">
      <c r="A9" s="2"/>
      <c r="B9" s="2" t="s">
        <v>20</v>
      </c>
      <c r="C9" s="558"/>
      <c r="D9" s="558"/>
      <c r="E9" s="558"/>
      <c r="F9" s="558"/>
      <c r="G9" s="558"/>
    </row>
    <row r="10" spans="1:7" x14ac:dyDescent="0.25">
      <c r="A10" s="2"/>
      <c r="B10" s="2" t="s">
        <v>21</v>
      </c>
      <c r="C10" s="558"/>
      <c r="D10" s="558"/>
      <c r="E10" s="558"/>
      <c r="F10" s="558"/>
      <c r="G10" s="558"/>
    </row>
    <row r="11" spans="1:7" s="6" customFormat="1" x14ac:dyDescent="0.25">
      <c r="A11" s="3"/>
      <c r="B11" s="3" t="s">
        <v>68</v>
      </c>
      <c r="C11" s="3"/>
      <c r="D11" s="3"/>
      <c r="E11" s="3"/>
      <c r="F11" s="3"/>
      <c r="G11" s="3"/>
    </row>
    <row r="12" spans="1:7" x14ac:dyDescent="0.25">
      <c r="A12" s="2"/>
      <c r="B12" s="2" t="s">
        <v>20</v>
      </c>
      <c r="C12" s="558"/>
      <c r="D12" s="558"/>
      <c r="E12" s="558"/>
      <c r="F12" s="558"/>
      <c r="G12" s="558"/>
    </row>
    <row r="13" spans="1:7" x14ac:dyDescent="0.25">
      <c r="A13" s="2"/>
      <c r="B13" s="2" t="s">
        <v>20</v>
      </c>
      <c r="C13" s="558"/>
      <c r="D13" s="558"/>
      <c r="E13" s="558"/>
      <c r="F13" s="558"/>
      <c r="G13" s="558"/>
    </row>
    <row r="14" spans="1:7" x14ac:dyDescent="0.25">
      <c r="A14" s="2"/>
      <c r="B14" s="2" t="s">
        <v>20</v>
      </c>
      <c r="C14" s="558"/>
      <c r="D14" s="558"/>
      <c r="E14" s="558"/>
      <c r="F14" s="558"/>
      <c r="G14" s="558"/>
    </row>
    <row r="15" spans="1:7" x14ac:dyDescent="0.25">
      <c r="A15" s="2"/>
      <c r="B15" s="2" t="s">
        <v>21</v>
      </c>
      <c r="C15" s="558"/>
      <c r="D15" s="558"/>
      <c r="E15" s="558"/>
      <c r="F15" s="558"/>
      <c r="G15" s="558"/>
    </row>
    <row r="16" spans="1:7" x14ac:dyDescent="0.25">
      <c r="A16" s="2"/>
      <c r="B16" s="2" t="s">
        <v>21</v>
      </c>
      <c r="C16" s="558"/>
      <c r="D16" s="558"/>
      <c r="E16" s="558"/>
      <c r="F16" s="558"/>
      <c r="G16" s="558"/>
    </row>
    <row r="17" spans="1:7" x14ac:dyDescent="0.25">
      <c r="A17" s="2"/>
      <c r="B17" s="2" t="s">
        <v>21</v>
      </c>
      <c r="C17" s="558"/>
      <c r="D17" s="558"/>
      <c r="E17" s="558"/>
      <c r="F17" s="558"/>
      <c r="G17" s="558"/>
    </row>
    <row r="18" spans="1:7" x14ac:dyDescent="0.25">
      <c r="A18" s="2"/>
      <c r="B18" s="2" t="s">
        <v>38</v>
      </c>
      <c r="C18" s="2"/>
      <c r="D18" s="2"/>
      <c r="E18" s="2"/>
      <c r="F18" s="2"/>
      <c r="G18" s="2"/>
    </row>
    <row r="19" spans="1:7" x14ac:dyDescent="0.25">
      <c r="A19" s="4"/>
      <c r="G19" s="4" t="s">
        <v>61</v>
      </c>
    </row>
    <row r="20" spans="1:7" s="6" customFormat="1" ht="39" customHeight="1" x14ac:dyDescent="0.25">
      <c r="A20" s="551" t="s">
        <v>62</v>
      </c>
      <c r="B20" s="551" t="s">
        <v>2</v>
      </c>
      <c r="C20" s="551" t="s">
        <v>25</v>
      </c>
      <c r="D20" s="551"/>
      <c r="E20" s="551" t="s">
        <v>4</v>
      </c>
      <c r="F20" s="552" t="s">
        <v>8</v>
      </c>
      <c r="G20" s="552" t="s">
        <v>9</v>
      </c>
    </row>
    <row r="21" spans="1:7" s="6" customFormat="1" ht="75" x14ac:dyDescent="0.25">
      <c r="A21" s="551"/>
      <c r="B21" s="551"/>
      <c r="C21" s="19" t="s">
        <v>17</v>
      </c>
      <c r="D21" s="19" t="s">
        <v>5</v>
      </c>
      <c r="E21" s="551"/>
      <c r="F21" s="557"/>
      <c r="G21" s="557"/>
    </row>
    <row r="22" spans="1:7" x14ac:dyDescent="0.25">
      <c r="A22" s="5" t="s">
        <v>6</v>
      </c>
      <c r="B22" s="5" t="s">
        <v>7</v>
      </c>
      <c r="C22" s="5">
        <v>1</v>
      </c>
      <c r="D22" s="5">
        <v>2</v>
      </c>
      <c r="E22" s="5">
        <v>3</v>
      </c>
      <c r="F22" s="5">
        <v>4</v>
      </c>
      <c r="G22" s="5">
        <v>5</v>
      </c>
    </row>
    <row r="23" spans="1:7" ht="56.25" x14ac:dyDescent="0.25">
      <c r="A23" s="9" t="s">
        <v>6</v>
      </c>
      <c r="B23" s="10" t="s">
        <v>57</v>
      </c>
      <c r="C23" s="20"/>
      <c r="D23" s="20"/>
      <c r="E23" s="20"/>
      <c r="F23" s="20"/>
      <c r="G23" s="20"/>
    </row>
    <row r="24" spans="1:7" x14ac:dyDescent="0.25">
      <c r="A24" s="11">
        <v>1</v>
      </c>
      <c r="B24" s="12" t="s">
        <v>64</v>
      </c>
      <c r="C24" s="21"/>
      <c r="D24" s="21"/>
      <c r="E24" s="21"/>
      <c r="F24" s="21"/>
      <c r="G24" s="21"/>
    </row>
    <row r="25" spans="1:7" x14ac:dyDescent="0.25">
      <c r="A25" s="11">
        <v>2</v>
      </c>
      <c r="B25" s="12" t="s">
        <v>63</v>
      </c>
      <c r="C25" s="21"/>
      <c r="D25" s="21"/>
      <c r="E25" s="21"/>
      <c r="F25" s="21"/>
      <c r="G25" s="21"/>
    </row>
    <row r="26" spans="1:7" x14ac:dyDescent="0.25">
      <c r="A26" s="11">
        <v>3</v>
      </c>
      <c r="B26" s="12" t="s">
        <v>13</v>
      </c>
      <c r="C26" s="21"/>
      <c r="D26" s="21"/>
      <c r="E26" s="21"/>
      <c r="F26" s="21"/>
      <c r="G26" s="21"/>
    </row>
    <row r="27" spans="1:7" x14ac:dyDescent="0.25">
      <c r="A27" s="11">
        <v>4</v>
      </c>
      <c r="B27" s="12" t="s">
        <v>65</v>
      </c>
      <c r="C27" s="21"/>
      <c r="D27" s="21"/>
      <c r="E27" s="21">
        <f>+E24-E26</f>
        <v>0</v>
      </c>
      <c r="F27" s="21">
        <f>+F24-F26</f>
        <v>0</v>
      </c>
      <c r="G27" s="21">
        <f>+G24-G26</f>
        <v>0</v>
      </c>
    </row>
    <row r="28" spans="1:7" s="6" customFormat="1" x14ac:dyDescent="0.25">
      <c r="A28" s="13" t="s">
        <v>7</v>
      </c>
      <c r="B28" s="14" t="s">
        <v>58</v>
      </c>
      <c r="C28" s="22"/>
      <c r="D28" s="22"/>
      <c r="E28" s="22">
        <f>+E29+E41</f>
        <v>0</v>
      </c>
      <c r="F28" s="22">
        <f>+F29+F41</f>
        <v>0</v>
      </c>
      <c r="G28" s="22">
        <f>+G29+G41</f>
        <v>0</v>
      </c>
    </row>
    <row r="29" spans="1:7" s="6" customFormat="1" x14ac:dyDescent="0.25">
      <c r="A29" s="13" t="s">
        <v>51</v>
      </c>
      <c r="B29" s="14" t="s">
        <v>70</v>
      </c>
      <c r="C29" s="22"/>
      <c r="D29" s="22"/>
      <c r="E29" s="22">
        <f>+E30+E36</f>
        <v>0</v>
      </c>
      <c r="F29" s="22">
        <f>+F30+F36</f>
        <v>0</v>
      </c>
      <c r="G29" s="22">
        <f>+G30+G36</f>
        <v>0</v>
      </c>
    </row>
    <row r="30" spans="1:7" s="6" customFormat="1" ht="37.5" x14ac:dyDescent="0.25">
      <c r="A30" s="13">
        <v>1</v>
      </c>
      <c r="B30" s="14" t="s">
        <v>69</v>
      </c>
      <c r="C30" s="22"/>
      <c r="D30" s="22"/>
      <c r="E30" s="22">
        <f>+E31+E32-E33</f>
        <v>0</v>
      </c>
      <c r="F30" s="22">
        <f>+F31+F32-F33</f>
        <v>0</v>
      </c>
      <c r="G30" s="22">
        <f>+G31+G32-G33</f>
        <v>0</v>
      </c>
    </row>
    <row r="31" spans="1:7" x14ac:dyDescent="0.25">
      <c r="A31" s="11" t="s">
        <v>53</v>
      </c>
      <c r="B31" s="12" t="s">
        <v>75</v>
      </c>
      <c r="C31" s="21"/>
      <c r="D31" s="21"/>
      <c r="E31" s="21"/>
      <c r="F31" s="21"/>
      <c r="G31" s="21"/>
    </row>
    <row r="32" spans="1:7" ht="37.5" x14ac:dyDescent="0.25">
      <c r="A32" s="11" t="s">
        <v>54</v>
      </c>
      <c r="B32" s="12" t="s">
        <v>74</v>
      </c>
      <c r="C32" s="21"/>
      <c r="D32" s="21"/>
      <c r="E32" s="21"/>
      <c r="F32" s="21"/>
      <c r="G32" s="21"/>
    </row>
    <row r="33" spans="1:7" ht="56.25" x14ac:dyDescent="0.25">
      <c r="A33" s="11" t="s">
        <v>55</v>
      </c>
      <c r="B33" s="12" t="s">
        <v>76</v>
      </c>
      <c r="C33" s="21"/>
      <c r="D33" s="21"/>
      <c r="E33" s="21">
        <f>SUM(E34:E35)</f>
        <v>0</v>
      </c>
      <c r="F33" s="21">
        <f>SUM(F34:F35)</f>
        <v>0</v>
      </c>
      <c r="G33" s="21">
        <f>SUM(G34:G35)</f>
        <v>0</v>
      </c>
    </row>
    <row r="34" spans="1:7" s="26" customFormat="1" x14ac:dyDescent="0.25">
      <c r="A34" s="24"/>
      <c r="B34" s="27" t="s">
        <v>66</v>
      </c>
      <c r="C34" s="25"/>
      <c r="D34" s="25"/>
      <c r="E34" s="25">
        <f>ROUND(E27*0.4,0)</f>
        <v>0</v>
      </c>
      <c r="F34" s="25">
        <f>ROUND(F27*0.4,0)</f>
        <v>0</v>
      </c>
      <c r="G34" s="25">
        <f>ROUND(G27*0.4,0)</f>
        <v>0</v>
      </c>
    </row>
    <row r="35" spans="1:7" s="26" customFormat="1" x14ac:dyDescent="0.25">
      <c r="A35" s="24"/>
      <c r="B35" s="27" t="s">
        <v>67</v>
      </c>
      <c r="C35" s="25"/>
      <c r="D35" s="25"/>
      <c r="E35" s="25"/>
      <c r="F35" s="25"/>
      <c r="G35" s="25"/>
    </row>
    <row r="36" spans="1:7" s="6" customFormat="1" x14ac:dyDescent="0.25">
      <c r="A36" s="13">
        <v>2</v>
      </c>
      <c r="B36" s="14" t="s">
        <v>56</v>
      </c>
      <c r="C36" s="22"/>
      <c r="D36" s="22"/>
      <c r="E36" s="22">
        <f>+E37-E38-E39</f>
        <v>0</v>
      </c>
      <c r="F36" s="22">
        <f>+F37-F38-F39</f>
        <v>0</v>
      </c>
      <c r="G36" s="22">
        <f>+G37-G38-G39</f>
        <v>0</v>
      </c>
    </row>
    <row r="37" spans="1:7" x14ac:dyDescent="0.25">
      <c r="A37" s="11" t="s">
        <v>53</v>
      </c>
      <c r="B37" s="12" t="s">
        <v>77</v>
      </c>
      <c r="C37" s="21"/>
      <c r="D37" s="21"/>
      <c r="E37" s="21"/>
      <c r="F37" s="21"/>
      <c r="G37" s="21"/>
    </row>
    <row r="38" spans="1:7" ht="37.5" x14ac:dyDescent="0.25">
      <c r="A38" s="11" t="s">
        <v>54</v>
      </c>
      <c r="B38" s="12" t="s">
        <v>78</v>
      </c>
      <c r="C38" s="21"/>
      <c r="D38" s="21"/>
      <c r="E38" s="21"/>
      <c r="F38" s="21"/>
      <c r="G38" s="21"/>
    </row>
    <row r="39" spans="1:7" ht="37.5" x14ac:dyDescent="0.25">
      <c r="A39" s="11" t="s">
        <v>55</v>
      </c>
      <c r="B39" s="12" t="s">
        <v>79</v>
      </c>
      <c r="C39" s="21"/>
      <c r="D39" s="21"/>
      <c r="E39" s="21"/>
      <c r="F39" s="21"/>
      <c r="G39" s="21"/>
    </row>
    <row r="40" spans="1:7" x14ac:dyDescent="0.25">
      <c r="A40" s="11"/>
      <c r="B40" s="12"/>
      <c r="C40" s="21"/>
      <c r="D40" s="21"/>
      <c r="E40" s="21"/>
      <c r="F40" s="21"/>
      <c r="G40" s="21"/>
    </row>
    <row r="41" spans="1:7" s="6" customFormat="1" x14ac:dyDescent="0.25">
      <c r="A41" s="13" t="s">
        <v>52</v>
      </c>
      <c r="B41" s="14" t="s">
        <v>71</v>
      </c>
      <c r="C41" s="22"/>
      <c r="D41" s="22"/>
      <c r="E41" s="22">
        <f>SUM(E42:E82)</f>
        <v>0</v>
      </c>
      <c r="F41" s="22">
        <f>SUM(F42:F82)</f>
        <v>0</v>
      </c>
      <c r="G41" s="22">
        <f>SUM(G42:G82)</f>
        <v>0</v>
      </c>
    </row>
    <row r="42" spans="1:7" x14ac:dyDescent="0.25">
      <c r="A42" s="11"/>
      <c r="B42" s="12"/>
      <c r="C42" s="21"/>
      <c r="D42" s="21"/>
      <c r="E42" s="21"/>
      <c r="F42" s="21"/>
      <c r="G42" s="21"/>
    </row>
    <row r="43" spans="1:7" x14ac:dyDescent="0.25">
      <c r="A43" s="11"/>
      <c r="B43" s="12"/>
      <c r="C43" s="21"/>
      <c r="D43" s="21"/>
      <c r="E43" s="21"/>
      <c r="F43" s="21"/>
      <c r="G43" s="21"/>
    </row>
    <row r="44" spans="1:7" x14ac:dyDescent="0.25">
      <c r="A44" s="11"/>
      <c r="B44" s="12"/>
      <c r="C44" s="21"/>
      <c r="D44" s="21"/>
      <c r="E44" s="21"/>
      <c r="F44" s="21"/>
      <c r="G44" s="21"/>
    </row>
    <row r="45" spans="1:7" x14ac:dyDescent="0.25">
      <c r="A45" s="11"/>
      <c r="B45" s="12"/>
      <c r="C45" s="21"/>
      <c r="D45" s="21"/>
      <c r="E45" s="21"/>
      <c r="F45" s="21"/>
      <c r="G45" s="21"/>
    </row>
    <row r="46" spans="1:7" x14ac:dyDescent="0.25">
      <c r="A46" s="11"/>
      <c r="B46" s="12"/>
      <c r="C46" s="21"/>
      <c r="D46" s="21"/>
      <c r="E46" s="21"/>
      <c r="F46" s="21"/>
      <c r="G46" s="21"/>
    </row>
    <row r="47" spans="1:7" x14ac:dyDescent="0.25">
      <c r="A47" s="11"/>
      <c r="B47" s="12"/>
      <c r="C47" s="21"/>
      <c r="D47" s="21"/>
      <c r="E47" s="21"/>
      <c r="F47" s="21"/>
      <c r="G47" s="21"/>
    </row>
    <row r="48" spans="1:7" x14ac:dyDescent="0.25">
      <c r="A48" s="11"/>
      <c r="B48" s="12"/>
      <c r="C48" s="21"/>
      <c r="D48" s="21"/>
      <c r="E48" s="21"/>
      <c r="F48" s="21"/>
      <c r="G48" s="21"/>
    </row>
    <row r="49" spans="1:7" x14ac:dyDescent="0.25">
      <c r="A49" s="11"/>
      <c r="B49" s="12"/>
      <c r="C49" s="21"/>
      <c r="D49" s="21"/>
      <c r="E49" s="21"/>
      <c r="F49" s="21"/>
      <c r="G49" s="21"/>
    </row>
    <row r="50" spans="1:7" x14ac:dyDescent="0.25">
      <c r="A50" s="11"/>
      <c r="B50" s="12"/>
      <c r="C50" s="21"/>
      <c r="D50" s="21"/>
      <c r="E50" s="21"/>
      <c r="F50" s="21"/>
      <c r="G50" s="21"/>
    </row>
    <row r="51" spans="1:7" x14ac:dyDescent="0.25">
      <c r="A51" s="11"/>
      <c r="B51" s="12"/>
      <c r="C51" s="21"/>
      <c r="D51" s="21"/>
      <c r="E51" s="21"/>
      <c r="F51" s="21"/>
      <c r="G51" s="21"/>
    </row>
    <row r="52" spans="1:7" x14ac:dyDescent="0.25">
      <c r="A52" s="11"/>
      <c r="B52" s="12"/>
      <c r="C52" s="21"/>
      <c r="D52" s="21"/>
      <c r="E52" s="21"/>
      <c r="F52" s="21"/>
      <c r="G52" s="21"/>
    </row>
    <row r="53" spans="1:7" x14ac:dyDescent="0.25">
      <c r="A53" s="11"/>
      <c r="B53" s="12"/>
      <c r="C53" s="21"/>
      <c r="D53" s="21"/>
      <c r="E53" s="21"/>
      <c r="F53" s="21"/>
      <c r="G53" s="21"/>
    </row>
    <row r="54" spans="1:7" x14ac:dyDescent="0.25">
      <c r="A54" s="11"/>
      <c r="B54" s="12"/>
      <c r="C54" s="21"/>
      <c r="D54" s="21"/>
      <c r="E54" s="21"/>
      <c r="F54" s="21"/>
      <c r="G54" s="21"/>
    </row>
    <row r="55" spans="1:7" x14ac:dyDescent="0.25">
      <c r="A55" s="11"/>
      <c r="B55" s="12"/>
      <c r="C55" s="21"/>
      <c r="D55" s="21"/>
      <c r="E55" s="21"/>
      <c r="F55" s="21"/>
      <c r="G55" s="21"/>
    </row>
    <row r="56" spans="1:7" x14ac:dyDescent="0.25">
      <c r="A56" s="11"/>
      <c r="B56" s="12"/>
      <c r="C56" s="21"/>
      <c r="D56" s="21"/>
      <c r="E56" s="21"/>
      <c r="F56" s="21"/>
      <c r="G56" s="21"/>
    </row>
    <row r="57" spans="1:7" x14ac:dyDescent="0.25">
      <c r="A57" s="11"/>
      <c r="B57" s="12"/>
      <c r="C57" s="21"/>
      <c r="D57" s="21"/>
      <c r="E57" s="21"/>
      <c r="F57" s="21"/>
      <c r="G57" s="21"/>
    </row>
    <row r="58" spans="1:7" x14ac:dyDescent="0.25">
      <c r="A58" s="11"/>
      <c r="B58" s="12"/>
      <c r="C58" s="21"/>
      <c r="D58" s="21"/>
      <c r="E58" s="21"/>
      <c r="F58" s="21"/>
      <c r="G58" s="21"/>
    </row>
    <row r="59" spans="1:7" x14ac:dyDescent="0.25">
      <c r="A59" s="11"/>
      <c r="B59" s="12"/>
      <c r="C59" s="21"/>
      <c r="D59" s="21"/>
      <c r="E59" s="21"/>
      <c r="F59" s="21"/>
      <c r="G59" s="21"/>
    </row>
    <row r="60" spans="1:7" x14ac:dyDescent="0.25">
      <c r="A60" s="11"/>
      <c r="B60" s="12"/>
      <c r="C60" s="21"/>
      <c r="D60" s="21"/>
      <c r="E60" s="21"/>
      <c r="F60" s="21"/>
      <c r="G60" s="21"/>
    </row>
    <row r="61" spans="1:7" x14ac:dyDescent="0.25">
      <c r="A61" s="11"/>
      <c r="B61" s="12"/>
      <c r="C61" s="21"/>
      <c r="D61" s="21"/>
      <c r="E61" s="21"/>
      <c r="F61" s="21"/>
      <c r="G61" s="21"/>
    </row>
    <row r="62" spans="1:7" x14ac:dyDescent="0.25">
      <c r="A62" s="11"/>
      <c r="B62" s="12"/>
      <c r="C62" s="21"/>
      <c r="D62" s="21"/>
      <c r="E62" s="21"/>
      <c r="F62" s="21"/>
      <c r="G62" s="21"/>
    </row>
    <row r="63" spans="1:7" x14ac:dyDescent="0.25">
      <c r="A63" s="11"/>
      <c r="B63" s="12"/>
      <c r="C63" s="21"/>
      <c r="D63" s="21"/>
      <c r="E63" s="21"/>
      <c r="F63" s="21"/>
      <c r="G63" s="21"/>
    </row>
    <row r="64" spans="1:7" x14ac:dyDescent="0.25">
      <c r="A64" s="11"/>
      <c r="B64" s="12"/>
      <c r="C64" s="21"/>
      <c r="D64" s="21"/>
      <c r="E64" s="21"/>
      <c r="F64" s="21"/>
      <c r="G64" s="21"/>
    </row>
    <row r="65" spans="1:7" x14ac:dyDescent="0.25">
      <c r="A65" s="11"/>
      <c r="B65" s="12"/>
      <c r="C65" s="21"/>
      <c r="D65" s="21"/>
      <c r="E65" s="21"/>
      <c r="F65" s="21"/>
      <c r="G65" s="21"/>
    </row>
    <row r="66" spans="1:7" x14ac:dyDescent="0.25">
      <c r="A66" s="11"/>
      <c r="B66" s="12"/>
      <c r="C66" s="21"/>
      <c r="D66" s="21"/>
      <c r="E66" s="21"/>
      <c r="F66" s="21"/>
      <c r="G66" s="21"/>
    </row>
    <row r="67" spans="1:7" x14ac:dyDescent="0.25">
      <c r="A67" s="11"/>
      <c r="B67" s="12"/>
      <c r="C67" s="21"/>
      <c r="D67" s="21"/>
      <c r="E67" s="21"/>
      <c r="F67" s="21"/>
      <c r="G67" s="21"/>
    </row>
    <row r="68" spans="1:7" x14ac:dyDescent="0.25">
      <c r="A68" s="11"/>
      <c r="B68" s="12"/>
      <c r="C68" s="21"/>
      <c r="D68" s="21"/>
      <c r="E68" s="21"/>
      <c r="F68" s="21"/>
      <c r="G68" s="21"/>
    </row>
    <row r="69" spans="1:7" x14ac:dyDescent="0.25">
      <c r="A69" s="11"/>
      <c r="B69" s="12"/>
      <c r="C69" s="21"/>
      <c r="D69" s="21"/>
      <c r="E69" s="21"/>
      <c r="F69" s="21"/>
      <c r="G69" s="21"/>
    </row>
    <row r="70" spans="1:7" x14ac:dyDescent="0.25">
      <c r="A70" s="11"/>
      <c r="B70" s="12"/>
      <c r="C70" s="21"/>
      <c r="D70" s="21"/>
      <c r="E70" s="21"/>
      <c r="F70" s="21"/>
      <c r="G70" s="21"/>
    </row>
    <row r="71" spans="1:7" x14ac:dyDescent="0.25">
      <c r="A71" s="11"/>
      <c r="B71" s="12"/>
      <c r="C71" s="21"/>
      <c r="D71" s="21"/>
      <c r="E71" s="21"/>
      <c r="F71" s="21"/>
      <c r="G71" s="21"/>
    </row>
    <row r="72" spans="1:7" x14ac:dyDescent="0.25">
      <c r="A72" s="11"/>
      <c r="B72" s="12"/>
      <c r="C72" s="21"/>
      <c r="D72" s="21"/>
      <c r="E72" s="21"/>
      <c r="F72" s="21"/>
      <c r="G72" s="21"/>
    </row>
    <row r="73" spans="1:7" x14ac:dyDescent="0.25">
      <c r="A73" s="11"/>
      <c r="B73" s="12"/>
      <c r="C73" s="21"/>
      <c r="D73" s="21"/>
      <c r="E73" s="21"/>
      <c r="F73" s="21"/>
      <c r="G73" s="21"/>
    </row>
    <row r="74" spans="1:7" x14ac:dyDescent="0.25">
      <c r="A74" s="11"/>
      <c r="B74" s="12"/>
      <c r="C74" s="21"/>
      <c r="D74" s="21"/>
      <c r="E74" s="21"/>
      <c r="F74" s="21"/>
      <c r="G74" s="21"/>
    </row>
    <row r="75" spans="1:7" x14ac:dyDescent="0.25">
      <c r="A75" s="11"/>
      <c r="B75" s="12"/>
      <c r="C75" s="21"/>
      <c r="D75" s="21"/>
      <c r="E75" s="21"/>
      <c r="F75" s="21"/>
      <c r="G75" s="21"/>
    </row>
    <row r="76" spans="1:7" x14ac:dyDescent="0.25">
      <c r="A76" s="11"/>
      <c r="B76" s="12"/>
      <c r="C76" s="21"/>
      <c r="D76" s="21"/>
      <c r="E76" s="21"/>
      <c r="F76" s="21"/>
      <c r="G76" s="21"/>
    </row>
    <row r="77" spans="1:7" x14ac:dyDescent="0.25">
      <c r="A77" s="11"/>
      <c r="B77" s="12"/>
      <c r="C77" s="21"/>
      <c r="D77" s="21"/>
      <c r="E77" s="21"/>
      <c r="F77" s="21"/>
      <c r="G77" s="21"/>
    </row>
    <row r="78" spans="1:7" x14ac:dyDescent="0.25">
      <c r="A78" s="11"/>
      <c r="B78" s="12"/>
      <c r="C78" s="21"/>
      <c r="D78" s="21"/>
      <c r="E78" s="21"/>
      <c r="F78" s="21"/>
      <c r="G78" s="21"/>
    </row>
    <row r="79" spans="1:7" x14ac:dyDescent="0.25">
      <c r="A79" s="11"/>
      <c r="B79" s="12"/>
      <c r="C79" s="21"/>
      <c r="D79" s="21"/>
      <c r="E79" s="21"/>
      <c r="F79" s="21"/>
      <c r="G79" s="21"/>
    </row>
    <row r="80" spans="1:7" x14ac:dyDescent="0.25">
      <c r="A80" s="11"/>
      <c r="B80" s="12"/>
      <c r="C80" s="21"/>
      <c r="D80" s="21"/>
      <c r="E80" s="21"/>
      <c r="F80" s="21"/>
      <c r="G80" s="21"/>
    </row>
    <row r="81" spans="1:7" x14ac:dyDescent="0.25">
      <c r="A81" s="11"/>
      <c r="B81" s="12"/>
      <c r="C81" s="21"/>
      <c r="D81" s="21"/>
      <c r="E81" s="21"/>
      <c r="F81" s="21"/>
      <c r="G81" s="21"/>
    </row>
    <row r="82" spans="1:7" x14ac:dyDescent="0.25">
      <c r="A82" s="11"/>
      <c r="B82" s="12"/>
      <c r="C82" s="21"/>
      <c r="D82" s="21"/>
      <c r="E82" s="21"/>
      <c r="F82" s="21"/>
      <c r="G82" s="21"/>
    </row>
    <row r="83" spans="1:7" x14ac:dyDescent="0.25">
      <c r="A83" s="15"/>
      <c r="B83" s="16"/>
      <c r="C83" s="23"/>
      <c r="D83" s="23"/>
      <c r="E83" s="23"/>
      <c r="F83" s="23"/>
      <c r="G83" s="23"/>
    </row>
    <row r="84" spans="1:7" x14ac:dyDescent="0.25">
      <c r="A84" s="2"/>
    </row>
    <row r="85" spans="1:7" x14ac:dyDescent="0.25">
      <c r="A85" s="550" t="s">
        <v>36</v>
      </c>
      <c r="B85" s="550"/>
      <c r="D85" s="550" t="s">
        <v>37</v>
      </c>
      <c r="E85" s="550"/>
      <c r="F85" s="550"/>
      <c r="G85" s="550"/>
    </row>
  </sheetData>
  <mergeCells count="21">
    <mergeCell ref="C17:G17"/>
    <mergeCell ref="C13:G13"/>
    <mergeCell ref="C14:G14"/>
    <mergeCell ref="C15:G15"/>
    <mergeCell ref="C16:G16"/>
    <mergeCell ref="A85:B85"/>
    <mergeCell ref="D85:G85"/>
    <mergeCell ref="A1:G1"/>
    <mergeCell ref="B3:G3"/>
    <mergeCell ref="E20:E21"/>
    <mergeCell ref="A20:A21"/>
    <mergeCell ref="B20:B21"/>
    <mergeCell ref="C20:D20"/>
    <mergeCell ref="F20:F21"/>
    <mergeCell ref="G20:G21"/>
    <mergeCell ref="C6:G6"/>
    <mergeCell ref="C7:G7"/>
    <mergeCell ref="C8:G8"/>
    <mergeCell ref="C9:G9"/>
    <mergeCell ref="C10:G10"/>
    <mergeCell ref="C12:G12"/>
  </mergeCells>
  <printOptions horizontalCentered="1"/>
  <pageMargins left="0.19685039370078741" right="0.19685039370078741" top="0.59055118110236227" bottom="0.59055118110236227" header="0.31496062992125984" footer="0.31496062992125984"/>
  <pageSetup paperSize="9" orientation="portrait" r:id="rId1"/>
  <headerFooter>
    <oddFooter>&amp;C&amp;P/&amp;N</oddFoot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I204"/>
  <sheetViews>
    <sheetView topLeftCell="A188" zoomScaleNormal="100" workbookViewId="0">
      <selection activeCell="M201" sqref="M201"/>
    </sheetView>
  </sheetViews>
  <sheetFormatPr defaultRowHeight="18.75" x14ac:dyDescent="0.25"/>
  <cols>
    <col min="1" max="1" width="4.85546875" style="106" customWidth="1"/>
    <col min="2" max="2" width="43.28515625" style="49" customWidth="1"/>
    <col min="3" max="4" width="7.85546875" style="49" customWidth="1"/>
    <col min="5" max="8" width="11.7109375" style="49" customWidth="1"/>
    <col min="9" max="9" width="10" style="49" bestFit="1" customWidth="1"/>
    <col min="10" max="16384" width="9.140625" style="49"/>
  </cols>
  <sheetData>
    <row r="1" spans="1:8" ht="41.25" customHeight="1" x14ac:dyDescent="0.25">
      <c r="A1" s="569" t="s">
        <v>1074</v>
      </c>
      <c r="B1" s="570"/>
      <c r="C1" s="570"/>
      <c r="D1" s="570"/>
      <c r="E1" s="570"/>
      <c r="F1" s="570"/>
      <c r="G1" s="570"/>
      <c r="H1" s="570"/>
    </row>
    <row r="2" spans="1:8" x14ac:dyDescent="0.25">
      <c r="A2" s="105"/>
      <c r="B2" s="50"/>
      <c r="C2" s="50"/>
      <c r="D2" s="51"/>
      <c r="E2" s="51"/>
      <c r="F2" s="51"/>
      <c r="G2" s="51"/>
      <c r="H2" s="51"/>
    </row>
    <row r="3" spans="1:8" ht="40.5" customHeight="1" x14ac:dyDescent="0.25">
      <c r="B3" s="565" t="s">
        <v>1771</v>
      </c>
      <c r="C3" s="565"/>
      <c r="D3" s="565"/>
      <c r="E3" s="565"/>
      <c r="F3" s="565"/>
      <c r="G3" s="565"/>
      <c r="H3" s="565"/>
    </row>
    <row r="4" spans="1:8" x14ac:dyDescent="0.25">
      <c r="B4" s="49" t="s">
        <v>39</v>
      </c>
      <c r="D4" s="52"/>
      <c r="E4" s="52"/>
      <c r="F4" s="52"/>
      <c r="G4" s="52"/>
      <c r="H4" s="52"/>
    </row>
    <row r="5" spans="1:8" s="50" customFormat="1" x14ac:dyDescent="0.25">
      <c r="A5" s="105"/>
      <c r="B5" s="50" t="s">
        <v>18</v>
      </c>
    </row>
    <row r="6" spans="1:8" x14ac:dyDescent="0.25">
      <c r="B6" s="49" t="s">
        <v>23</v>
      </c>
      <c r="C6" s="566" t="s">
        <v>49</v>
      </c>
      <c r="D6" s="566"/>
      <c r="E6" s="566"/>
      <c r="F6" s="566"/>
      <c r="G6" s="566"/>
      <c r="H6" s="566"/>
    </row>
    <row r="7" spans="1:8" x14ac:dyDescent="0.25">
      <c r="B7" s="49" t="s">
        <v>19</v>
      </c>
      <c r="C7" s="566" t="s">
        <v>50</v>
      </c>
      <c r="D7" s="566"/>
      <c r="E7" s="566"/>
      <c r="F7" s="566"/>
      <c r="G7" s="566"/>
      <c r="H7" s="566"/>
    </row>
    <row r="8" spans="1:8" hidden="1" x14ac:dyDescent="0.25">
      <c r="B8" s="49" t="s">
        <v>90</v>
      </c>
      <c r="C8" s="566" t="s">
        <v>60</v>
      </c>
      <c r="D8" s="566"/>
      <c r="E8" s="566"/>
      <c r="F8" s="566"/>
      <c r="G8" s="566"/>
      <c r="H8" s="566"/>
    </row>
    <row r="9" spans="1:8" x14ac:dyDescent="0.25">
      <c r="B9" s="49" t="s">
        <v>59</v>
      </c>
      <c r="C9" s="566" t="s">
        <v>60</v>
      </c>
      <c r="D9" s="566"/>
      <c r="E9" s="566"/>
      <c r="F9" s="566"/>
      <c r="G9" s="566"/>
      <c r="H9" s="566"/>
    </row>
    <row r="10" spans="1:8" hidden="1" x14ac:dyDescent="0.25">
      <c r="B10" s="49" t="s">
        <v>20</v>
      </c>
      <c r="C10" s="566" t="s">
        <v>86</v>
      </c>
      <c r="D10" s="566"/>
      <c r="E10" s="566"/>
      <c r="F10" s="566"/>
      <c r="G10" s="566"/>
      <c r="H10" s="566"/>
    </row>
    <row r="11" spans="1:8" x14ac:dyDescent="0.25">
      <c r="B11" s="49" t="s">
        <v>1205</v>
      </c>
      <c r="C11" s="268" t="s">
        <v>87</v>
      </c>
      <c r="D11" s="268"/>
      <c r="E11" s="268"/>
      <c r="F11" s="321"/>
      <c r="G11" s="268"/>
      <c r="H11" s="268"/>
    </row>
    <row r="12" spans="1:8" x14ac:dyDescent="0.25">
      <c r="B12" s="49" t="s">
        <v>383</v>
      </c>
      <c r="C12" s="268" t="s">
        <v>88</v>
      </c>
      <c r="D12" s="268"/>
      <c r="E12" s="268"/>
      <c r="F12" s="321"/>
      <c r="G12" s="268"/>
      <c r="H12" s="268"/>
    </row>
    <row r="13" spans="1:8" hidden="1" x14ac:dyDescent="0.25">
      <c r="B13" s="49" t="s">
        <v>94</v>
      </c>
      <c r="C13" s="268" t="s">
        <v>95</v>
      </c>
      <c r="D13" s="268"/>
      <c r="E13" s="268"/>
      <c r="F13" s="321"/>
      <c r="G13" s="268"/>
      <c r="H13" s="268"/>
    </row>
    <row r="14" spans="1:8" x14ac:dyDescent="0.25">
      <c r="C14" s="268"/>
      <c r="D14" s="268"/>
      <c r="E14" s="268"/>
      <c r="F14" s="321"/>
      <c r="G14" s="268"/>
      <c r="H14" s="268"/>
    </row>
    <row r="15" spans="1:8" hidden="1" x14ac:dyDescent="0.25">
      <c r="B15" s="49" t="s">
        <v>21</v>
      </c>
      <c r="C15" s="566"/>
      <c r="D15" s="566"/>
      <c r="E15" s="566"/>
      <c r="F15" s="566"/>
      <c r="G15" s="566"/>
      <c r="H15" s="566"/>
    </row>
    <row r="16" spans="1:8" s="50" customFormat="1" x14ac:dyDescent="0.25">
      <c r="A16" s="105"/>
      <c r="B16" s="50" t="s">
        <v>415</v>
      </c>
    </row>
    <row r="17" spans="1:8" x14ac:dyDescent="0.25">
      <c r="B17" s="49" t="s">
        <v>442</v>
      </c>
      <c r="C17" s="566" t="s">
        <v>176</v>
      </c>
      <c r="D17" s="566"/>
      <c r="E17" s="566"/>
      <c r="F17" s="566"/>
      <c r="G17" s="566"/>
      <c r="H17" s="566"/>
    </row>
    <row r="18" spans="1:8" x14ac:dyDescent="0.25">
      <c r="B18" s="49" t="s">
        <v>419</v>
      </c>
      <c r="C18" s="566" t="s">
        <v>286</v>
      </c>
      <c r="D18" s="566"/>
      <c r="E18" s="566"/>
      <c r="F18" s="566"/>
      <c r="G18" s="566"/>
      <c r="H18" s="566"/>
    </row>
    <row r="19" spans="1:8" s="434" customFormat="1" x14ac:dyDescent="0.25">
      <c r="A19" s="106"/>
      <c r="B19" s="434" t="s">
        <v>1770</v>
      </c>
      <c r="C19" s="566" t="s">
        <v>420</v>
      </c>
      <c r="D19" s="566"/>
      <c r="E19" s="566"/>
      <c r="F19" s="566"/>
      <c r="G19" s="566"/>
      <c r="H19" s="566"/>
    </row>
    <row r="20" spans="1:8" x14ac:dyDescent="0.25">
      <c r="B20" s="49" t="s">
        <v>919</v>
      </c>
      <c r="C20" s="566" t="s">
        <v>108</v>
      </c>
      <c r="D20" s="566"/>
      <c r="E20" s="566"/>
      <c r="F20" s="566"/>
      <c r="G20" s="566"/>
      <c r="H20" s="566"/>
    </row>
    <row r="21" spans="1:8" x14ac:dyDescent="0.25">
      <c r="B21" s="49" t="s">
        <v>421</v>
      </c>
      <c r="C21" s="566" t="s">
        <v>108</v>
      </c>
      <c r="D21" s="566"/>
      <c r="E21" s="566"/>
      <c r="F21" s="566"/>
      <c r="G21" s="566"/>
      <c r="H21" s="566"/>
    </row>
    <row r="22" spans="1:8" hidden="1" x14ac:dyDescent="0.25">
      <c r="B22" s="49" t="s">
        <v>21</v>
      </c>
      <c r="C22" s="566" t="s">
        <v>108</v>
      </c>
      <c r="D22" s="566"/>
      <c r="E22" s="566"/>
      <c r="F22" s="566"/>
      <c r="G22" s="566"/>
      <c r="H22" s="566"/>
    </row>
    <row r="23" spans="1:8" hidden="1" x14ac:dyDescent="0.25">
      <c r="B23" s="49" t="s">
        <v>21</v>
      </c>
      <c r="C23" s="566"/>
      <c r="D23" s="566"/>
      <c r="E23" s="566"/>
      <c r="F23" s="566"/>
      <c r="G23" s="566"/>
      <c r="H23" s="566"/>
    </row>
    <row r="24" spans="1:8" ht="39.75" customHeight="1" x14ac:dyDescent="0.25">
      <c r="B24" s="556" t="s">
        <v>1073</v>
      </c>
      <c r="C24" s="556"/>
      <c r="D24" s="556"/>
      <c r="E24" s="556"/>
      <c r="F24" s="556"/>
      <c r="G24" s="556"/>
      <c r="H24" s="556"/>
    </row>
    <row r="25" spans="1:8" x14ac:dyDescent="0.25">
      <c r="A25" s="108"/>
      <c r="H25" s="54" t="s">
        <v>61</v>
      </c>
    </row>
    <row r="26" spans="1:8" s="320" customFormat="1" ht="75" x14ac:dyDescent="0.25">
      <c r="A26" s="323" t="s">
        <v>62</v>
      </c>
      <c r="B26" s="322" t="s">
        <v>2</v>
      </c>
      <c r="C26" s="322" t="s">
        <v>17</v>
      </c>
      <c r="D26" s="322" t="s">
        <v>464</v>
      </c>
      <c r="E26" s="318" t="s">
        <v>1099</v>
      </c>
      <c r="F26" s="318" t="s">
        <v>9</v>
      </c>
      <c r="G26" s="318" t="s">
        <v>461</v>
      </c>
      <c r="H26" s="318" t="s">
        <v>1046</v>
      </c>
    </row>
    <row r="27" spans="1:8" s="50" customFormat="1" hidden="1" x14ac:dyDescent="0.25">
      <c r="A27" s="270"/>
      <c r="B27" s="269" t="s">
        <v>97</v>
      </c>
      <c r="C27" s="57"/>
      <c r="D27" s="57"/>
      <c r="E27" s="57" t="e">
        <f>E38+#REF!</f>
        <v>#REF!</v>
      </c>
      <c r="F27" s="57"/>
      <c r="G27" s="57" t="e">
        <f>G38+#REF!</f>
        <v>#REF!</v>
      </c>
      <c r="H27" s="57" t="e">
        <f>H38+#REF!</f>
        <v>#REF!</v>
      </c>
    </row>
    <row r="28" spans="1:8" ht="56.25" hidden="1" x14ac:dyDescent="0.25">
      <c r="A28" s="110" t="s">
        <v>6</v>
      </c>
      <c r="B28" s="97" t="s">
        <v>57</v>
      </c>
      <c r="C28" s="98"/>
      <c r="D28" s="98"/>
      <c r="E28" s="98"/>
      <c r="F28" s="98"/>
      <c r="G28" s="98"/>
      <c r="H28" s="98"/>
    </row>
    <row r="29" spans="1:8" hidden="1" x14ac:dyDescent="0.25">
      <c r="A29" s="102">
        <v>1</v>
      </c>
      <c r="B29" s="59" t="s">
        <v>292</v>
      </c>
      <c r="C29" s="60"/>
      <c r="D29" s="60"/>
      <c r="E29" s="60">
        <v>4950</v>
      </c>
      <c r="F29" s="60"/>
      <c r="G29" s="60">
        <f>E29</f>
        <v>4950</v>
      </c>
      <c r="H29" s="60">
        <f>G29</f>
        <v>4950</v>
      </c>
    </row>
    <row r="30" spans="1:8" hidden="1" x14ac:dyDescent="0.25">
      <c r="A30" s="102">
        <v>2</v>
      </c>
      <c r="B30" s="59" t="s">
        <v>63</v>
      </c>
      <c r="C30" s="60"/>
      <c r="D30" s="60"/>
      <c r="E30" s="60"/>
      <c r="F30" s="60"/>
      <c r="G30" s="60"/>
      <c r="H30" s="60"/>
    </row>
    <row r="31" spans="1:8" ht="37.5" hidden="1" x14ac:dyDescent="0.25">
      <c r="A31" s="102">
        <v>2</v>
      </c>
      <c r="B31" s="59" t="s">
        <v>186</v>
      </c>
      <c r="C31" s="60"/>
      <c r="D31" s="60"/>
      <c r="E31" s="60"/>
      <c r="F31" s="60"/>
      <c r="G31" s="60">
        <f>E31</f>
        <v>0</v>
      </c>
      <c r="H31" s="60">
        <f>G31</f>
        <v>0</v>
      </c>
    </row>
    <row r="32" spans="1:8" hidden="1" x14ac:dyDescent="0.25">
      <c r="A32" s="102">
        <v>3</v>
      </c>
      <c r="B32" s="59" t="s">
        <v>293</v>
      </c>
      <c r="C32" s="60"/>
      <c r="D32" s="60"/>
      <c r="E32" s="60">
        <f>E29-E31</f>
        <v>4950</v>
      </c>
      <c r="F32" s="60"/>
      <c r="G32" s="60">
        <f>+G29-G31</f>
        <v>4950</v>
      </c>
      <c r="H32" s="60">
        <f>+H29-H31</f>
        <v>4950</v>
      </c>
    </row>
    <row r="33" spans="1:9" s="114" customFormat="1" hidden="1" x14ac:dyDescent="0.25">
      <c r="A33" s="111" t="s">
        <v>52</v>
      </c>
      <c r="B33" s="112"/>
      <c r="C33" s="113"/>
      <c r="D33" s="113"/>
      <c r="E33" s="113"/>
      <c r="F33" s="113"/>
      <c r="G33" s="113"/>
      <c r="H33" s="113"/>
    </row>
    <row r="34" spans="1:9" hidden="1" x14ac:dyDescent="0.25">
      <c r="A34" s="102">
        <v>1</v>
      </c>
      <c r="B34" s="59" t="s">
        <v>201</v>
      </c>
      <c r="C34" s="60"/>
      <c r="D34" s="60"/>
      <c r="E34" s="60"/>
      <c r="F34" s="60"/>
      <c r="G34" s="60">
        <f>E34</f>
        <v>0</v>
      </c>
      <c r="H34" s="60">
        <f>G34</f>
        <v>0</v>
      </c>
    </row>
    <row r="35" spans="1:9" hidden="1" x14ac:dyDescent="0.25">
      <c r="A35" s="102">
        <v>2</v>
      </c>
      <c r="B35" s="59" t="s">
        <v>202</v>
      </c>
      <c r="C35" s="60"/>
      <c r="D35" s="60"/>
      <c r="E35" s="60"/>
      <c r="F35" s="60"/>
      <c r="G35" s="60">
        <f>E35</f>
        <v>0</v>
      </c>
      <c r="H35" s="60">
        <f>G35</f>
        <v>0</v>
      </c>
    </row>
    <row r="36" spans="1:9" hidden="1" x14ac:dyDescent="0.25">
      <c r="A36" s="115">
        <v>3</v>
      </c>
      <c r="B36" s="116" t="s">
        <v>203</v>
      </c>
      <c r="C36" s="117"/>
      <c r="D36" s="117"/>
      <c r="E36" s="117">
        <f>E34-E35</f>
        <v>0</v>
      </c>
      <c r="F36" s="117"/>
      <c r="G36" s="117">
        <f>G34-G35</f>
        <v>0</v>
      </c>
      <c r="H36" s="117">
        <f>H34-H35</f>
        <v>0</v>
      </c>
    </row>
    <row r="37" spans="1:9" s="50" customFormat="1" x14ac:dyDescent="0.25">
      <c r="A37" s="270"/>
      <c r="B37" s="269" t="s">
        <v>97</v>
      </c>
      <c r="C37" s="57"/>
      <c r="D37" s="57"/>
      <c r="E37" s="57">
        <f>E38+E64+E196+E174</f>
        <v>216506</v>
      </c>
      <c r="F37" s="57">
        <f>F38+F64+F196+F174</f>
        <v>174422</v>
      </c>
      <c r="G37" s="57">
        <f>G38+G64+G196+G174</f>
        <v>136638</v>
      </c>
      <c r="H37" s="57">
        <f>H38+H64+H196+H174</f>
        <v>137714</v>
      </c>
      <c r="I37" s="143"/>
    </row>
    <row r="38" spans="1:9" s="50" customFormat="1" ht="21" customHeight="1" x14ac:dyDescent="0.25">
      <c r="A38" s="254" t="s">
        <v>6</v>
      </c>
      <c r="B38" s="255" t="s">
        <v>351</v>
      </c>
      <c r="C38" s="256"/>
      <c r="D38" s="256"/>
      <c r="E38" s="256">
        <f>E41+E50</f>
        <v>6805</v>
      </c>
      <c r="F38" s="256">
        <f t="shared" ref="F38:H38" si="0">F41+F50</f>
        <v>9317</v>
      </c>
      <c r="G38" s="256">
        <f t="shared" si="0"/>
        <v>8890</v>
      </c>
      <c r="H38" s="256">
        <f t="shared" si="0"/>
        <v>9083</v>
      </c>
    </row>
    <row r="39" spans="1:9" ht="21" customHeight="1" x14ac:dyDescent="0.25">
      <c r="A39" s="102"/>
      <c r="B39" s="438" t="s">
        <v>912</v>
      </c>
      <c r="C39" s="439"/>
      <c r="D39" s="439"/>
      <c r="E39" s="439">
        <v>200</v>
      </c>
      <c r="F39" s="439">
        <v>200</v>
      </c>
      <c r="G39" s="439">
        <f>E39</f>
        <v>200</v>
      </c>
      <c r="H39" s="439">
        <f>G39</f>
        <v>200</v>
      </c>
    </row>
    <row r="40" spans="1:9" ht="21" customHeight="1" x14ac:dyDescent="0.25">
      <c r="A40" s="102"/>
      <c r="B40" s="438" t="s">
        <v>913</v>
      </c>
      <c r="C40" s="439"/>
      <c r="D40" s="439"/>
      <c r="E40" s="439">
        <v>180</v>
      </c>
      <c r="F40" s="439">
        <v>180</v>
      </c>
      <c r="G40" s="439">
        <f>E40</f>
        <v>180</v>
      </c>
      <c r="H40" s="439">
        <f>G40</f>
        <v>180</v>
      </c>
    </row>
    <row r="41" spans="1:9" s="114" customFormat="1" ht="21" customHeight="1" x14ac:dyDescent="0.25">
      <c r="A41" s="101" t="s">
        <v>51</v>
      </c>
      <c r="B41" s="442" t="s">
        <v>349</v>
      </c>
      <c r="C41" s="453"/>
      <c r="D41" s="453"/>
      <c r="E41" s="453">
        <f>+E42+E46-E47</f>
        <v>5692</v>
      </c>
      <c r="F41" s="453">
        <f>+F42+F46-F47</f>
        <v>7276</v>
      </c>
      <c r="G41" s="453">
        <f>+G42+G46-G47</f>
        <v>7249</v>
      </c>
      <c r="H41" s="453">
        <f>+H42+H46-H47</f>
        <v>7442</v>
      </c>
    </row>
    <row r="42" spans="1:9" ht="37.5" x14ac:dyDescent="0.25">
      <c r="A42" s="102">
        <v>1</v>
      </c>
      <c r="B42" s="438" t="s">
        <v>1100</v>
      </c>
      <c r="C42" s="439"/>
      <c r="D42" s="439"/>
      <c r="E42" s="439">
        <v>4900</v>
      </c>
      <c r="F42" s="439">
        <f>SUM(F43:F45)</f>
        <v>6322</v>
      </c>
      <c r="G42" s="439">
        <f>SUM(G43:G45)</f>
        <v>6515</v>
      </c>
      <c r="H42" s="439">
        <f>SUM(H43:H45)</f>
        <v>6708</v>
      </c>
    </row>
    <row r="43" spans="1:9" x14ac:dyDescent="0.25">
      <c r="A43" s="102"/>
      <c r="B43" s="438" t="s">
        <v>1772</v>
      </c>
      <c r="C43" s="439">
        <v>57</v>
      </c>
      <c r="D43" s="440">
        <v>49</v>
      </c>
      <c r="E43" s="439"/>
      <c r="F43" s="439">
        <v>5348</v>
      </c>
      <c r="G43" s="439">
        <f>ROUND(F43+19*8.8,0)</f>
        <v>5515</v>
      </c>
      <c r="H43" s="439">
        <f>ROUND(G43+19*8.8,0)</f>
        <v>5682</v>
      </c>
    </row>
    <row r="44" spans="1:9" x14ac:dyDescent="0.25">
      <c r="A44" s="102"/>
      <c r="B44" s="438" t="s">
        <v>1649</v>
      </c>
      <c r="C44" s="439"/>
      <c r="D44" s="440"/>
      <c r="E44" s="439"/>
      <c r="F44" s="439">
        <v>410</v>
      </c>
      <c r="G44" s="439">
        <f>F44</f>
        <v>410</v>
      </c>
      <c r="H44" s="439">
        <f>G44</f>
        <v>410</v>
      </c>
    </row>
    <row r="45" spans="1:9" ht="37.5" x14ac:dyDescent="0.25">
      <c r="A45" s="102"/>
      <c r="B45" s="438" t="s">
        <v>1773</v>
      </c>
      <c r="C45" s="439">
        <v>10</v>
      </c>
      <c r="D45" s="439">
        <v>8</v>
      </c>
      <c r="E45" s="439"/>
      <c r="F45" s="439">
        <v>564</v>
      </c>
      <c r="G45" s="439">
        <f>ROUND(F45+3*8.8,0)</f>
        <v>590</v>
      </c>
      <c r="H45" s="439">
        <f>ROUND(G45+3*8.8,0)</f>
        <v>616</v>
      </c>
    </row>
    <row r="46" spans="1:9" ht="37.5" x14ac:dyDescent="0.25">
      <c r="A46" s="102">
        <v>2</v>
      </c>
      <c r="B46" s="438" t="s">
        <v>1603</v>
      </c>
      <c r="C46" s="439">
        <v>57</v>
      </c>
      <c r="D46" s="439"/>
      <c r="E46" s="440">
        <v>920</v>
      </c>
      <c r="F46" s="440">
        <f>C46*20</f>
        <v>1140</v>
      </c>
      <c r="G46" s="440">
        <f>E46</f>
        <v>920</v>
      </c>
      <c r="H46" s="440">
        <f>G46</f>
        <v>920</v>
      </c>
    </row>
    <row r="47" spans="1:9" x14ac:dyDescent="0.25">
      <c r="A47" s="102">
        <v>3</v>
      </c>
      <c r="B47" s="438" t="s">
        <v>1092</v>
      </c>
      <c r="C47" s="439"/>
      <c r="D47" s="439"/>
      <c r="E47" s="440">
        <f>SUM(E48:E49)</f>
        <v>128</v>
      </c>
      <c r="F47" s="440">
        <f>SUM(F48:F49)</f>
        <v>186</v>
      </c>
      <c r="G47" s="440">
        <f>SUM(G48:G49)</f>
        <v>186</v>
      </c>
      <c r="H47" s="440">
        <f>SUM(H48:H49)</f>
        <v>186</v>
      </c>
    </row>
    <row r="48" spans="1:9" x14ac:dyDescent="0.25">
      <c r="A48" s="102"/>
      <c r="B48" s="438" t="s">
        <v>969</v>
      </c>
      <c r="C48" s="439"/>
      <c r="D48" s="439"/>
      <c r="E48" s="439">
        <v>92</v>
      </c>
      <c r="F48" s="439">
        <v>114</v>
      </c>
      <c r="G48" s="439">
        <f>F48</f>
        <v>114</v>
      </c>
      <c r="H48" s="439">
        <f>G48</f>
        <v>114</v>
      </c>
    </row>
    <row r="49" spans="1:8" x14ac:dyDescent="0.25">
      <c r="A49" s="102"/>
      <c r="B49" s="438" t="s">
        <v>968</v>
      </c>
      <c r="C49" s="439"/>
      <c r="D49" s="439"/>
      <c r="E49" s="439">
        <v>36</v>
      </c>
      <c r="F49" s="439">
        <v>72</v>
      </c>
      <c r="G49" s="439">
        <f>F49</f>
        <v>72</v>
      </c>
      <c r="H49" s="439">
        <f>G49</f>
        <v>72</v>
      </c>
    </row>
    <row r="50" spans="1:8" s="50" customFormat="1" x14ac:dyDescent="0.25">
      <c r="A50" s="101" t="s">
        <v>52</v>
      </c>
      <c r="B50" s="442" t="s">
        <v>350</v>
      </c>
      <c r="C50" s="443"/>
      <c r="D50" s="443"/>
      <c r="E50" s="453">
        <f>SUM(E51:E63)</f>
        <v>1113</v>
      </c>
      <c r="F50" s="453">
        <f>SUM(F51:F63)</f>
        <v>2041</v>
      </c>
      <c r="G50" s="453">
        <f t="shared" ref="G50:H50" si="1">SUM(G51:G63)</f>
        <v>1641</v>
      </c>
      <c r="H50" s="453">
        <f t="shared" si="1"/>
        <v>1641</v>
      </c>
    </row>
    <row r="51" spans="1:8" x14ac:dyDescent="0.25">
      <c r="A51" s="102" t="s">
        <v>99</v>
      </c>
      <c r="B51" s="438" t="s">
        <v>482</v>
      </c>
      <c r="C51" s="439"/>
      <c r="D51" s="439"/>
      <c r="E51" s="440">
        <v>15</v>
      </c>
      <c r="F51" s="440">
        <v>15</v>
      </c>
      <c r="G51" s="440">
        <f>F51</f>
        <v>15</v>
      </c>
      <c r="H51" s="440">
        <f>G51</f>
        <v>15</v>
      </c>
    </row>
    <row r="52" spans="1:8" x14ac:dyDescent="0.25">
      <c r="A52" s="102" t="s">
        <v>99</v>
      </c>
      <c r="B52" s="438" t="s">
        <v>914</v>
      </c>
      <c r="C52" s="439"/>
      <c r="D52" s="439"/>
      <c r="E52" s="440">
        <v>40</v>
      </c>
      <c r="F52" s="440">
        <f>E52</f>
        <v>40</v>
      </c>
      <c r="G52" s="440">
        <f t="shared" ref="G52:G60" si="2">F52</f>
        <v>40</v>
      </c>
      <c r="H52" s="440">
        <f t="shared" ref="H52:H57" si="3">G52</f>
        <v>40</v>
      </c>
    </row>
    <row r="53" spans="1:8" x14ac:dyDescent="0.25">
      <c r="A53" s="102" t="s">
        <v>99</v>
      </c>
      <c r="B53" s="438" t="s">
        <v>399</v>
      </c>
      <c r="C53" s="439"/>
      <c r="D53" s="439"/>
      <c r="E53" s="440">
        <v>150</v>
      </c>
      <c r="F53" s="440">
        <v>200</v>
      </c>
      <c r="G53" s="440">
        <f t="shared" si="2"/>
        <v>200</v>
      </c>
      <c r="H53" s="440">
        <f t="shared" si="3"/>
        <v>200</v>
      </c>
    </row>
    <row r="54" spans="1:8" x14ac:dyDescent="0.25">
      <c r="A54" s="102" t="s">
        <v>99</v>
      </c>
      <c r="B54" s="438" t="s">
        <v>1352</v>
      </c>
      <c r="C54" s="439"/>
      <c r="D54" s="439"/>
      <c r="E54" s="440">
        <v>80</v>
      </c>
      <c r="F54" s="440">
        <f>E54+60</f>
        <v>140</v>
      </c>
      <c r="G54" s="440">
        <f>E54</f>
        <v>80</v>
      </c>
      <c r="H54" s="440">
        <f t="shared" si="3"/>
        <v>80</v>
      </c>
    </row>
    <row r="55" spans="1:8" x14ac:dyDescent="0.25">
      <c r="A55" s="102" t="s">
        <v>99</v>
      </c>
      <c r="B55" s="438" t="s">
        <v>915</v>
      </c>
      <c r="C55" s="439"/>
      <c r="D55" s="439"/>
      <c r="E55" s="440">
        <v>395</v>
      </c>
      <c r="F55" s="440">
        <v>1150</v>
      </c>
      <c r="G55" s="440">
        <f t="shared" si="2"/>
        <v>1150</v>
      </c>
      <c r="H55" s="440">
        <f t="shared" si="3"/>
        <v>1150</v>
      </c>
    </row>
    <row r="56" spans="1:8" x14ac:dyDescent="0.25">
      <c r="A56" s="102" t="s">
        <v>99</v>
      </c>
      <c r="B56" s="438" t="s">
        <v>1774</v>
      </c>
      <c r="C56" s="439"/>
      <c r="D56" s="439"/>
      <c r="E56" s="440">
        <v>22</v>
      </c>
      <c r="F56" s="440">
        <v>35</v>
      </c>
      <c r="G56" s="440">
        <f t="shared" si="2"/>
        <v>35</v>
      </c>
      <c r="H56" s="440">
        <f t="shared" si="3"/>
        <v>35</v>
      </c>
    </row>
    <row r="57" spans="1:8" x14ac:dyDescent="0.25">
      <c r="A57" s="102" t="s">
        <v>99</v>
      </c>
      <c r="B57" s="438" t="s">
        <v>916</v>
      </c>
      <c r="C57" s="439"/>
      <c r="D57" s="439"/>
      <c r="E57" s="440">
        <v>30</v>
      </c>
      <c r="F57" s="440">
        <v>30</v>
      </c>
      <c r="G57" s="440">
        <f t="shared" si="2"/>
        <v>30</v>
      </c>
      <c r="H57" s="440">
        <f t="shared" si="3"/>
        <v>30</v>
      </c>
    </row>
    <row r="58" spans="1:8" ht="93.75" x14ac:dyDescent="0.25">
      <c r="A58" s="102" t="s">
        <v>99</v>
      </c>
      <c r="B58" s="438" t="s">
        <v>917</v>
      </c>
      <c r="C58" s="439"/>
      <c r="D58" s="439"/>
      <c r="E58" s="440">
        <v>170</v>
      </c>
      <c r="F58" s="440"/>
      <c r="G58" s="440">
        <f t="shared" si="2"/>
        <v>0</v>
      </c>
      <c r="H58" s="440"/>
    </row>
    <row r="59" spans="1:8" s="434" customFormat="1" ht="56.25" x14ac:dyDescent="0.25">
      <c r="A59" s="102" t="s">
        <v>99</v>
      </c>
      <c r="B59" s="438" t="s">
        <v>1880</v>
      </c>
      <c r="C59" s="439"/>
      <c r="D59" s="439"/>
      <c r="E59" s="440"/>
      <c r="F59" s="440">
        <f>15*4+20+10+10</f>
        <v>100</v>
      </c>
      <c r="G59" s="440"/>
      <c r="H59" s="440"/>
    </row>
    <row r="60" spans="1:8" x14ac:dyDescent="0.25">
      <c r="A60" s="102" t="s">
        <v>99</v>
      </c>
      <c r="B60" s="438" t="s">
        <v>965</v>
      </c>
      <c r="C60" s="439"/>
      <c r="D60" s="439"/>
      <c r="E60" s="440">
        <v>91</v>
      </c>
      <c r="F60" s="440">
        <f>E60</f>
        <v>91</v>
      </c>
      <c r="G60" s="440">
        <f t="shared" si="2"/>
        <v>91</v>
      </c>
      <c r="H60" s="440">
        <f>G60</f>
        <v>91</v>
      </c>
    </row>
    <row r="61" spans="1:8" x14ac:dyDescent="0.25">
      <c r="A61" s="102" t="s">
        <v>99</v>
      </c>
      <c r="B61" s="438" t="s">
        <v>918</v>
      </c>
      <c r="C61" s="439"/>
      <c r="D61" s="439"/>
      <c r="E61" s="440">
        <v>120</v>
      </c>
      <c r="F61" s="440"/>
      <c r="G61" s="440"/>
      <c r="H61" s="440"/>
    </row>
    <row r="62" spans="1:8" s="434" customFormat="1" x14ac:dyDescent="0.25">
      <c r="A62" s="102" t="s">
        <v>99</v>
      </c>
      <c r="B62" s="438" t="s">
        <v>114</v>
      </c>
      <c r="C62" s="439"/>
      <c r="D62" s="439"/>
      <c r="E62" s="440"/>
      <c r="F62" s="440">
        <v>50</v>
      </c>
      <c r="G62" s="440"/>
      <c r="H62" s="440"/>
    </row>
    <row r="63" spans="1:8" s="434" customFormat="1" ht="37.5" x14ac:dyDescent="0.25">
      <c r="A63" s="102" t="s">
        <v>99</v>
      </c>
      <c r="B63" s="438" t="s">
        <v>1775</v>
      </c>
      <c r="C63" s="439"/>
      <c r="D63" s="439"/>
      <c r="E63" s="440"/>
      <c r="F63" s="440">
        <v>190</v>
      </c>
      <c r="G63" s="440"/>
      <c r="H63" s="440"/>
    </row>
    <row r="64" spans="1:8" s="50" customFormat="1" x14ac:dyDescent="0.25">
      <c r="A64" s="257" t="s">
        <v>7</v>
      </c>
      <c r="B64" s="258" t="s">
        <v>379</v>
      </c>
      <c r="C64" s="259"/>
      <c r="D64" s="259"/>
      <c r="E64" s="259">
        <f>E65+E75+E78+E96+E114+E136+E150+E164+E165</f>
        <v>191342</v>
      </c>
      <c r="F64" s="259">
        <f>F65+F75+F78+F96+F114+F136+F150+F164+F165</f>
        <v>157648</v>
      </c>
      <c r="G64" s="259">
        <f>G65+G75+G78+G96+G114+G136+G150+G164+G165</f>
        <v>120279</v>
      </c>
      <c r="H64" s="259">
        <f>H65+H75+H78+H96+H114+H136+H150+H164+H165</f>
        <v>121075</v>
      </c>
    </row>
    <row r="65" spans="1:8" s="521" customFormat="1" x14ac:dyDescent="0.25">
      <c r="A65" s="525" t="s">
        <v>51</v>
      </c>
      <c r="B65" s="526" t="s">
        <v>920</v>
      </c>
      <c r="C65" s="527"/>
      <c r="D65" s="527"/>
      <c r="E65" s="527">
        <f>E66+E72</f>
        <v>2309</v>
      </c>
      <c r="F65" s="527">
        <f t="shared" ref="F65:H65" si="4">F66+F72</f>
        <v>2613</v>
      </c>
      <c r="G65" s="527">
        <f t="shared" si="4"/>
        <v>2596</v>
      </c>
      <c r="H65" s="527">
        <f t="shared" si="4"/>
        <v>2654</v>
      </c>
    </row>
    <row r="66" spans="1:8" s="512" customFormat="1" x14ac:dyDescent="0.25">
      <c r="A66" s="528">
        <v>1</v>
      </c>
      <c r="B66" s="529" t="s">
        <v>660</v>
      </c>
      <c r="C66" s="530"/>
      <c r="D66" s="530"/>
      <c r="E66" s="530">
        <f>E67+E70-E71</f>
        <v>2224</v>
      </c>
      <c r="F66" s="530">
        <f>F67+F70-F71</f>
        <v>2523</v>
      </c>
      <c r="G66" s="530">
        <f t="shared" ref="G66:H66" si="5">G67+G70-G71</f>
        <v>2581</v>
      </c>
      <c r="H66" s="530">
        <f t="shared" si="5"/>
        <v>2639</v>
      </c>
    </row>
    <row r="67" spans="1:8" s="472" customFormat="1" ht="56.25" x14ac:dyDescent="0.25">
      <c r="A67" s="519"/>
      <c r="B67" s="438" t="s">
        <v>1778</v>
      </c>
      <c r="C67" s="388"/>
      <c r="D67" s="388"/>
      <c r="E67" s="388">
        <v>1864</v>
      </c>
      <c r="F67" s="388">
        <f>SUM(F68:F69)</f>
        <v>2146</v>
      </c>
      <c r="G67" s="388">
        <f t="shared" ref="G67:H67" si="6">SUM(G68:G69)</f>
        <v>2204</v>
      </c>
      <c r="H67" s="388">
        <f t="shared" si="6"/>
        <v>2262</v>
      </c>
    </row>
    <row r="68" spans="1:8" s="472" customFormat="1" x14ac:dyDescent="0.25">
      <c r="A68" s="519"/>
      <c r="B68" s="438" t="s">
        <v>1776</v>
      </c>
      <c r="C68" s="388">
        <v>22</v>
      </c>
      <c r="D68" s="388">
        <v>21</v>
      </c>
      <c r="E68" s="388"/>
      <c r="F68" s="388">
        <v>2040</v>
      </c>
      <c r="G68" s="439">
        <f>ROUND(F68+7*7.3,0)</f>
        <v>2091</v>
      </c>
      <c r="H68" s="439">
        <f>ROUND(G68+7*7.3,0)</f>
        <v>2142</v>
      </c>
    </row>
    <row r="69" spans="1:8" s="472" customFormat="1" x14ac:dyDescent="0.25">
      <c r="A69" s="519"/>
      <c r="B69" s="438" t="s">
        <v>1777</v>
      </c>
      <c r="C69" s="388">
        <v>3</v>
      </c>
      <c r="D69" s="388">
        <v>2</v>
      </c>
      <c r="E69" s="388"/>
      <c r="F69" s="388">
        <v>106</v>
      </c>
      <c r="G69" s="439">
        <f>ROUND(F69+7.3,0)</f>
        <v>113</v>
      </c>
      <c r="H69" s="439">
        <f>ROUND(G69+7.3,0)</f>
        <v>120</v>
      </c>
    </row>
    <row r="70" spans="1:8" s="472" customFormat="1" ht="37.5" x14ac:dyDescent="0.25">
      <c r="A70" s="519"/>
      <c r="B70" s="438" t="s">
        <v>1780</v>
      </c>
      <c r="C70" s="388">
        <v>22</v>
      </c>
      <c r="D70" s="388"/>
      <c r="E70" s="388">
        <v>399</v>
      </c>
      <c r="F70" s="388">
        <f>C70*19</f>
        <v>418</v>
      </c>
      <c r="G70" s="388">
        <f>F70</f>
        <v>418</v>
      </c>
      <c r="H70" s="388">
        <f>G70</f>
        <v>418</v>
      </c>
    </row>
    <row r="71" spans="1:8" s="472" customFormat="1" ht="37.5" x14ac:dyDescent="0.25">
      <c r="A71" s="519"/>
      <c r="B71" s="438" t="s">
        <v>1779</v>
      </c>
      <c r="C71" s="388"/>
      <c r="D71" s="388"/>
      <c r="E71" s="388">
        <v>39</v>
      </c>
      <c r="F71" s="388">
        <v>41</v>
      </c>
      <c r="G71" s="388">
        <f>F71</f>
        <v>41</v>
      </c>
      <c r="H71" s="388">
        <f>G71</f>
        <v>41</v>
      </c>
    </row>
    <row r="72" spans="1:8" s="512" customFormat="1" x14ac:dyDescent="0.25">
      <c r="A72" s="528">
        <v>2</v>
      </c>
      <c r="B72" s="529" t="s">
        <v>11</v>
      </c>
      <c r="C72" s="530"/>
      <c r="D72" s="530"/>
      <c r="E72" s="443">
        <v>85</v>
      </c>
      <c r="F72" s="443">
        <f>SUM(F73:F74)</f>
        <v>90</v>
      </c>
      <c r="G72" s="443">
        <f t="shared" ref="G72:H72" si="7">SUM(G73:G74)</f>
        <v>15</v>
      </c>
      <c r="H72" s="443">
        <f t="shared" si="7"/>
        <v>15</v>
      </c>
    </row>
    <row r="73" spans="1:8" s="472" customFormat="1" x14ac:dyDescent="0.25">
      <c r="A73" s="519"/>
      <c r="B73" s="438" t="s">
        <v>627</v>
      </c>
      <c r="C73" s="388"/>
      <c r="D73" s="388"/>
      <c r="E73" s="388"/>
      <c r="F73" s="388">
        <v>15</v>
      </c>
      <c r="G73" s="388">
        <f>F73</f>
        <v>15</v>
      </c>
      <c r="H73" s="388">
        <f>G73</f>
        <v>15</v>
      </c>
    </row>
    <row r="74" spans="1:8" s="472" customFormat="1" x14ac:dyDescent="0.25">
      <c r="A74" s="519"/>
      <c r="B74" s="520" t="s">
        <v>1789</v>
      </c>
      <c r="C74" s="388"/>
      <c r="D74" s="388"/>
      <c r="E74" s="388"/>
      <c r="F74" s="388">
        <f>5*15</f>
        <v>75</v>
      </c>
      <c r="G74" s="388"/>
      <c r="H74" s="388"/>
    </row>
    <row r="75" spans="1:8" s="521" customFormat="1" ht="37.5" x14ac:dyDescent="0.25">
      <c r="A75" s="525" t="s">
        <v>52</v>
      </c>
      <c r="B75" s="526" t="s">
        <v>1781</v>
      </c>
      <c r="C75" s="527"/>
      <c r="D75" s="527"/>
      <c r="E75" s="527">
        <f>SUM(E76:E77)</f>
        <v>554</v>
      </c>
      <c r="F75" s="527">
        <f t="shared" ref="F75:H75" si="8">SUM(F76:F77)</f>
        <v>630</v>
      </c>
      <c r="G75" s="527">
        <f t="shared" si="8"/>
        <v>630</v>
      </c>
      <c r="H75" s="527">
        <f t="shared" si="8"/>
        <v>630</v>
      </c>
    </row>
    <row r="76" spans="1:8" s="472" customFormat="1" x14ac:dyDescent="0.25">
      <c r="A76" s="519" t="s">
        <v>99</v>
      </c>
      <c r="B76" s="438" t="s">
        <v>1782</v>
      </c>
      <c r="C76" s="388"/>
      <c r="D76" s="388"/>
      <c r="E76" s="388">
        <v>509</v>
      </c>
      <c r="F76" s="388">
        <v>585</v>
      </c>
      <c r="G76" s="388">
        <f>F76</f>
        <v>585</v>
      </c>
      <c r="H76" s="388">
        <f>G76</f>
        <v>585</v>
      </c>
    </row>
    <row r="77" spans="1:8" s="472" customFormat="1" x14ac:dyDescent="0.25">
      <c r="A77" s="519" t="s">
        <v>99</v>
      </c>
      <c r="B77" s="438" t="s">
        <v>1783</v>
      </c>
      <c r="C77" s="388"/>
      <c r="D77" s="388"/>
      <c r="E77" s="388">
        <v>45</v>
      </c>
      <c r="F77" s="388">
        <v>45</v>
      </c>
      <c r="G77" s="388">
        <f>F77</f>
        <v>45</v>
      </c>
      <c r="H77" s="388">
        <f>G77</f>
        <v>45</v>
      </c>
    </row>
    <row r="78" spans="1:8" s="521" customFormat="1" x14ac:dyDescent="0.25">
      <c r="A78" s="525" t="s">
        <v>147</v>
      </c>
      <c r="B78" s="526" t="s">
        <v>928</v>
      </c>
      <c r="C78" s="527"/>
      <c r="D78" s="527"/>
      <c r="E78" s="527">
        <f>E79+E85</f>
        <v>3422</v>
      </c>
      <c r="F78" s="527">
        <f t="shared" ref="F78" si="9">F79+F85</f>
        <v>4463</v>
      </c>
      <c r="G78" s="527">
        <f t="shared" ref="G78" si="10">G79+G85</f>
        <v>3691</v>
      </c>
      <c r="H78" s="527">
        <f t="shared" ref="H78" si="11">H79+H85</f>
        <v>3749</v>
      </c>
    </row>
    <row r="79" spans="1:8" s="514" customFormat="1" x14ac:dyDescent="0.25">
      <c r="A79" s="528">
        <v>1</v>
      </c>
      <c r="B79" s="529" t="s">
        <v>660</v>
      </c>
      <c r="C79" s="530"/>
      <c r="D79" s="530"/>
      <c r="E79" s="530">
        <f>E80+E83-E84</f>
        <v>2208</v>
      </c>
      <c r="F79" s="530">
        <f>F80+F83-F84</f>
        <v>2652</v>
      </c>
      <c r="G79" s="530">
        <f t="shared" ref="G79" si="12">G80+G83-G84</f>
        <v>2710</v>
      </c>
      <c r="H79" s="530">
        <f t="shared" ref="H79" si="13">H80+H83-H84</f>
        <v>2768</v>
      </c>
    </row>
    <row r="80" spans="1:8" s="513" customFormat="1" ht="56.25" x14ac:dyDescent="0.25">
      <c r="A80" s="519"/>
      <c r="B80" s="438" t="s">
        <v>1778</v>
      </c>
      <c r="C80" s="388"/>
      <c r="D80" s="388"/>
      <c r="E80" s="388">
        <v>1866</v>
      </c>
      <c r="F80" s="388">
        <f>SUM(F81:F82)</f>
        <v>2258</v>
      </c>
      <c r="G80" s="388">
        <f t="shared" ref="G80" si="14">SUM(G81:G82)</f>
        <v>2316</v>
      </c>
      <c r="H80" s="388">
        <f t="shared" ref="H80" si="15">SUM(H81:H82)</f>
        <v>2374</v>
      </c>
    </row>
    <row r="81" spans="1:8" s="513" customFormat="1" x14ac:dyDescent="0.25">
      <c r="A81" s="519"/>
      <c r="B81" s="438" t="s">
        <v>1787</v>
      </c>
      <c r="C81" s="388">
        <v>23</v>
      </c>
      <c r="D81" s="388">
        <v>19</v>
      </c>
      <c r="E81" s="388"/>
      <c r="F81" s="388">
        <v>2094</v>
      </c>
      <c r="G81" s="439">
        <f>ROUND(F81+7*7.3,0)</f>
        <v>2145</v>
      </c>
      <c r="H81" s="439">
        <f>ROUND(G81+7*7.3,0)</f>
        <v>2196</v>
      </c>
    </row>
    <row r="82" spans="1:8" s="513" customFormat="1" x14ac:dyDescent="0.25">
      <c r="A82" s="519"/>
      <c r="B82" s="438" t="s">
        <v>1777</v>
      </c>
      <c r="C82" s="388">
        <v>3</v>
      </c>
      <c r="D82" s="388">
        <v>3</v>
      </c>
      <c r="E82" s="388"/>
      <c r="F82" s="388">
        <v>164</v>
      </c>
      <c r="G82" s="439">
        <f>ROUND(F82+7.3,0)</f>
        <v>171</v>
      </c>
      <c r="H82" s="439">
        <f>ROUND(G82+7.3,0)</f>
        <v>178</v>
      </c>
    </row>
    <row r="83" spans="1:8" s="513" customFormat="1" ht="37.5" x14ac:dyDescent="0.25">
      <c r="A83" s="519"/>
      <c r="B83" s="438" t="s">
        <v>1788</v>
      </c>
      <c r="C83" s="388">
        <v>23</v>
      </c>
      <c r="D83" s="388"/>
      <c r="E83" s="388">
        <v>380</v>
      </c>
      <c r="F83" s="388">
        <f>C83*19</f>
        <v>437</v>
      </c>
      <c r="G83" s="388">
        <f>F83</f>
        <v>437</v>
      </c>
      <c r="H83" s="388">
        <f>G83</f>
        <v>437</v>
      </c>
    </row>
    <row r="84" spans="1:8" s="513" customFormat="1" ht="37.5" x14ac:dyDescent="0.25">
      <c r="A84" s="519"/>
      <c r="B84" s="438" t="s">
        <v>1779</v>
      </c>
      <c r="C84" s="388"/>
      <c r="D84" s="388"/>
      <c r="E84" s="388">
        <v>38</v>
      </c>
      <c r="F84" s="388">
        <v>43</v>
      </c>
      <c r="G84" s="388">
        <f>F84</f>
        <v>43</v>
      </c>
      <c r="H84" s="388">
        <f>G84</f>
        <v>43</v>
      </c>
    </row>
    <row r="85" spans="1:8" s="514" customFormat="1" x14ac:dyDescent="0.25">
      <c r="A85" s="528">
        <v>2</v>
      </c>
      <c r="B85" s="529" t="s">
        <v>11</v>
      </c>
      <c r="C85" s="530"/>
      <c r="D85" s="530"/>
      <c r="E85" s="443">
        <f>SUM(E86:E95)</f>
        <v>1214</v>
      </c>
      <c r="F85" s="443">
        <f>SUM(F86:F95)</f>
        <v>1811</v>
      </c>
      <c r="G85" s="443">
        <f>SUM(G86:G95)</f>
        <v>981</v>
      </c>
      <c r="H85" s="443">
        <f>SUM(H86:H95)</f>
        <v>981</v>
      </c>
    </row>
    <row r="86" spans="1:8" s="513" customFormat="1" x14ac:dyDescent="0.25">
      <c r="A86" s="519"/>
      <c r="B86" s="520" t="s">
        <v>627</v>
      </c>
      <c r="C86" s="388"/>
      <c r="D86" s="388"/>
      <c r="E86" s="388">
        <v>15</v>
      </c>
      <c r="F86" s="388">
        <f>E86</f>
        <v>15</v>
      </c>
      <c r="G86" s="388">
        <f>F86</f>
        <v>15</v>
      </c>
      <c r="H86" s="388">
        <f>G86</f>
        <v>15</v>
      </c>
    </row>
    <row r="87" spans="1:8" s="513" customFormat="1" ht="37.5" x14ac:dyDescent="0.25">
      <c r="A87" s="519"/>
      <c r="B87" s="520" t="s">
        <v>929</v>
      </c>
      <c r="C87" s="388"/>
      <c r="D87" s="388"/>
      <c r="E87" s="388">
        <v>104</v>
      </c>
      <c r="F87" s="388">
        <f>E87</f>
        <v>104</v>
      </c>
      <c r="G87" s="388">
        <f t="shared" ref="G87:H87" si="16">F87</f>
        <v>104</v>
      </c>
      <c r="H87" s="388">
        <f t="shared" si="16"/>
        <v>104</v>
      </c>
    </row>
    <row r="88" spans="1:8" s="513" customFormat="1" x14ac:dyDescent="0.25">
      <c r="A88" s="519"/>
      <c r="B88" s="520" t="s">
        <v>930</v>
      </c>
      <c r="C88" s="388"/>
      <c r="D88" s="388"/>
      <c r="E88" s="388">
        <v>168</v>
      </c>
      <c r="F88" s="388">
        <v>192</v>
      </c>
      <c r="G88" s="388">
        <f t="shared" ref="G88:H88" si="17">F88</f>
        <v>192</v>
      </c>
      <c r="H88" s="388">
        <f t="shared" si="17"/>
        <v>192</v>
      </c>
    </row>
    <row r="89" spans="1:8" s="513" customFormat="1" ht="56.25" x14ac:dyDescent="0.25">
      <c r="A89" s="519"/>
      <c r="B89" s="520" t="s">
        <v>931</v>
      </c>
      <c r="C89" s="388"/>
      <c r="D89" s="388"/>
      <c r="E89" s="388">
        <v>500</v>
      </c>
      <c r="F89" s="388">
        <v>550</v>
      </c>
      <c r="G89" s="388">
        <f t="shared" ref="G89:H89" si="18">F89</f>
        <v>550</v>
      </c>
      <c r="H89" s="388">
        <f t="shared" si="18"/>
        <v>550</v>
      </c>
    </row>
    <row r="90" spans="1:8" s="513" customFormat="1" ht="37.5" x14ac:dyDescent="0.25">
      <c r="A90" s="519"/>
      <c r="B90" s="520" t="s">
        <v>932</v>
      </c>
      <c r="C90" s="388"/>
      <c r="D90" s="388"/>
      <c r="E90" s="388">
        <v>120</v>
      </c>
      <c r="F90" s="388">
        <f>E90</f>
        <v>120</v>
      </c>
      <c r="G90" s="388">
        <f t="shared" ref="G90:H90" si="19">F90</f>
        <v>120</v>
      </c>
      <c r="H90" s="388">
        <f t="shared" si="19"/>
        <v>120</v>
      </c>
    </row>
    <row r="91" spans="1:8" s="513" customFormat="1" x14ac:dyDescent="0.25">
      <c r="A91" s="519"/>
      <c r="B91" s="520" t="s">
        <v>933</v>
      </c>
      <c r="C91" s="388"/>
      <c r="D91" s="388"/>
      <c r="E91" s="388">
        <v>80</v>
      </c>
      <c r="F91" s="388"/>
      <c r="G91" s="388"/>
      <c r="H91" s="388"/>
    </row>
    <row r="92" spans="1:8" s="513" customFormat="1" ht="37.5" x14ac:dyDescent="0.25">
      <c r="A92" s="519"/>
      <c r="B92" s="520" t="s">
        <v>939</v>
      </c>
      <c r="C92" s="388"/>
      <c r="D92" s="388"/>
      <c r="E92" s="388">
        <v>109</v>
      </c>
      <c r="F92" s="388"/>
      <c r="G92" s="388"/>
      <c r="H92" s="388"/>
    </row>
    <row r="93" spans="1:8" s="513" customFormat="1" ht="75" x14ac:dyDescent="0.25">
      <c r="A93" s="519"/>
      <c r="B93" s="520" t="s">
        <v>1799</v>
      </c>
      <c r="C93" s="388"/>
      <c r="D93" s="388"/>
      <c r="E93" s="388"/>
      <c r="F93" s="388">
        <f>45+50+40+10+20+7</f>
        <v>172</v>
      </c>
      <c r="G93" s="388"/>
      <c r="H93" s="388"/>
    </row>
    <row r="94" spans="1:8" s="513" customFormat="1" x14ac:dyDescent="0.25">
      <c r="A94" s="519"/>
      <c r="B94" s="520" t="s">
        <v>1798</v>
      </c>
      <c r="C94" s="388"/>
      <c r="D94" s="388"/>
      <c r="E94" s="388"/>
      <c r="F94" s="388">
        <v>658</v>
      </c>
      <c r="G94" s="388"/>
      <c r="H94" s="388"/>
    </row>
    <row r="95" spans="1:8" s="513" customFormat="1" ht="75" x14ac:dyDescent="0.25">
      <c r="A95" s="519"/>
      <c r="B95" s="520" t="s">
        <v>934</v>
      </c>
      <c r="C95" s="388"/>
      <c r="D95" s="388"/>
      <c r="E95" s="388">
        <v>118</v>
      </c>
      <c r="F95" s="388"/>
      <c r="G95" s="388"/>
      <c r="H95" s="388"/>
    </row>
    <row r="96" spans="1:8" s="521" customFormat="1" x14ac:dyDescent="0.25">
      <c r="A96" s="525" t="s">
        <v>294</v>
      </c>
      <c r="B96" s="526" t="s">
        <v>1791</v>
      </c>
      <c r="C96" s="527"/>
      <c r="D96" s="527"/>
      <c r="E96" s="527">
        <f>E99+E108</f>
        <v>5434</v>
      </c>
      <c r="F96" s="527">
        <f t="shared" ref="F96:H96" si="20">F99+F108</f>
        <v>5665</v>
      </c>
      <c r="G96" s="527">
        <f t="shared" si="20"/>
        <v>5782</v>
      </c>
      <c r="H96" s="527">
        <f t="shared" si="20"/>
        <v>5899</v>
      </c>
    </row>
    <row r="97" spans="1:8" s="513" customFormat="1" x14ac:dyDescent="0.25">
      <c r="A97" s="519"/>
      <c r="B97" s="520" t="s">
        <v>1796</v>
      </c>
      <c r="C97" s="388"/>
      <c r="D97" s="388"/>
      <c r="E97" s="388">
        <v>1136</v>
      </c>
      <c r="F97" s="388">
        <v>985</v>
      </c>
      <c r="G97" s="388">
        <f>F97</f>
        <v>985</v>
      </c>
      <c r="H97" s="388">
        <f>G97</f>
        <v>985</v>
      </c>
    </row>
    <row r="98" spans="1:8" s="513" customFormat="1" x14ac:dyDescent="0.25">
      <c r="A98" s="519"/>
      <c r="B98" s="520" t="s">
        <v>1797</v>
      </c>
      <c r="C98" s="388"/>
      <c r="D98" s="388"/>
      <c r="E98" s="388">
        <v>852</v>
      </c>
      <c r="F98" s="388">
        <v>740</v>
      </c>
      <c r="G98" s="388">
        <f>F98</f>
        <v>740</v>
      </c>
      <c r="H98" s="388">
        <f>G98</f>
        <v>740</v>
      </c>
    </row>
    <row r="99" spans="1:8" s="514" customFormat="1" x14ac:dyDescent="0.25">
      <c r="A99" s="528">
        <v>1</v>
      </c>
      <c r="B99" s="529" t="s">
        <v>1627</v>
      </c>
      <c r="C99" s="530"/>
      <c r="D99" s="530"/>
      <c r="E99" s="530">
        <f>E100+E103-E104-E107</f>
        <v>4693</v>
      </c>
      <c r="F99" s="530">
        <f t="shared" ref="F99:H99" si="21">F100+F103-F104-F107</f>
        <v>4514</v>
      </c>
      <c r="G99" s="530">
        <f t="shared" si="21"/>
        <v>4631</v>
      </c>
      <c r="H99" s="530">
        <f t="shared" si="21"/>
        <v>4748</v>
      </c>
    </row>
    <row r="100" spans="1:8" s="513" customFormat="1" ht="56.25" x14ac:dyDescent="0.25">
      <c r="A100" s="519"/>
      <c r="B100" s="438" t="s">
        <v>1778</v>
      </c>
      <c r="C100" s="388"/>
      <c r="D100" s="388"/>
      <c r="E100" s="388">
        <v>4067</v>
      </c>
      <c r="F100" s="388">
        <f>SUM(F101:F102)</f>
        <v>4119</v>
      </c>
      <c r="G100" s="388">
        <f t="shared" ref="G100" si="22">SUM(G101:G102)</f>
        <v>4236</v>
      </c>
      <c r="H100" s="388">
        <f t="shared" ref="H100" si="23">SUM(H101:H102)</f>
        <v>4353</v>
      </c>
    </row>
    <row r="101" spans="1:8" s="513" customFormat="1" x14ac:dyDescent="0.25">
      <c r="A101" s="519"/>
      <c r="B101" s="438" t="s">
        <v>1793</v>
      </c>
      <c r="C101" s="388">
        <v>45</v>
      </c>
      <c r="D101" s="388">
        <v>29</v>
      </c>
      <c r="E101" s="388"/>
      <c r="F101" s="388">
        <v>3859</v>
      </c>
      <c r="G101" s="439">
        <f>ROUND(F101+15*7.3,0)</f>
        <v>3969</v>
      </c>
      <c r="H101" s="439">
        <f>ROUND(G101+15*7.3,0)</f>
        <v>4079</v>
      </c>
    </row>
    <row r="102" spans="1:8" s="513" customFormat="1" x14ac:dyDescent="0.25">
      <c r="A102" s="519"/>
      <c r="B102" s="438" t="s">
        <v>1794</v>
      </c>
      <c r="C102" s="388">
        <v>4</v>
      </c>
      <c r="D102" s="388">
        <v>3</v>
      </c>
      <c r="E102" s="388"/>
      <c r="F102" s="388">
        <v>260</v>
      </c>
      <c r="G102" s="439">
        <f>ROUND(F102+7.3,0)</f>
        <v>267</v>
      </c>
      <c r="H102" s="439">
        <f>ROUND(G102+7.3,0)</f>
        <v>274</v>
      </c>
    </row>
    <row r="103" spans="1:8" s="513" customFormat="1" ht="37.5" x14ac:dyDescent="0.25">
      <c r="A103" s="519"/>
      <c r="B103" s="438" t="s">
        <v>1795</v>
      </c>
      <c r="C103" s="388">
        <v>45</v>
      </c>
      <c r="D103" s="388"/>
      <c r="E103" s="388">
        <v>931</v>
      </c>
      <c r="F103" s="388">
        <f>C103*19</f>
        <v>855</v>
      </c>
      <c r="G103" s="388">
        <f>F103</f>
        <v>855</v>
      </c>
      <c r="H103" s="388">
        <f>G103</f>
        <v>855</v>
      </c>
    </row>
    <row r="104" spans="1:8" s="513" customFormat="1" x14ac:dyDescent="0.25">
      <c r="A104" s="519"/>
      <c r="B104" s="438" t="s">
        <v>1792</v>
      </c>
      <c r="C104" s="388"/>
      <c r="D104" s="388"/>
      <c r="E104" s="388">
        <f>SUM(E105:E106)</f>
        <v>305</v>
      </c>
      <c r="F104" s="388">
        <f t="shared" ref="F104:H104" si="24">SUM(F105:F106)</f>
        <v>372</v>
      </c>
      <c r="G104" s="388">
        <f t="shared" si="24"/>
        <v>372</v>
      </c>
      <c r="H104" s="388">
        <f t="shared" si="24"/>
        <v>372</v>
      </c>
    </row>
    <row r="105" spans="1:8" s="472" customFormat="1" x14ac:dyDescent="0.25">
      <c r="A105" s="519"/>
      <c r="B105" s="520" t="s">
        <v>968</v>
      </c>
      <c r="C105" s="388"/>
      <c r="D105" s="388"/>
      <c r="E105" s="388">
        <v>212</v>
      </c>
      <c r="F105" s="388">
        <v>296</v>
      </c>
      <c r="G105" s="388">
        <f t="shared" ref="G105:H107" si="25">F105</f>
        <v>296</v>
      </c>
      <c r="H105" s="388">
        <f t="shared" si="25"/>
        <v>296</v>
      </c>
    </row>
    <row r="106" spans="1:8" s="472" customFormat="1" ht="37.5" x14ac:dyDescent="0.25">
      <c r="A106" s="519"/>
      <c r="B106" s="520" t="s">
        <v>1628</v>
      </c>
      <c r="C106" s="388"/>
      <c r="D106" s="388"/>
      <c r="E106" s="388">
        <v>93</v>
      </c>
      <c r="F106" s="388">
        <f>ROUND((F103-F107)*0.1,0)-1</f>
        <v>76</v>
      </c>
      <c r="G106" s="388">
        <f t="shared" si="25"/>
        <v>76</v>
      </c>
      <c r="H106" s="388">
        <f t="shared" si="25"/>
        <v>76</v>
      </c>
    </row>
    <row r="107" spans="1:8" s="107" customFormat="1" ht="37.5" x14ac:dyDescent="0.25">
      <c r="A107" s="118"/>
      <c r="B107" s="451" t="s">
        <v>1811</v>
      </c>
      <c r="C107" s="440"/>
      <c r="D107" s="440"/>
      <c r="E107" s="440"/>
      <c r="F107" s="440">
        <v>88</v>
      </c>
      <c r="G107" s="440">
        <f t="shared" si="25"/>
        <v>88</v>
      </c>
      <c r="H107" s="440">
        <f t="shared" si="25"/>
        <v>88</v>
      </c>
    </row>
    <row r="108" spans="1:8" s="472" customFormat="1" x14ac:dyDescent="0.25">
      <c r="A108" s="528">
        <v>2</v>
      </c>
      <c r="B108" s="529" t="s">
        <v>11</v>
      </c>
      <c r="C108" s="388"/>
      <c r="D108" s="388"/>
      <c r="E108" s="530">
        <f>SUM(E109:E113)</f>
        <v>741</v>
      </c>
      <c r="F108" s="530">
        <f t="shared" ref="F108:H108" si="26">SUM(F109:F113)</f>
        <v>1151</v>
      </c>
      <c r="G108" s="530">
        <f t="shared" si="26"/>
        <v>1151</v>
      </c>
      <c r="H108" s="530">
        <f t="shared" si="26"/>
        <v>1151</v>
      </c>
    </row>
    <row r="109" spans="1:8" s="513" customFormat="1" x14ac:dyDescent="0.25">
      <c r="A109" s="519"/>
      <c r="B109" s="520" t="s">
        <v>627</v>
      </c>
      <c r="C109" s="388"/>
      <c r="D109" s="388"/>
      <c r="E109" s="388">
        <v>15</v>
      </c>
      <c r="F109" s="388">
        <f>E109</f>
        <v>15</v>
      </c>
      <c r="G109" s="388">
        <f t="shared" ref="G109:H109" si="27">F109</f>
        <v>15</v>
      </c>
      <c r="H109" s="388">
        <f t="shared" si="27"/>
        <v>15</v>
      </c>
    </row>
    <row r="110" spans="1:8" s="513" customFormat="1" ht="37.5" x14ac:dyDescent="0.25">
      <c r="A110" s="519"/>
      <c r="B110" s="520" t="s">
        <v>940</v>
      </c>
      <c r="C110" s="388"/>
      <c r="D110" s="388"/>
      <c r="E110" s="388">
        <v>170</v>
      </c>
      <c r="F110" s="388">
        <v>187</v>
      </c>
      <c r="G110" s="388">
        <f t="shared" ref="G110:H110" si="28">F110</f>
        <v>187</v>
      </c>
      <c r="H110" s="388">
        <f t="shared" si="28"/>
        <v>187</v>
      </c>
    </row>
    <row r="111" spans="1:8" s="513" customFormat="1" ht="37.5" x14ac:dyDescent="0.25">
      <c r="A111" s="519"/>
      <c r="B111" s="520" t="s">
        <v>1803</v>
      </c>
      <c r="C111" s="388"/>
      <c r="D111" s="388"/>
      <c r="E111" s="388">
        <v>106</v>
      </c>
      <c r="F111" s="388">
        <v>149</v>
      </c>
      <c r="G111" s="388">
        <f t="shared" ref="G111:H111" si="29">F111</f>
        <v>149</v>
      </c>
      <c r="H111" s="388">
        <f t="shared" si="29"/>
        <v>149</v>
      </c>
    </row>
    <row r="112" spans="1:8" s="513" customFormat="1" ht="37.5" x14ac:dyDescent="0.25">
      <c r="A112" s="519"/>
      <c r="B112" s="520" t="s">
        <v>1804</v>
      </c>
      <c r="C112" s="388"/>
      <c r="D112" s="388"/>
      <c r="E112" s="388">
        <v>450</v>
      </c>
      <c r="F112" s="388"/>
      <c r="G112" s="388"/>
      <c r="H112" s="388"/>
    </row>
    <row r="113" spans="1:8" s="513" customFormat="1" ht="93.75" x14ac:dyDescent="0.25">
      <c r="A113" s="519"/>
      <c r="B113" s="520" t="s">
        <v>1814</v>
      </c>
      <c r="C113" s="388"/>
      <c r="D113" s="388"/>
      <c r="E113" s="388"/>
      <c r="F113" s="388">
        <v>800</v>
      </c>
      <c r="G113" s="388">
        <f>F113</f>
        <v>800</v>
      </c>
      <c r="H113" s="388">
        <f>G113</f>
        <v>800</v>
      </c>
    </row>
    <row r="114" spans="1:8" s="521" customFormat="1" x14ac:dyDescent="0.25">
      <c r="A114" s="525" t="s">
        <v>295</v>
      </c>
      <c r="B114" s="526" t="s">
        <v>1800</v>
      </c>
      <c r="C114" s="527"/>
      <c r="D114" s="527"/>
      <c r="E114" s="527">
        <f>E117+E126</f>
        <v>12384</v>
      </c>
      <c r="F114" s="527">
        <f t="shared" ref="F114:H114" si="30">F117+F126</f>
        <v>12074</v>
      </c>
      <c r="G114" s="527">
        <f t="shared" si="30"/>
        <v>12374</v>
      </c>
      <c r="H114" s="527">
        <f t="shared" si="30"/>
        <v>12674</v>
      </c>
    </row>
    <row r="115" spans="1:8" s="513" customFormat="1" x14ac:dyDescent="0.25">
      <c r="A115" s="519"/>
      <c r="B115" s="520" t="s">
        <v>1796</v>
      </c>
      <c r="C115" s="388"/>
      <c r="D115" s="388"/>
      <c r="E115" s="388">
        <v>3240</v>
      </c>
      <c r="F115" s="388">
        <f t="shared" ref="F115:H116" si="31">E115</f>
        <v>3240</v>
      </c>
      <c r="G115" s="388">
        <f t="shared" si="31"/>
        <v>3240</v>
      </c>
      <c r="H115" s="388">
        <f t="shared" si="31"/>
        <v>3240</v>
      </c>
    </row>
    <row r="116" spans="1:8" s="513" customFormat="1" x14ac:dyDescent="0.25">
      <c r="A116" s="519"/>
      <c r="B116" s="520" t="s">
        <v>1797</v>
      </c>
      <c r="C116" s="388"/>
      <c r="D116" s="388"/>
      <c r="E116" s="388">
        <v>2880</v>
      </c>
      <c r="F116" s="388">
        <f t="shared" si="31"/>
        <v>2880</v>
      </c>
      <c r="G116" s="388">
        <f t="shared" si="31"/>
        <v>2880</v>
      </c>
      <c r="H116" s="388">
        <f t="shared" si="31"/>
        <v>2880</v>
      </c>
    </row>
    <row r="117" spans="1:8" s="514" customFormat="1" x14ac:dyDescent="0.25">
      <c r="A117" s="528">
        <v>1</v>
      </c>
      <c r="B117" s="529" t="s">
        <v>1627</v>
      </c>
      <c r="C117" s="530"/>
      <c r="D117" s="530"/>
      <c r="E117" s="530">
        <f>E118+E121-E122-E125</f>
        <v>11547</v>
      </c>
      <c r="F117" s="530">
        <f t="shared" ref="F117:H117" si="32">F118+F121-F122-F125</f>
        <v>11455</v>
      </c>
      <c r="G117" s="530">
        <f t="shared" si="32"/>
        <v>11755</v>
      </c>
      <c r="H117" s="530">
        <f t="shared" si="32"/>
        <v>12055</v>
      </c>
    </row>
    <row r="118" spans="1:8" s="513" customFormat="1" ht="56.25" x14ac:dyDescent="0.25">
      <c r="A118" s="519"/>
      <c r="B118" s="438" t="s">
        <v>1778</v>
      </c>
      <c r="C118" s="388"/>
      <c r="D118" s="388"/>
      <c r="E118" s="388">
        <f>2161+8540</f>
        <v>10701</v>
      </c>
      <c r="F118" s="388">
        <f>SUM(F119:F120)</f>
        <v>10882</v>
      </c>
      <c r="G118" s="388">
        <f t="shared" ref="G118" si="33">SUM(G119:G120)</f>
        <v>11182</v>
      </c>
      <c r="H118" s="388">
        <f t="shared" ref="H118" si="34">SUM(H119:H120)</f>
        <v>11482</v>
      </c>
    </row>
    <row r="119" spans="1:8" s="513" customFormat="1" x14ac:dyDescent="0.25">
      <c r="A119" s="519"/>
      <c r="B119" s="438" t="s">
        <v>1801</v>
      </c>
      <c r="C119" s="388">
        <v>119</v>
      </c>
      <c r="D119" s="388">
        <v>107</v>
      </c>
      <c r="E119" s="388"/>
      <c r="F119" s="388">
        <v>10547</v>
      </c>
      <c r="G119" s="439">
        <f>ROUND(F119+39*7.3,0)</f>
        <v>10832</v>
      </c>
      <c r="H119" s="439">
        <f>ROUND(G119+39*7.3,0)</f>
        <v>11117</v>
      </c>
    </row>
    <row r="120" spans="1:8" s="513" customFormat="1" x14ac:dyDescent="0.25">
      <c r="A120" s="519"/>
      <c r="B120" s="438" t="s">
        <v>1506</v>
      </c>
      <c r="C120" s="388">
        <v>6</v>
      </c>
      <c r="D120" s="388">
        <v>4</v>
      </c>
      <c r="E120" s="388"/>
      <c r="F120" s="388">
        <v>335</v>
      </c>
      <c r="G120" s="439">
        <f>ROUND(F120+2*7.3,0)</f>
        <v>350</v>
      </c>
      <c r="H120" s="439">
        <f>ROUND(G120+2*7.3,0)</f>
        <v>365</v>
      </c>
    </row>
    <row r="121" spans="1:8" s="513" customFormat="1" ht="37.5" x14ac:dyDescent="0.25">
      <c r="A121" s="519"/>
      <c r="B121" s="438" t="s">
        <v>1802</v>
      </c>
      <c r="C121" s="388">
        <v>119</v>
      </c>
      <c r="D121" s="388"/>
      <c r="E121" s="388">
        <f>437+1862</f>
        <v>2299</v>
      </c>
      <c r="F121" s="388">
        <f>C121*19</f>
        <v>2261</v>
      </c>
      <c r="G121" s="388">
        <f>F121</f>
        <v>2261</v>
      </c>
      <c r="H121" s="388">
        <f>G121</f>
        <v>2261</v>
      </c>
    </row>
    <row r="122" spans="1:8" s="513" customFormat="1" x14ac:dyDescent="0.25">
      <c r="A122" s="519"/>
      <c r="B122" s="438" t="s">
        <v>1792</v>
      </c>
      <c r="C122" s="388"/>
      <c r="D122" s="388"/>
      <c r="E122" s="388">
        <f>SUM(E123:E124)</f>
        <v>1453</v>
      </c>
      <c r="F122" s="388">
        <f t="shared" ref="F122" si="35">SUM(F123:F124)</f>
        <v>1343</v>
      </c>
      <c r="G122" s="388">
        <f t="shared" ref="G122" si="36">SUM(G123:G124)</f>
        <v>1343</v>
      </c>
      <c r="H122" s="388">
        <f t="shared" ref="H122" si="37">SUM(H123:H124)</f>
        <v>1343</v>
      </c>
    </row>
    <row r="123" spans="1:8" s="513" customFormat="1" x14ac:dyDescent="0.25">
      <c r="A123" s="519"/>
      <c r="B123" s="520" t="s">
        <v>968</v>
      </c>
      <c r="C123" s="388"/>
      <c r="D123" s="388"/>
      <c r="E123" s="388">
        <v>1224</v>
      </c>
      <c r="F123" s="388">
        <v>1152</v>
      </c>
      <c r="G123" s="388">
        <f t="shared" ref="G123:H125" si="38">F123</f>
        <v>1152</v>
      </c>
      <c r="H123" s="388">
        <f t="shared" si="38"/>
        <v>1152</v>
      </c>
    </row>
    <row r="124" spans="1:8" s="513" customFormat="1" ht="37.5" x14ac:dyDescent="0.25">
      <c r="A124" s="519"/>
      <c r="B124" s="520" t="s">
        <v>1628</v>
      </c>
      <c r="C124" s="388"/>
      <c r="D124" s="388"/>
      <c r="E124" s="388">
        <f>43+186</f>
        <v>229</v>
      </c>
      <c r="F124" s="388">
        <f>ROUND((F121-F125)*0.1,0)-1</f>
        <v>191</v>
      </c>
      <c r="G124" s="388">
        <f t="shared" si="38"/>
        <v>191</v>
      </c>
      <c r="H124" s="388">
        <f t="shared" si="38"/>
        <v>191</v>
      </c>
    </row>
    <row r="125" spans="1:8" s="107" customFormat="1" ht="37.5" x14ac:dyDescent="0.25">
      <c r="A125" s="118"/>
      <c r="B125" s="451" t="s">
        <v>1811</v>
      </c>
      <c r="C125" s="440"/>
      <c r="D125" s="440"/>
      <c r="E125" s="440"/>
      <c r="F125" s="440">
        <f>ROUND((F116-F123)*0.2,0)-1</f>
        <v>345</v>
      </c>
      <c r="G125" s="440">
        <f t="shared" si="38"/>
        <v>345</v>
      </c>
      <c r="H125" s="440">
        <f t="shared" si="38"/>
        <v>345</v>
      </c>
    </row>
    <row r="126" spans="1:8" s="514" customFormat="1" x14ac:dyDescent="0.25">
      <c r="A126" s="528">
        <v>2</v>
      </c>
      <c r="B126" s="529" t="s">
        <v>11</v>
      </c>
      <c r="C126" s="530"/>
      <c r="D126" s="530"/>
      <c r="E126" s="530">
        <f>211+626</f>
        <v>837</v>
      </c>
      <c r="F126" s="530">
        <f t="shared" ref="F126:H126" si="39">SUM(F127:F135)</f>
        <v>619</v>
      </c>
      <c r="G126" s="530">
        <f t="shared" si="39"/>
        <v>619</v>
      </c>
      <c r="H126" s="530">
        <f t="shared" si="39"/>
        <v>619</v>
      </c>
    </row>
    <row r="127" spans="1:8" s="107" customFormat="1" x14ac:dyDescent="0.25">
      <c r="A127" s="118"/>
      <c r="B127" s="451" t="s">
        <v>627</v>
      </c>
      <c r="C127" s="440"/>
      <c r="D127" s="440"/>
      <c r="E127" s="476">
        <v>15</v>
      </c>
      <c r="F127" s="440">
        <f>E127</f>
        <v>15</v>
      </c>
      <c r="G127" s="440">
        <f>F127</f>
        <v>15</v>
      </c>
      <c r="H127" s="440">
        <f>G127</f>
        <v>15</v>
      </c>
    </row>
    <row r="128" spans="1:8" s="107" customFormat="1" hidden="1" x14ac:dyDescent="0.25">
      <c r="A128" s="118"/>
      <c r="B128" s="451" t="s">
        <v>921</v>
      </c>
      <c r="C128" s="440"/>
      <c r="D128" s="440"/>
      <c r="E128" s="476">
        <v>183</v>
      </c>
      <c r="F128" s="440"/>
      <c r="G128" s="440">
        <f t="shared" ref="G128:H128" si="40">F128</f>
        <v>0</v>
      </c>
      <c r="H128" s="440">
        <f t="shared" si="40"/>
        <v>0</v>
      </c>
    </row>
    <row r="129" spans="1:8" s="107" customFormat="1" hidden="1" x14ac:dyDescent="0.25">
      <c r="A129" s="118"/>
      <c r="B129" s="451" t="s">
        <v>237</v>
      </c>
      <c r="C129" s="440"/>
      <c r="D129" s="440"/>
      <c r="E129" s="476">
        <v>13</v>
      </c>
      <c r="F129" s="440"/>
      <c r="G129" s="440">
        <f t="shared" ref="G129:H129" si="41">F129</f>
        <v>0</v>
      </c>
      <c r="H129" s="440">
        <f t="shared" si="41"/>
        <v>0</v>
      </c>
    </row>
    <row r="130" spans="1:8" s="107" customFormat="1" hidden="1" x14ac:dyDescent="0.25">
      <c r="A130" s="118"/>
      <c r="B130" s="451" t="s">
        <v>627</v>
      </c>
      <c r="C130" s="440"/>
      <c r="D130" s="440"/>
      <c r="E130" s="476">
        <v>15</v>
      </c>
      <c r="F130" s="440"/>
      <c r="G130" s="440">
        <f t="shared" ref="G130:H130" si="42">F130</f>
        <v>0</v>
      </c>
      <c r="H130" s="440">
        <f t="shared" si="42"/>
        <v>0</v>
      </c>
    </row>
    <row r="131" spans="1:8" s="107" customFormat="1" hidden="1" x14ac:dyDescent="0.25">
      <c r="A131" s="118"/>
      <c r="B131" s="451" t="s">
        <v>936</v>
      </c>
      <c r="C131" s="440"/>
      <c r="D131" s="440"/>
      <c r="E131" s="476">
        <v>300</v>
      </c>
      <c r="F131" s="440"/>
      <c r="G131" s="440">
        <f t="shared" ref="G131:H131" si="43">F131</f>
        <v>0</v>
      </c>
      <c r="H131" s="440">
        <f t="shared" si="43"/>
        <v>0</v>
      </c>
    </row>
    <row r="132" spans="1:8" s="107" customFormat="1" hidden="1" x14ac:dyDescent="0.25">
      <c r="A132" s="118"/>
      <c r="B132" s="451" t="s">
        <v>937</v>
      </c>
      <c r="C132" s="440"/>
      <c r="D132" s="440"/>
      <c r="E132" s="476">
        <v>20</v>
      </c>
      <c r="F132" s="440"/>
      <c r="G132" s="440">
        <f t="shared" ref="G132:H132" si="44">F132</f>
        <v>0</v>
      </c>
      <c r="H132" s="440">
        <f t="shared" si="44"/>
        <v>0</v>
      </c>
    </row>
    <row r="133" spans="1:8" s="107" customFormat="1" x14ac:dyDescent="0.25">
      <c r="A133" s="118"/>
      <c r="B133" s="451" t="s">
        <v>938</v>
      </c>
      <c r="C133" s="440"/>
      <c r="D133" s="440"/>
      <c r="E133" s="476">
        <v>44</v>
      </c>
      <c r="F133" s="440">
        <f>E133</f>
        <v>44</v>
      </c>
      <c r="G133" s="440">
        <f t="shared" ref="G133:H133" si="45">F133</f>
        <v>44</v>
      </c>
      <c r="H133" s="440">
        <f t="shared" si="45"/>
        <v>44</v>
      </c>
    </row>
    <row r="134" spans="1:8" s="107" customFormat="1" ht="37.5" hidden="1" x14ac:dyDescent="0.25">
      <c r="A134" s="118"/>
      <c r="B134" s="451" t="s">
        <v>964</v>
      </c>
      <c r="C134" s="440"/>
      <c r="D134" s="440"/>
      <c r="E134" s="440">
        <v>64</v>
      </c>
      <c r="F134" s="440"/>
      <c r="G134" s="440">
        <f t="shared" ref="G134:H134" si="46">F134</f>
        <v>0</v>
      </c>
      <c r="H134" s="440">
        <f t="shared" si="46"/>
        <v>0</v>
      </c>
    </row>
    <row r="135" spans="1:8" s="107" customFormat="1" ht="131.25" x14ac:dyDescent="0.25">
      <c r="A135" s="118"/>
      <c r="B135" s="451" t="s">
        <v>1813</v>
      </c>
      <c r="C135" s="440"/>
      <c r="D135" s="440"/>
      <c r="E135" s="440"/>
      <c r="F135" s="440">
        <v>560</v>
      </c>
      <c r="G135" s="440">
        <f t="shared" ref="G135:H135" si="47">F135</f>
        <v>560</v>
      </c>
      <c r="H135" s="440">
        <f t="shared" si="47"/>
        <v>560</v>
      </c>
    </row>
    <row r="136" spans="1:8" s="521" customFormat="1" x14ac:dyDescent="0.25">
      <c r="A136" s="525" t="s">
        <v>1818</v>
      </c>
      <c r="B136" s="526" t="s">
        <v>1805</v>
      </c>
      <c r="C136" s="527"/>
      <c r="D136" s="527"/>
      <c r="E136" s="527">
        <f>E137+E143</f>
        <v>5978</v>
      </c>
      <c r="F136" s="527">
        <f t="shared" ref="F136:H136" si="48">F137+F143</f>
        <v>5789</v>
      </c>
      <c r="G136" s="527">
        <f t="shared" si="48"/>
        <v>5705</v>
      </c>
      <c r="H136" s="527">
        <f t="shared" si="48"/>
        <v>5858</v>
      </c>
    </row>
    <row r="137" spans="1:8" s="514" customFormat="1" x14ac:dyDescent="0.25">
      <c r="A137" s="528">
        <v>1</v>
      </c>
      <c r="B137" s="529" t="s">
        <v>660</v>
      </c>
      <c r="C137" s="530"/>
      <c r="D137" s="530"/>
      <c r="E137" s="530">
        <f>E138+E141-E142</f>
        <v>5678</v>
      </c>
      <c r="F137" s="530">
        <f>F138+F141-F142</f>
        <v>5552</v>
      </c>
      <c r="G137" s="530">
        <f t="shared" ref="G137" si="49">G138+G141-G142</f>
        <v>5705</v>
      </c>
      <c r="H137" s="530">
        <f t="shared" ref="H137" si="50">H138+H141-H142</f>
        <v>5858</v>
      </c>
    </row>
    <row r="138" spans="1:8" s="513" customFormat="1" ht="56.25" x14ac:dyDescent="0.25">
      <c r="A138" s="519"/>
      <c r="B138" s="438" t="s">
        <v>1778</v>
      </c>
      <c r="C138" s="388"/>
      <c r="D138" s="388"/>
      <c r="E138" s="388">
        <f>3282+1386+1</f>
        <v>4669</v>
      </c>
      <c r="F138" s="388">
        <f>SUM(F139:F140)</f>
        <v>4526</v>
      </c>
      <c r="G138" s="388">
        <f t="shared" ref="G138" si="51">SUM(G139:G140)</f>
        <v>4679</v>
      </c>
      <c r="H138" s="388">
        <f t="shared" ref="H138" si="52">SUM(H139:H140)</f>
        <v>4832</v>
      </c>
    </row>
    <row r="139" spans="1:8" s="513" customFormat="1" x14ac:dyDescent="0.25">
      <c r="A139" s="519"/>
      <c r="B139" s="438" t="s">
        <v>1807</v>
      </c>
      <c r="C139" s="388">
        <v>60</v>
      </c>
      <c r="D139" s="388">
        <v>47</v>
      </c>
      <c r="E139" s="388"/>
      <c r="F139" s="388">
        <v>4401</v>
      </c>
      <c r="G139" s="439">
        <f>ROUND(F139+20*7.3,0)</f>
        <v>4547</v>
      </c>
      <c r="H139" s="439">
        <f>ROUND(G139+20*7.3,0)</f>
        <v>4693</v>
      </c>
    </row>
    <row r="140" spans="1:8" s="513" customFormat="1" x14ac:dyDescent="0.25">
      <c r="A140" s="519"/>
      <c r="B140" s="438" t="s">
        <v>1794</v>
      </c>
      <c r="C140" s="388">
        <v>4</v>
      </c>
      <c r="D140" s="388">
        <v>1</v>
      </c>
      <c r="E140" s="388"/>
      <c r="F140" s="388">
        <v>125</v>
      </c>
      <c r="G140" s="439">
        <f>ROUND(F140+7.3,0)</f>
        <v>132</v>
      </c>
      <c r="H140" s="439">
        <f>ROUND(G140+7.3,0)</f>
        <v>139</v>
      </c>
    </row>
    <row r="141" spans="1:8" s="513" customFormat="1" ht="37.5" x14ac:dyDescent="0.25">
      <c r="A141" s="519"/>
      <c r="B141" s="438" t="s">
        <v>1808</v>
      </c>
      <c r="C141" s="388">
        <v>60</v>
      </c>
      <c r="D141" s="388"/>
      <c r="E141" s="388">
        <f>779+342</f>
        <v>1121</v>
      </c>
      <c r="F141" s="388">
        <f>C141*19</f>
        <v>1140</v>
      </c>
      <c r="G141" s="388">
        <f>F141</f>
        <v>1140</v>
      </c>
      <c r="H141" s="388">
        <f>G141</f>
        <v>1140</v>
      </c>
    </row>
    <row r="142" spans="1:8" s="513" customFormat="1" ht="37.5" x14ac:dyDescent="0.25">
      <c r="A142" s="519"/>
      <c r="B142" s="438" t="s">
        <v>1806</v>
      </c>
      <c r="C142" s="388"/>
      <c r="D142" s="388"/>
      <c r="E142" s="388">
        <v>112</v>
      </c>
      <c r="F142" s="388">
        <v>114</v>
      </c>
      <c r="G142" s="388">
        <f>F142</f>
        <v>114</v>
      </c>
      <c r="H142" s="388">
        <f>G142</f>
        <v>114</v>
      </c>
    </row>
    <row r="143" spans="1:8" s="472" customFormat="1" x14ac:dyDescent="0.25">
      <c r="A143" s="528">
        <v>2</v>
      </c>
      <c r="B143" s="529" t="s">
        <v>11</v>
      </c>
      <c r="C143" s="388"/>
      <c r="D143" s="388"/>
      <c r="E143" s="530">
        <v>300</v>
      </c>
      <c r="F143" s="530">
        <f>SUM(F144:F149)</f>
        <v>237</v>
      </c>
      <c r="G143" s="530">
        <f t="shared" ref="G143:H143" si="53">SUM(G144:G149)</f>
        <v>0</v>
      </c>
      <c r="H143" s="530">
        <f t="shared" si="53"/>
        <v>0</v>
      </c>
    </row>
    <row r="144" spans="1:8" s="513" customFormat="1" x14ac:dyDescent="0.25">
      <c r="A144" s="519"/>
      <c r="B144" s="520" t="s">
        <v>943</v>
      </c>
      <c r="C144" s="388"/>
      <c r="D144" s="388"/>
      <c r="E144" s="388">
        <v>60</v>
      </c>
      <c r="F144" s="388"/>
      <c r="G144" s="388"/>
      <c r="H144" s="388"/>
    </row>
    <row r="145" spans="1:8" s="513" customFormat="1" x14ac:dyDescent="0.25">
      <c r="A145" s="519"/>
      <c r="B145" s="520" t="s">
        <v>942</v>
      </c>
      <c r="C145" s="388"/>
      <c r="D145" s="388"/>
      <c r="E145" s="388">
        <v>200</v>
      </c>
      <c r="F145" s="388"/>
      <c r="G145" s="388"/>
      <c r="H145" s="388"/>
    </row>
    <row r="146" spans="1:8" s="513" customFormat="1" x14ac:dyDescent="0.25">
      <c r="A146" s="519"/>
      <c r="B146" s="520" t="s">
        <v>941</v>
      </c>
      <c r="C146" s="388"/>
      <c r="D146" s="388"/>
      <c r="E146" s="388">
        <v>40</v>
      </c>
      <c r="F146" s="388"/>
      <c r="G146" s="388"/>
      <c r="H146" s="388"/>
    </row>
    <row r="147" spans="1:8" s="472" customFormat="1" hidden="1" x14ac:dyDescent="0.25">
      <c r="A147" s="519"/>
      <c r="B147" s="520" t="s">
        <v>1815</v>
      </c>
      <c r="C147" s="388"/>
      <c r="D147" s="388"/>
      <c r="E147" s="388"/>
      <c r="F147" s="388"/>
      <c r="G147" s="388"/>
      <c r="H147" s="388"/>
    </row>
    <row r="148" spans="1:8" s="472" customFormat="1" hidden="1" x14ac:dyDescent="0.25">
      <c r="A148" s="519"/>
      <c r="B148" s="520" t="s">
        <v>1816</v>
      </c>
      <c r="C148" s="388"/>
      <c r="D148" s="388"/>
      <c r="E148" s="388"/>
      <c r="F148" s="388"/>
      <c r="G148" s="388"/>
      <c r="H148" s="388"/>
    </row>
    <row r="149" spans="1:8" s="472" customFormat="1" ht="37.5" x14ac:dyDescent="0.25">
      <c r="A149" s="519"/>
      <c r="B149" s="520" t="s">
        <v>1817</v>
      </c>
      <c r="C149" s="388"/>
      <c r="D149" s="388"/>
      <c r="E149" s="388"/>
      <c r="F149" s="388">
        <f>105+20+112</f>
        <v>237</v>
      </c>
      <c r="G149" s="388"/>
      <c r="H149" s="388"/>
    </row>
    <row r="150" spans="1:8" s="521" customFormat="1" x14ac:dyDescent="0.25">
      <c r="A150" s="525" t="s">
        <v>1827</v>
      </c>
      <c r="B150" s="526" t="s">
        <v>1819</v>
      </c>
      <c r="C150" s="527"/>
      <c r="D150" s="527"/>
      <c r="E150" s="527">
        <f>E155+E158</f>
        <v>4587</v>
      </c>
      <c r="F150" s="527">
        <f t="shared" ref="F150:H150" si="54">F155+F158</f>
        <v>6935</v>
      </c>
      <c r="G150" s="527">
        <f t="shared" si="54"/>
        <v>6522</v>
      </c>
      <c r="H150" s="527">
        <f t="shared" si="54"/>
        <v>6632</v>
      </c>
    </row>
    <row r="151" spans="1:8" s="472" customFormat="1" x14ac:dyDescent="0.25">
      <c r="A151" s="519"/>
      <c r="B151" s="520" t="s">
        <v>1796</v>
      </c>
      <c r="C151" s="388"/>
      <c r="D151" s="388"/>
      <c r="E151" s="388">
        <v>10368</v>
      </c>
      <c r="F151" s="388">
        <v>13352</v>
      </c>
      <c r="G151" s="388">
        <f t="shared" ref="G151:H151" si="55">F151</f>
        <v>13352</v>
      </c>
      <c r="H151" s="388">
        <f t="shared" si="55"/>
        <v>13352</v>
      </c>
    </row>
    <row r="152" spans="1:8" s="472" customFormat="1" x14ac:dyDescent="0.25">
      <c r="A152" s="519"/>
      <c r="B152" s="520" t="s">
        <v>1820</v>
      </c>
      <c r="C152" s="388"/>
      <c r="D152" s="388"/>
      <c r="E152" s="388">
        <v>2356</v>
      </c>
      <c r="F152" s="388">
        <v>3035</v>
      </c>
      <c r="G152" s="388">
        <f t="shared" ref="G152:H152" si="56">F152</f>
        <v>3035</v>
      </c>
      <c r="H152" s="388">
        <f t="shared" si="56"/>
        <v>3035</v>
      </c>
    </row>
    <row r="153" spans="1:8" s="472" customFormat="1" x14ac:dyDescent="0.25">
      <c r="A153" s="519"/>
      <c r="B153" s="520" t="s">
        <v>1797</v>
      </c>
      <c r="C153" s="388"/>
      <c r="D153" s="388"/>
      <c r="E153" s="388">
        <f>E151-E152</f>
        <v>8012</v>
      </c>
      <c r="F153" s="388">
        <f>F151-F152</f>
        <v>10317</v>
      </c>
      <c r="G153" s="388">
        <f t="shared" ref="G153:H153" si="57">F153</f>
        <v>10317</v>
      </c>
      <c r="H153" s="388">
        <f t="shared" si="57"/>
        <v>10317</v>
      </c>
    </row>
    <row r="154" spans="1:8" s="523" customFormat="1" ht="37.5" x14ac:dyDescent="0.25">
      <c r="A154" s="531"/>
      <c r="B154" s="532" t="s">
        <v>1821</v>
      </c>
      <c r="C154" s="389"/>
      <c r="D154" s="389"/>
      <c r="E154" s="389">
        <v>1245</v>
      </c>
      <c r="F154" s="389">
        <v>1547</v>
      </c>
      <c r="G154" s="389"/>
      <c r="H154" s="389"/>
    </row>
    <row r="155" spans="1:8" s="522" customFormat="1" x14ac:dyDescent="0.25">
      <c r="A155" s="528">
        <v>1</v>
      </c>
      <c r="B155" s="529" t="s">
        <v>1822</v>
      </c>
      <c r="C155" s="530"/>
      <c r="D155" s="530"/>
      <c r="E155" s="530">
        <f>E156-E157</f>
        <v>2600</v>
      </c>
      <c r="F155" s="530">
        <f t="shared" ref="F155:H155" si="58">F156-F157</f>
        <v>2862</v>
      </c>
      <c r="G155" s="530">
        <f t="shared" si="58"/>
        <v>2972</v>
      </c>
      <c r="H155" s="530">
        <f t="shared" si="58"/>
        <v>3082</v>
      </c>
    </row>
    <row r="156" spans="1:8" s="472" customFormat="1" ht="37.5" x14ac:dyDescent="0.25">
      <c r="A156" s="519"/>
      <c r="B156" s="520" t="s">
        <v>1823</v>
      </c>
      <c r="C156" s="388">
        <v>45</v>
      </c>
      <c r="D156" s="388">
        <v>40</v>
      </c>
      <c r="E156" s="388">
        <v>3098</v>
      </c>
      <c r="F156" s="388">
        <v>3480</v>
      </c>
      <c r="G156" s="439">
        <f>ROUND(F156+15*7.3,0)</f>
        <v>3590</v>
      </c>
      <c r="H156" s="439">
        <f>ROUND(G156+15*7.3,0)</f>
        <v>3700</v>
      </c>
    </row>
    <row r="157" spans="1:8" s="472" customFormat="1" x14ac:dyDescent="0.25">
      <c r="A157" s="519"/>
      <c r="B157" s="520" t="s">
        <v>1824</v>
      </c>
      <c r="C157" s="388"/>
      <c r="D157" s="388"/>
      <c r="E157" s="388">
        <v>498</v>
      </c>
      <c r="F157" s="388">
        <v>618</v>
      </c>
      <c r="G157" s="388">
        <f>F157</f>
        <v>618</v>
      </c>
      <c r="H157" s="388">
        <f>G157</f>
        <v>618</v>
      </c>
    </row>
    <row r="158" spans="1:8" s="522" customFormat="1" x14ac:dyDescent="0.25">
      <c r="A158" s="528">
        <v>2</v>
      </c>
      <c r="B158" s="529" t="s">
        <v>11</v>
      </c>
      <c r="C158" s="530"/>
      <c r="D158" s="530"/>
      <c r="E158" s="530">
        <f>SUM(E159:E163)</f>
        <v>1987</v>
      </c>
      <c r="F158" s="453">
        <f>SUM(F159:F163)</f>
        <v>4073</v>
      </c>
      <c r="G158" s="530">
        <f t="shared" ref="G158:H158" si="59">SUM(G159:G163)</f>
        <v>3550</v>
      </c>
      <c r="H158" s="530">
        <f t="shared" si="59"/>
        <v>3550</v>
      </c>
    </row>
    <row r="159" spans="1:8" s="107" customFormat="1" x14ac:dyDescent="0.25">
      <c r="A159" s="118"/>
      <c r="B159" s="451" t="s">
        <v>1825</v>
      </c>
      <c r="C159" s="440"/>
      <c r="D159" s="440"/>
      <c r="E159" s="440">
        <v>370</v>
      </c>
      <c r="F159" s="440">
        <v>650</v>
      </c>
      <c r="G159" s="440">
        <f t="shared" ref="G159:H159" si="60">F159</f>
        <v>650</v>
      </c>
      <c r="H159" s="440">
        <f t="shared" si="60"/>
        <v>650</v>
      </c>
    </row>
    <row r="160" spans="1:8" s="107" customFormat="1" ht="56.25" x14ac:dyDescent="0.25">
      <c r="A160" s="118"/>
      <c r="B160" s="451" t="s">
        <v>944</v>
      </c>
      <c r="C160" s="440"/>
      <c r="D160" s="440"/>
      <c r="E160" s="440">
        <v>150</v>
      </c>
      <c r="F160" s="440"/>
      <c r="G160" s="440"/>
      <c r="H160" s="440"/>
    </row>
    <row r="161" spans="1:8" s="107" customFormat="1" ht="37.5" x14ac:dyDescent="0.25">
      <c r="A161" s="118"/>
      <c r="B161" s="451" t="s">
        <v>945</v>
      </c>
      <c r="C161" s="440"/>
      <c r="D161" s="440"/>
      <c r="E161" s="440">
        <f>15+10+32+10</f>
        <v>67</v>
      </c>
      <c r="F161" s="440"/>
      <c r="G161" s="440"/>
      <c r="H161" s="440"/>
    </row>
    <row r="162" spans="1:8" s="107" customFormat="1" x14ac:dyDescent="0.25">
      <c r="A162" s="118"/>
      <c r="B162" s="451" t="s">
        <v>946</v>
      </c>
      <c r="C162" s="440"/>
      <c r="D162" s="440"/>
      <c r="E162" s="440">
        <v>1400</v>
      </c>
      <c r="F162" s="440">
        <v>2900</v>
      </c>
      <c r="G162" s="440">
        <f t="shared" ref="G162:H162" si="61">F162</f>
        <v>2900</v>
      </c>
      <c r="H162" s="440">
        <f t="shared" si="61"/>
        <v>2900</v>
      </c>
    </row>
    <row r="163" spans="1:8" s="472" customFormat="1" ht="112.5" x14ac:dyDescent="0.25">
      <c r="A163" s="519"/>
      <c r="B163" s="520" t="s">
        <v>1826</v>
      </c>
      <c r="C163" s="388"/>
      <c r="D163" s="388"/>
      <c r="E163" s="388"/>
      <c r="F163" s="388">
        <v>523</v>
      </c>
      <c r="G163" s="388"/>
      <c r="H163" s="388"/>
    </row>
    <row r="164" spans="1:8" s="521" customFormat="1" x14ac:dyDescent="0.25">
      <c r="A164" s="525" t="s">
        <v>1828</v>
      </c>
      <c r="B164" s="526" t="s">
        <v>1810</v>
      </c>
      <c r="C164" s="527"/>
      <c r="D164" s="527"/>
      <c r="E164" s="527">
        <v>2458</v>
      </c>
      <c r="F164" s="527"/>
      <c r="G164" s="527"/>
      <c r="H164" s="527"/>
    </row>
    <row r="165" spans="1:8" s="521" customFormat="1" x14ac:dyDescent="0.25">
      <c r="A165" s="525" t="s">
        <v>1829</v>
      </c>
      <c r="B165" s="526" t="s">
        <v>1830</v>
      </c>
      <c r="C165" s="527"/>
      <c r="D165" s="527"/>
      <c r="E165" s="527">
        <f>SUM(E166:E173)</f>
        <v>154216</v>
      </c>
      <c r="F165" s="527">
        <f>SUM(F166:F173)</f>
        <v>119479</v>
      </c>
      <c r="G165" s="527">
        <f t="shared" ref="G165:H165" si="62">SUM(G166:G173)</f>
        <v>82979</v>
      </c>
      <c r="H165" s="527">
        <f t="shared" si="62"/>
        <v>82979</v>
      </c>
    </row>
    <row r="166" spans="1:8" s="107" customFormat="1" x14ac:dyDescent="0.25">
      <c r="A166" s="118"/>
      <c r="B166" s="451" t="s">
        <v>1831</v>
      </c>
      <c r="C166" s="440"/>
      <c r="D166" s="440"/>
      <c r="E166" s="440">
        <v>82979</v>
      </c>
      <c r="F166" s="440">
        <f>E166</f>
        <v>82979</v>
      </c>
      <c r="G166" s="440">
        <f>E166</f>
        <v>82979</v>
      </c>
      <c r="H166" s="440">
        <f>G166</f>
        <v>82979</v>
      </c>
    </row>
    <row r="167" spans="1:8" s="107" customFormat="1" ht="56.25" x14ac:dyDescent="0.25">
      <c r="A167" s="118"/>
      <c r="B167" s="451" t="s">
        <v>1836</v>
      </c>
      <c r="C167" s="440"/>
      <c r="D167" s="440"/>
      <c r="E167" s="440">
        <v>25000</v>
      </c>
      <c r="F167" s="440"/>
      <c r="G167" s="440"/>
      <c r="H167" s="440"/>
    </row>
    <row r="168" spans="1:8" s="107" customFormat="1" x14ac:dyDescent="0.25">
      <c r="A168" s="118"/>
      <c r="B168" s="451" t="s">
        <v>1832</v>
      </c>
      <c r="C168" s="440"/>
      <c r="D168" s="440"/>
      <c r="E168" s="440"/>
      <c r="F168" s="440">
        <v>12500</v>
      </c>
      <c r="G168" s="440"/>
      <c r="H168" s="440"/>
    </row>
    <row r="169" spans="1:8" s="107" customFormat="1" x14ac:dyDescent="0.25">
      <c r="A169" s="118"/>
      <c r="B169" s="451" t="s">
        <v>1833</v>
      </c>
      <c r="C169" s="440"/>
      <c r="D169" s="440"/>
      <c r="E169" s="440"/>
      <c r="F169" s="440">
        <v>2000</v>
      </c>
      <c r="G169" s="440"/>
      <c r="H169" s="440"/>
    </row>
    <row r="170" spans="1:8" s="107" customFormat="1" x14ac:dyDescent="0.25">
      <c r="A170" s="118"/>
      <c r="B170" s="451" t="s">
        <v>1834</v>
      </c>
      <c r="C170" s="440"/>
      <c r="D170" s="440"/>
      <c r="E170" s="440"/>
      <c r="F170" s="440">
        <v>4000</v>
      </c>
      <c r="G170" s="440"/>
      <c r="H170" s="440"/>
    </row>
    <row r="171" spans="1:8" s="107" customFormat="1" x14ac:dyDescent="0.25">
      <c r="A171" s="118"/>
      <c r="B171" s="451" t="s">
        <v>1835</v>
      </c>
      <c r="C171" s="440"/>
      <c r="D171" s="440"/>
      <c r="E171" s="440"/>
      <c r="F171" s="440">
        <v>8000</v>
      </c>
      <c r="G171" s="440"/>
      <c r="H171" s="440"/>
    </row>
    <row r="172" spans="1:8" s="107" customFormat="1" ht="37.5" x14ac:dyDescent="0.25">
      <c r="A172" s="118"/>
      <c r="B172" s="451" t="s">
        <v>1837</v>
      </c>
      <c r="C172" s="440"/>
      <c r="D172" s="440"/>
      <c r="E172" s="440">
        <v>40000</v>
      </c>
      <c r="F172" s="440">
        <v>10000</v>
      </c>
      <c r="G172" s="440"/>
      <c r="H172" s="440"/>
    </row>
    <row r="173" spans="1:8" s="107" customFormat="1" ht="37.5" x14ac:dyDescent="0.25">
      <c r="A173" s="118"/>
      <c r="B173" s="451" t="s">
        <v>1838</v>
      </c>
      <c r="C173" s="440"/>
      <c r="D173" s="440"/>
      <c r="E173" s="440">
        <v>6237</v>
      </c>
      <c r="F173" s="440"/>
      <c r="G173" s="440"/>
      <c r="H173" s="440"/>
    </row>
    <row r="174" spans="1:8" s="50" customFormat="1" ht="37.5" x14ac:dyDescent="0.25">
      <c r="A174" s="257" t="s">
        <v>16</v>
      </c>
      <c r="B174" s="258" t="s">
        <v>1784</v>
      </c>
      <c r="C174" s="259"/>
      <c r="D174" s="259"/>
      <c r="E174" s="259">
        <f>E175+E192+E194</f>
        <v>8359</v>
      </c>
      <c r="F174" s="259">
        <f t="shared" ref="F174:H174" si="63">F175+F192+F194</f>
        <v>7457</v>
      </c>
      <c r="G174" s="259">
        <f t="shared" si="63"/>
        <v>7469</v>
      </c>
      <c r="H174" s="259">
        <f t="shared" si="63"/>
        <v>7556</v>
      </c>
    </row>
    <row r="175" spans="1:8" s="521" customFormat="1" x14ac:dyDescent="0.25">
      <c r="A175" s="525" t="s">
        <v>51</v>
      </c>
      <c r="B175" s="526" t="s">
        <v>1809</v>
      </c>
      <c r="C175" s="527"/>
      <c r="D175" s="527"/>
      <c r="E175" s="527">
        <f>E176+E182</f>
        <v>6846</v>
      </c>
      <c r="F175" s="527">
        <f>F176+F182</f>
        <v>6944</v>
      </c>
      <c r="G175" s="527">
        <f t="shared" ref="G175:H175" si="64">G176+G182</f>
        <v>6956</v>
      </c>
      <c r="H175" s="527">
        <f t="shared" si="64"/>
        <v>7043</v>
      </c>
    </row>
    <row r="176" spans="1:8" s="514" customFormat="1" x14ac:dyDescent="0.25">
      <c r="A176" s="528">
        <v>1</v>
      </c>
      <c r="B176" s="529" t="s">
        <v>660</v>
      </c>
      <c r="C176" s="530"/>
      <c r="D176" s="530"/>
      <c r="E176" s="530">
        <f>E177+E180-E181</f>
        <v>5011</v>
      </c>
      <c r="F176" s="530">
        <f>F177+F180-F181</f>
        <v>5312</v>
      </c>
      <c r="G176" s="530">
        <f t="shared" ref="G176" si="65">G177+G180-G181</f>
        <v>5399</v>
      </c>
      <c r="H176" s="530">
        <f t="shared" ref="H176" si="66">H177+H180-H181</f>
        <v>5486</v>
      </c>
    </row>
    <row r="177" spans="1:8" s="513" customFormat="1" ht="56.25" x14ac:dyDescent="0.25">
      <c r="A177" s="519"/>
      <c r="B177" s="438" t="s">
        <v>1778</v>
      </c>
      <c r="C177" s="388"/>
      <c r="D177" s="388"/>
      <c r="E177" s="388">
        <f>289+4055</f>
        <v>4344</v>
      </c>
      <c r="F177" s="388">
        <f>SUM(F178:F179)</f>
        <v>4628</v>
      </c>
      <c r="G177" s="388">
        <f t="shared" ref="G177" si="67">SUM(G178:G179)</f>
        <v>4715</v>
      </c>
      <c r="H177" s="388">
        <f t="shared" ref="H177" si="68">SUM(H178:H179)</f>
        <v>4802</v>
      </c>
    </row>
    <row r="178" spans="1:8" s="513" customFormat="1" x14ac:dyDescent="0.25">
      <c r="A178" s="519"/>
      <c r="B178" s="438" t="s">
        <v>1785</v>
      </c>
      <c r="C178" s="388">
        <v>40</v>
      </c>
      <c r="D178" s="388">
        <v>36</v>
      </c>
      <c r="E178" s="388"/>
      <c r="F178" s="388">
        <v>4432</v>
      </c>
      <c r="G178" s="439">
        <f>ROUND(F178+11*7.3,0)</f>
        <v>4512</v>
      </c>
      <c r="H178" s="439">
        <f>ROUND(G178+11*7.3,0)</f>
        <v>4592</v>
      </c>
    </row>
    <row r="179" spans="1:8" s="513" customFormat="1" x14ac:dyDescent="0.25">
      <c r="A179" s="519"/>
      <c r="B179" s="438" t="s">
        <v>1777</v>
      </c>
      <c r="C179" s="388">
        <v>3</v>
      </c>
      <c r="D179" s="388">
        <v>3</v>
      </c>
      <c r="E179" s="388"/>
      <c r="F179" s="388">
        <v>196</v>
      </c>
      <c r="G179" s="439">
        <f>ROUND(F179+7.3,0)</f>
        <v>203</v>
      </c>
      <c r="H179" s="439">
        <f>ROUND(G179+7.3,0)</f>
        <v>210</v>
      </c>
    </row>
    <row r="180" spans="1:8" s="513" customFormat="1" ht="37.5" x14ac:dyDescent="0.25">
      <c r="A180" s="519"/>
      <c r="B180" s="438" t="s">
        <v>1786</v>
      </c>
      <c r="C180" s="388">
        <v>40</v>
      </c>
      <c r="D180" s="388"/>
      <c r="E180" s="388">
        <f>39*19</f>
        <v>741</v>
      </c>
      <c r="F180" s="388">
        <f>C180*19</f>
        <v>760</v>
      </c>
      <c r="G180" s="388">
        <f>F180</f>
        <v>760</v>
      </c>
      <c r="H180" s="388">
        <f>G180</f>
        <v>760</v>
      </c>
    </row>
    <row r="181" spans="1:8" s="513" customFormat="1" ht="37.5" x14ac:dyDescent="0.25">
      <c r="A181" s="519"/>
      <c r="B181" s="438" t="s">
        <v>1779</v>
      </c>
      <c r="C181" s="388"/>
      <c r="D181" s="388"/>
      <c r="E181" s="388">
        <v>74</v>
      </c>
      <c r="F181" s="388">
        <v>76</v>
      </c>
      <c r="G181" s="388">
        <f>F181</f>
        <v>76</v>
      </c>
      <c r="H181" s="388">
        <f>G181</f>
        <v>76</v>
      </c>
    </row>
    <row r="182" spans="1:8" s="50" customFormat="1" x14ac:dyDescent="0.25">
      <c r="A182" s="101">
        <v>2</v>
      </c>
      <c r="B182" s="442" t="s">
        <v>350</v>
      </c>
      <c r="C182" s="443"/>
      <c r="D182" s="443"/>
      <c r="E182" s="453">
        <f>SUM(E183:E191)</f>
        <v>1835</v>
      </c>
      <c r="F182" s="453">
        <f>SUM(F183:F191)</f>
        <v>1632</v>
      </c>
      <c r="G182" s="453">
        <f t="shared" ref="G182:H182" si="69">SUM(G183:G191)</f>
        <v>1557</v>
      </c>
      <c r="H182" s="453">
        <f t="shared" si="69"/>
        <v>1557</v>
      </c>
    </row>
    <row r="183" spans="1:8" x14ac:dyDescent="0.25">
      <c r="A183" s="102"/>
      <c r="B183" s="438" t="s">
        <v>627</v>
      </c>
      <c r="C183" s="439"/>
      <c r="D183" s="439"/>
      <c r="E183" s="440">
        <v>15</v>
      </c>
      <c r="F183" s="440">
        <f>E183</f>
        <v>15</v>
      </c>
      <c r="G183" s="440">
        <f>F183</f>
        <v>15</v>
      </c>
      <c r="H183" s="440">
        <f>G183</f>
        <v>15</v>
      </c>
    </row>
    <row r="184" spans="1:8" x14ac:dyDescent="0.25">
      <c r="A184" s="102"/>
      <c r="B184" s="438" t="s">
        <v>922</v>
      </c>
      <c r="C184" s="439"/>
      <c r="D184" s="439"/>
      <c r="E184" s="440">
        <v>100</v>
      </c>
      <c r="F184" s="440">
        <f>E184</f>
        <v>100</v>
      </c>
      <c r="G184" s="440">
        <f t="shared" ref="G184:H184" si="70">F184</f>
        <v>100</v>
      </c>
      <c r="H184" s="440">
        <f t="shared" si="70"/>
        <v>100</v>
      </c>
    </row>
    <row r="185" spans="1:8" x14ac:dyDescent="0.25">
      <c r="A185" s="102"/>
      <c r="B185" s="438" t="s">
        <v>923</v>
      </c>
      <c r="C185" s="439"/>
      <c r="D185" s="439"/>
      <c r="E185" s="440">
        <v>285</v>
      </c>
      <c r="F185" s="440">
        <v>369</v>
      </c>
      <c r="G185" s="440">
        <f t="shared" ref="G185:H185" si="71">F185</f>
        <v>369</v>
      </c>
      <c r="H185" s="440">
        <f t="shared" si="71"/>
        <v>369</v>
      </c>
    </row>
    <row r="186" spans="1:8" ht="56.25" x14ac:dyDescent="0.25">
      <c r="A186" s="102"/>
      <c r="B186" s="438" t="s">
        <v>1790</v>
      </c>
      <c r="C186" s="439"/>
      <c r="D186" s="439"/>
      <c r="E186" s="440">
        <v>490</v>
      </c>
      <c r="F186" s="440">
        <v>453</v>
      </c>
      <c r="G186" s="440">
        <f t="shared" ref="G186:H186" si="72">F186</f>
        <v>453</v>
      </c>
      <c r="H186" s="440">
        <f t="shared" si="72"/>
        <v>453</v>
      </c>
    </row>
    <row r="187" spans="1:8" ht="75" x14ac:dyDescent="0.25">
      <c r="A187" s="102"/>
      <c r="B187" s="438" t="s">
        <v>924</v>
      </c>
      <c r="C187" s="439"/>
      <c r="D187" s="439"/>
      <c r="E187" s="440">
        <v>550</v>
      </c>
      <c r="F187" s="440">
        <v>520</v>
      </c>
      <c r="G187" s="440">
        <f t="shared" ref="G187:H187" si="73">F187</f>
        <v>520</v>
      </c>
      <c r="H187" s="440">
        <f t="shared" si="73"/>
        <v>520</v>
      </c>
    </row>
    <row r="188" spans="1:8" ht="37.5" x14ac:dyDescent="0.25">
      <c r="A188" s="102"/>
      <c r="B188" s="438" t="s">
        <v>925</v>
      </c>
      <c r="C188" s="439"/>
      <c r="D188" s="439"/>
      <c r="E188" s="440">
        <v>265</v>
      </c>
      <c r="F188" s="440"/>
      <c r="G188" s="440">
        <f t="shared" ref="G188:H188" si="74">F188</f>
        <v>0</v>
      </c>
      <c r="H188" s="440">
        <f t="shared" si="74"/>
        <v>0</v>
      </c>
    </row>
    <row r="189" spans="1:8" ht="37.5" x14ac:dyDescent="0.25">
      <c r="A189" s="102"/>
      <c r="B189" s="438" t="s">
        <v>926</v>
      </c>
      <c r="C189" s="439"/>
      <c r="D189" s="439"/>
      <c r="E189" s="440">
        <v>30</v>
      </c>
      <c r="F189" s="440"/>
      <c r="G189" s="440">
        <f t="shared" ref="G189:H189" si="75">F189</f>
        <v>0</v>
      </c>
      <c r="H189" s="440">
        <f t="shared" si="75"/>
        <v>0</v>
      </c>
    </row>
    <row r="190" spans="1:8" s="434" customFormat="1" x14ac:dyDescent="0.25">
      <c r="A190" s="102"/>
      <c r="B190" s="438" t="s">
        <v>1789</v>
      </c>
      <c r="C190" s="439"/>
      <c r="D190" s="439"/>
      <c r="E190" s="440"/>
      <c r="F190" s="440">
        <v>75</v>
      </c>
      <c r="G190" s="440"/>
      <c r="H190" s="440"/>
    </row>
    <row r="191" spans="1:8" ht="37.5" x14ac:dyDescent="0.25">
      <c r="A191" s="102"/>
      <c r="B191" s="438" t="s">
        <v>927</v>
      </c>
      <c r="C191" s="439"/>
      <c r="D191" s="439"/>
      <c r="E191" s="440">
        <v>100</v>
      </c>
      <c r="F191" s="440">
        <v>100</v>
      </c>
      <c r="G191" s="440">
        <f t="shared" ref="G191:H191" si="76">F191</f>
        <v>100</v>
      </c>
      <c r="H191" s="440">
        <f t="shared" si="76"/>
        <v>100</v>
      </c>
    </row>
    <row r="192" spans="1:8" s="524" customFormat="1" x14ac:dyDescent="0.25">
      <c r="A192" s="533" t="s">
        <v>52</v>
      </c>
      <c r="B192" s="526" t="s">
        <v>1800</v>
      </c>
      <c r="C192" s="411"/>
      <c r="D192" s="411"/>
      <c r="E192" s="407">
        <f>E193</f>
        <v>513</v>
      </c>
      <c r="F192" s="407">
        <f t="shared" ref="F192:H192" si="77">F193</f>
        <v>513</v>
      </c>
      <c r="G192" s="407">
        <f t="shared" si="77"/>
        <v>513</v>
      </c>
      <c r="H192" s="407">
        <f t="shared" si="77"/>
        <v>513</v>
      </c>
    </row>
    <row r="193" spans="1:8" s="513" customFormat="1" x14ac:dyDescent="0.25">
      <c r="A193" s="519"/>
      <c r="B193" s="520" t="s">
        <v>935</v>
      </c>
      <c r="C193" s="388"/>
      <c r="D193" s="388"/>
      <c r="E193" s="388">
        <v>513</v>
      </c>
      <c r="F193" s="440">
        <v>513</v>
      </c>
      <c r="G193" s="388">
        <f>+F193</f>
        <v>513</v>
      </c>
      <c r="H193" s="388">
        <f>+G193</f>
        <v>513</v>
      </c>
    </row>
    <row r="194" spans="1:8" s="521" customFormat="1" x14ac:dyDescent="0.25">
      <c r="A194" s="525" t="s">
        <v>147</v>
      </c>
      <c r="B194" s="526" t="s">
        <v>1810</v>
      </c>
      <c r="C194" s="527"/>
      <c r="D194" s="527"/>
      <c r="E194" s="527">
        <f>E195</f>
        <v>1000</v>
      </c>
      <c r="F194" s="527"/>
      <c r="G194" s="527"/>
      <c r="H194" s="527"/>
    </row>
    <row r="195" spans="1:8" s="513" customFormat="1" x14ac:dyDescent="0.25">
      <c r="A195" s="519"/>
      <c r="B195" s="520" t="s">
        <v>1812</v>
      </c>
      <c r="C195" s="388"/>
      <c r="D195" s="388"/>
      <c r="E195" s="388">
        <v>1000</v>
      </c>
      <c r="F195" s="388"/>
      <c r="G195" s="388"/>
      <c r="H195" s="388"/>
    </row>
    <row r="196" spans="1:8" s="50" customFormat="1" x14ac:dyDescent="0.25">
      <c r="A196" s="257" t="s">
        <v>418</v>
      </c>
      <c r="B196" s="258" t="s">
        <v>380</v>
      </c>
      <c r="C196" s="259"/>
      <c r="D196" s="259"/>
      <c r="E196" s="259">
        <f>E197</f>
        <v>10000</v>
      </c>
      <c r="F196" s="259">
        <f t="shared" ref="F196:H196" si="78">F197</f>
        <v>0</v>
      </c>
      <c r="G196" s="259">
        <f t="shared" si="78"/>
        <v>0</v>
      </c>
      <c r="H196" s="259">
        <f t="shared" si="78"/>
        <v>0</v>
      </c>
    </row>
    <row r="197" spans="1:8" s="107" customFormat="1" ht="37.5" x14ac:dyDescent="0.25">
      <c r="A197" s="118" t="s">
        <v>99</v>
      </c>
      <c r="B197" s="451" t="s">
        <v>417</v>
      </c>
      <c r="C197" s="440"/>
      <c r="D197" s="440"/>
      <c r="E197" s="440">
        <v>10000</v>
      </c>
      <c r="F197" s="440"/>
      <c r="G197" s="440"/>
      <c r="H197" s="440"/>
    </row>
    <row r="198" spans="1:8" s="518" customFormat="1" hidden="1" x14ac:dyDescent="0.25">
      <c r="A198" s="515"/>
      <c r="B198" s="516"/>
      <c r="C198" s="517"/>
      <c r="D198" s="517"/>
      <c r="E198" s="517"/>
      <c r="F198" s="517"/>
      <c r="G198" s="517"/>
      <c r="H198" s="517"/>
    </row>
    <row r="199" spans="1:8" s="518" customFormat="1" hidden="1" x14ac:dyDescent="0.25">
      <c r="A199" s="515"/>
      <c r="B199" s="516"/>
      <c r="C199" s="517"/>
      <c r="D199" s="517"/>
      <c r="E199" s="517"/>
      <c r="F199" s="517"/>
      <c r="G199" s="517"/>
      <c r="H199" s="517"/>
    </row>
    <row r="200" spans="1:8" x14ac:dyDescent="0.25">
      <c r="A200" s="103"/>
      <c r="B200" s="445"/>
      <c r="C200" s="446"/>
      <c r="D200" s="446"/>
      <c r="E200" s="134"/>
      <c r="F200" s="134"/>
      <c r="G200" s="134"/>
      <c r="H200" s="134"/>
    </row>
    <row r="201" spans="1:8" ht="43.5" customHeight="1" x14ac:dyDescent="0.25">
      <c r="A201" s="104"/>
      <c r="B201" s="567" t="s">
        <v>1881</v>
      </c>
      <c r="C201" s="567"/>
      <c r="D201" s="567"/>
      <c r="E201" s="567"/>
      <c r="F201" s="567"/>
      <c r="G201" s="567"/>
      <c r="H201" s="567"/>
    </row>
    <row r="202" spans="1:8" x14ac:dyDescent="0.25">
      <c r="B202" s="7" t="s">
        <v>1839</v>
      </c>
      <c r="C202" s="7"/>
      <c r="D202" s="7"/>
      <c r="E202" s="7"/>
      <c r="F202" s="7"/>
      <c r="G202" s="7"/>
      <c r="H202" s="7"/>
    </row>
    <row r="204" spans="1:8" x14ac:dyDescent="0.25">
      <c r="A204" s="568" t="s">
        <v>36</v>
      </c>
      <c r="B204" s="568"/>
      <c r="D204" s="568" t="s">
        <v>37</v>
      </c>
      <c r="E204" s="568"/>
      <c r="F204" s="568"/>
      <c r="G204" s="568"/>
      <c r="H204" s="568"/>
    </row>
  </sheetData>
  <mergeCells count="19">
    <mergeCell ref="C20:H20"/>
    <mergeCell ref="A1:H1"/>
    <mergeCell ref="B3:H3"/>
    <mergeCell ref="C6:H6"/>
    <mergeCell ref="C7:H7"/>
    <mergeCell ref="C8:H8"/>
    <mergeCell ref="C9:H9"/>
    <mergeCell ref="C10:H10"/>
    <mergeCell ref="C15:H15"/>
    <mergeCell ref="C17:H17"/>
    <mergeCell ref="C18:H18"/>
    <mergeCell ref="C19:H19"/>
    <mergeCell ref="B201:H201"/>
    <mergeCell ref="A204:B204"/>
    <mergeCell ref="D204:H204"/>
    <mergeCell ref="C21:H21"/>
    <mergeCell ref="C22:H22"/>
    <mergeCell ref="C23:H23"/>
    <mergeCell ref="B24:H24"/>
  </mergeCells>
  <printOptions horizontalCentered="1"/>
  <pageMargins left="0" right="0" top="0.75" bottom="0.5" header="0.31496062992126" footer="0.31496062992126"/>
  <pageSetup paperSize="9" scale="89" orientation="portrait" r:id="rId1"/>
  <headerFooter>
    <oddFooter>&amp;C&amp;P/&amp;N</oddFooter>
  </headerFooter>
</worksheet>
</file>

<file path=xl/worksheets/sheet4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139"/>
  <sheetViews>
    <sheetView topLeftCell="A92" zoomScaleNormal="100" workbookViewId="0">
      <selection activeCell="E97" sqref="E97:E98"/>
    </sheetView>
  </sheetViews>
  <sheetFormatPr defaultColWidth="9.140625" defaultRowHeight="18.75" x14ac:dyDescent="0.25"/>
  <cols>
    <col min="1" max="1" width="4.85546875" style="106" customWidth="1"/>
    <col min="2" max="2" width="43.28515625" style="49" customWidth="1"/>
    <col min="3" max="4" width="7.85546875" style="49" customWidth="1"/>
    <col min="5" max="7" width="11.7109375" style="49" customWidth="1"/>
    <col min="8" max="16384" width="9.140625" style="49"/>
  </cols>
  <sheetData>
    <row r="1" spans="1:7" ht="41.25" customHeight="1" x14ac:dyDescent="0.25">
      <c r="A1" s="569" t="s">
        <v>459</v>
      </c>
      <c r="B1" s="570"/>
      <c r="C1" s="570"/>
      <c r="D1" s="570"/>
      <c r="E1" s="570"/>
      <c r="F1" s="570"/>
      <c r="G1" s="570"/>
    </row>
    <row r="2" spans="1:7" x14ac:dyDescent="0.25">
      <c r="A2" s="105"/>
      <c r="B2" s="50"/>
      <c r="C2" s="50"/>
      <c r="D2" s="51"/>
      <c r="E2" s="51"/>
      <c r="F2" s="51"/>
      <c r="G2" s="51"/>
    </row>
    <row r="3" spans="1:7" ht="40.5" customHeight="1" x14ac:dyDescent="0.25">
      <c r="B3" s="565" t="s">
        <v>538</v>
      </c>
      <c r="C3" s="565"/>
      <c r="D3" s="565"/>
      <c r="E3" s="565"/>
      <c r="F3" s="565"/>
      <c r="G3" s="565"/>
    </row>
    <row r="4" spans="1:7" x14ac:dyDescent="0.25">
      <c r="B4" s="49" t="s">
        <v>39</v>
      </c>
      <c r="D4" s="52"/>
      <c r="E4" s="52"/>
      <c r="F4" s="52"/>
      <c r="G4" s="52"/>
    </row>
    <row r="5" spans="1:7" s="50" customFormat="1" x14ac:dyDescent="0.25">
      <c r="A5" s="105"/>
      <c r="B5" s="50" t="s">
        <v>18</v>
      </c>
    </row>
    <row r="6" spans="1:7" x14ac:dyDescent="0.25">
      <c r="B6" s="49" t="s">
        <v>23</v>
      </c>
      <c r="C6" s="566" t="s">
        <v>49</v>
      </c>
      <c r="D6" s="566"/>
      <c r="E6" s="566"/>
      <c r="F6" s="566"/>
      <c r="G6" s="566"/>
    </row>
    <row r="7" spans="1:7" x14ac:dyDescent="0.25">
      <c r="B7" s="49" t="s">
        <v>19</v>
      </c>
      <c r="C7" s="566" t="s">
        <v>50</v>
      </c>
      <c r="D7" s="566"/>
      <c r="E7" s="566"/>
      <c r="F7" s="566"/>
      <c r="G7" s="566"/>
    </row>
    <row r="8" spans="1:7" hidden="1" x14ac:dyDescent="0.25">
      <c r="B8" s="49" t="s">
        <v>90</v>
      </c>
      <c r="C8" s="566" t="s">
        <v>60</v>
      </c>
      <c r="D8" s="566"/>
      <c r="E8" s="566"/>
      <c r="F8" s="566"/>
      <c r="G8" s="566"/>
    </row>
    <row r="9" spans="1:7" x14ac:dyDescent="0.25">
      <c r="B9" s="49" t="s">
        <v>59</v>
      </c>
      <c r="C9" s="566" t="s">
        <v>60</v>
      </c>
      <c r="D9" s="566"/>
      <c r="E9" s="566"/>
      <c r="F9" s="566"/>
      <c r="G9" s="566"/>
    </row>
    <row r="10" spans="1:7" hidden="1" x14ac:dyDescent="0.25">
      <c r="B10" s="49" t="s">
        <v>20</v>
      </c>
      <c r="C10" s="566" t="s">
        <v>86</v>
      </c>
      <c r="D10" s="566"/>
      <c r="E10" s="566"/>
      <c r="F10" s="566"/>
      <c r="G10" s="566"/>
    </row>
    <row r="11" spans="1:7" hidden="1" x14ac:dyDescent="0.25">
      <c r="B11" s="49" t="s">
        <v>21</v>
      </c>
      <c r="C11" s="218" t="s">
        <v>87</v>
      </c>
      <c r="D11" s="218"/>
      <c r="E11" s="218"/>
      <c r="F11" s="218"/>
      <c r="G11" s="218"/>
    </row>
    <row r="12" spans="1:7" x14ac:dyDescent="0.25">
      <c r="B12" s="49" t="s">
        <v>283</v>
      </c>
      <c r="C12" s="218" t="s">
        <v>88</v>
      </c>
      <c r="D12" s="218"/>
      <c r="E12" s="218"/>
      <c r="F12" s="218"/>
      <c r="G12" s="218"/>
    </row>
    <row r="13" spans="1:7" hidden="1" x14ac:dyDescent="0.25">
      <c r="B13" s="49" t="s">
        <v>94</v>
      </c>
      <c r="C13" s="218" t="s">
        <v>95</v>
      </c>
      <c r="D13" s="218"/>
      <c r="E13" s="218"/>
      <c r="F13" s="218"/>
      <c r="G13" s="218"/>
    </row>
    <row r="14" spans="1:7" x14ac:dyDescent="0.25">
      <c r="C14" s="218"/>
      <c r="D14" s="218"/>
      <c r="E14" s="218"/>
      <c r="F14" s="218"/>
      <c r="G14" s="218"/>
    </row>
    <row r="15" spans="1:7" hidden="1" x14ac:dyDescent="0.25">
      <c r="B15" s="49" t="s">
        <v>21</v>
      </c>
      <c r="C15" s="566"/>
      <c r="D15" s="566"/>
      <c r="E15" s="566"/>
      <c r="F15" s="566"/>
      <c r="G15" s="566"/>
    </row>
    <row r="16" spans="1:7" s="50" customFormat="1" x14ac:dyDescent="0.25">
      <c r="A16" s="105"/>
      <c r="B16" s="50" t="s">
        <v>335</v>
      </c>
    </row>
    <row r="17" spans="1:7" x14ac:dyDescent="0.25">
      <c r="B17" s="49" t="s">
        <v>337</v>
      </c>
      <c r="C17" s="566" t="s">
        <v>176</v>
      </c>
      <c r="D17" s="566"/>
      <c r="E17" s="566"/>
      <c r="F17" s="566"/>
      <c r="G17" s="566"/>
    </row>
    <row r="18" spans="1:7" x14ac:dyDescent="0.25">
      <c r="B18" s="49" t="s">
        <v>338</v>
      </c>
      <c r="C18" s="566" t="s">
        <v>334</v>
      </c>
      <c r="D18" s="566"/>
      <c r="E18" s="566"/>
      <c r="F18" s="566"/>
      <c r="G18" s="566"/>
    </row>
    <row r="19" spans="1:7" x14ac:dyDescent="0.25">
      <c r="B19" s="49" t="s">
        <v>339</v>
      </c>
      <c r="C19" s="566" t="s">
        <v>340</v>
      </c>
      <c r="D19" s="566"/>
      <c r="E19" s="566"/>
      <c r="F19" s="566"/>
      <c r="G19" s="566"/>
    </row>
    <row r="20" spans="1:7" s="173" customFormat="1" hidden="1" x14ac:dyDescent="0.25">
      <c r="A20" s="172"/>
      <c r="B20" s="173" t="s">
        <v>341</v>
      </c>
      <c r="C20" s="573" t="s">
        <v>342</v>
      </c>
      <c r="D20" s="573"/>
      <c r="E20" s="573"/>
      <c r="F20" s="573"/>
      <c r="G20" s="573"/>
    </row>
    <row r="21" spans="1:7" x14ac:dyDescent="0.25">
      <c r="B21" s="49" t="s">
        <v>343</v>
      </c>
      <c r="C21" s="566" t="s">
        <v>344</v>
      </c>
      <c r="D21" s="566"/>
      <c r="E21" s="566"/>
      <c r="F21" s="566"/>
      <c r="G21" s="566"/>
    </row>
    <row r="22" spans="1:7" x14ac:dyDescent="0.25">
      <c r="B22" s="49" t="s">
        <v>345</v>
      </c>
      <c r="C22" s="566" t="s">
        <v>108</v>
      </c>
      <c r="D22" s="566"/>
      <c r="E22" s="566"/>
      <c r="F22" s="566"/>
      <c r="G22" s="566"/>
    </row>
    <row r="23" spans="1:7" x14ac:dyDescent="0.25">
      <c r="B23" s="49" t="s">
        <v>355</v>
      </c>
      <c r="C23" s="566" t="s">
        <v>346</v>
      </c>
      <c r="D23" s="566"/>
      <c r="E23" s="566"/>
      <c r="F23" s="566"/>
      <c r="G23" s="566"/>
    </row>
    <row r="24" spans="1:7" x14ac:dyDescent="0.25">
      <c r="B24" s="49" t="s">
        <v>356</v>
      </c>
      <c r="C24" s="566" t="s">
        <v>108</v>
      </c>
      <c r="D24" s="566"/>
      <c r="E24" s="566"/>
      <c r="F24" s="566"/>
      <c r="G24" s="566"/>
    </row>
    <row r="25" spans="1:7" x14ac:dyDescent="0.25">
      <c r="B25" s="49" t="s">
        <v>357</v>
      </c>
      <c r="C25" s="566" t="s">
        <v>347</v>
      </c>
      <c r="D25" s="566"/>
      <c r="E25" s="566"/>
      <c r="F25" s="566"/>
      <c r="G25" s="566"/>
    </row>
    <row r="26" spans="1:7" ht="19.5" customHeight="1" x14ac:dyDescent="0.25">
      <c r="B26" s="49" t="s">
        <v>358</v>
      </c>
      <c r="C26" s="566" t="s">
        <v>108</v>
      </c>
      <c r="D26" s="566"/>
      <c r="E26" s="566"/>
      <c r="F26" s="566"/>
      <c r="G26" s="566"/>
    </row>
    <row r="27" spans="1:7" ht="19.5" customHeight="1" x14ac:dyDescent="0.25">
      <c r="B27" s="49" t="s">
        <v>570</v>
      </c>
      <c r="C27" s="566" t="s">
        <v>108</v>
      </c>
      <c r="D27" s="566"/>
      <c r="E27" s="566"/>
      <c r="F27" s="566"/>
      <c r="G27" s="566"/>
    </row>
    <row r="28" spans="1:7" ht="19.5" customHeight="1" x14ac:dyDescent="0.25">
      <c r="B28" s="49" t="s">
        <v>542</v>
      </c>
      <c r="C28" s="566" t="s">
        <v>108</v>
      </c>
      <c r="D28" s="566"/>
      <c r="E28" s="566"/>
      <c r="F28" s="566"/>
      <c r="G28" s="566"/>
    </row>
    <row r="29" spans="1:7" ht="41.25" customHeight="1" x14ac:dyDescent="0.25">
      <c r="B29" s="556" t="s">
        <v>460</v>
      </c>
      <c r="C29" s="556"/>
      <c r="D29" s="556"/>
      <c r="E29" s="556"/>
      <c r="F29" s="556"/>
      <c r="G29" s="556"/>
    </row>
    <row r="30" spans="1:7" ht="19.5" customHeight="1" x14ac:dyDescent="0.25">
      <c r="A30" s="108"/>
      <c r="G30" s="54" t="s">
        <v>61</v>
      </c>
    </row>
    <row r="31" spans="1:7" s="50" customFormat="1" ht="41.25" customHeight="1" x14ac:dyDescent="0.25">
      <c r="A31" s="580" t="s">
        <v>62</v>
      </c>
      <c r="B31" s="581" t="s">
        <v>2</v>
      </c>
      <c r="C31" s="581" t="s">
        <v>25</v>
      </c>
      <c r="D31" s="581"/>
      <c r="E31" s="582" t="s">
        <v>8</v>
      </c>
      <c r="F31" s="582" t="s">
        <v>9</v>
      </c>
      <c r="G31" s="582" t="s">
        <v>461</v>
      </c>
    </row>
    <row r="32" spans="1:7" s="50" customFormat="1" ht="75" x14ac:dyDescent="0.25">
      <c r="A32" s="580"/>
      <c r="B32" s="581"/>
      <c r="C32" s="219" t="s">
        <v>17</v>
      </c>
      <c r="D32" s="219" t="s">
        <v>464</v>
      </c>
      <c r="E32" s="583"/>
      <c r="F32" s="583"/>
      <c r="G32" s="583"/>
    </row>
    <row r="33" spans="1:7" x14ac:dyDescent="0.25">
      <c r="A33" s="109" t="s">
        <v>6</v>
      </c>
      <c r="B33" s="56" t="s">
        <v>7</v>
      </c>
      <c r="C33" s="56">
        <v>1</v>
      </c>
      <c r="D33" s="56">
        <v>2</v>
      </c>
      <c r="E33" s="56">
        <v>3</v>
      </c>
      <c r="F33" s="56">
        <v>4</v>
      </c>
      <c r="G33" s="56">
        <v>5</v>
      </c>
    </row>
    <row r="34" spans="1:7" s="50" customFormat="1" hidden="1" x14ac:dyDescent="0.25">
      <c r="A34" s="220"/>
      <c r="B34" s="219" t="s">
        <v>97</v>
      </c>
      <c r="C34" s="57"/>
      <c r="D34" s="57"/>
      <c r="E34" s="57" t="e">
        <f>E45+#REF!</f>
        <v>#REF!</v>
      </c>
      <c r="F34" s="57" t="e">
        <f>F45+#REF!</f>
        <v>#REF!</v>
      </c>
      <c r="G34" s="57" t="e">
        <f>G45+#REF!</f>
        <v>#REF!</v>
      </c>
    </row>
    <row r="35" spans="1:7" ht="56.25" hidden="1" x14ac:dyDescent="0.25">
      <c r="A35" s="110" t="s">
        <v>6</v>
      </c>
      <c r="B35" s="97" t="s">
        <v>57</v>
      </c>
      <c r="C35" s="98"/>
      <c r="D35" s="98"/>
      <c r="E35" s="98"/>
      <c r="F35" s="98"/>
      <c r="G35" s="98"/>
    </row>
    <row r="36" spans="1:7" hidden="1" x14ac:dyDescent="0.25">
      <c r="A36" s="102">
        <v>1</v>
      </c>
      <c r="B36" s="59" t="s">
        <v>292</v>
      </c>
      <c r="C36" s="60"/>
      <c r="D36" s="60"/>
      <c r="E36" s="60">
        <v>4950</v>
      </c>
      <c r="F36" s="60">
        <f>E36</f>
        <v>4950</v>
      </c>
      <c r="G36" s="60">
        <f>F36</f>
        <v>4950</v>
      </c>
    </row>
    <row r="37" spans="1:7" hidden="1" x14ac:dyDescent="0.25">
      <c r="A37" s="102">
        <v>2</v>
      </c>
      <c r="B37" s="59" t="s">
        <v>63</v>
      </c>
      <c r="C37" s="60"/>
      <c r="D37" s="60"/>
      <c r="E37" s="60"/>
      <c r="F37" s="60"/>
      <c r="G37" s="60"/>
    </row>
    <row r="38" spans="1:7" ht="37.5" hidden="1" x14ac:dyDescent="0.25">
      <c r="A38" s="102">
        <v>2</v>
      </c>
      <c r="B38" s="59" t="s">
        <v>186</v>
      </c>
      <c r="C38" s="60"/>
      <c r="D38" s="60"/>
      <c r="E38" s="60"/>
      <c r="F38" s="60">
        <f>E38</f>
        <v>0</v>
      </c>
      <c r="G38" s="60">
        <f>F38</f>
        <v>0</v>
      </c>
    </row>
    <row r="39" spans="1:7" hidden="1" x14ac:dyDescent="0.25">
      <c r="A39" s="102">
        <v>3</v>
      </c>
      <c r="B39" s="59" t="s">
        <v>293</v>
      </c>
      <c r="C39" s="60"/>
      <c r="D39" s="60"/>
      <c r="E39" s="60">
        <f>E36-E38</f>
        <v>4950</v>
      </c>
      <c r="F39" s="60">
        <f>+F36-F38</f>
        <v>4950</v>
      </c>
      <c r="G39" s="60">
        <f>+G36-G38</f>
        <v>4950</v>
      </c>
    </row>
    <row r="40" spans="1:7" s="114" customFormat="1" hidden="1" x14ac:dyDescent="0.25">
      <c r="A40" s="111" t="s">
        <v>52</v>
      </c>
      <c r="B40" s="112"/>
      <c r="C40" s="113"/>
      <c r="D40" s="113"/>
      <c r="E40" s="113"/>
      <c r="F40" s="113"/>
      <c r="G40" s="113"/>
    </row>
    <row r="41" spans="1:7" hidden="1" x14ac:dyDescent="0.25">
      <c r="A41" s="102">
        <v>1</v>
      </c>
      <c r="B41" s="59" t="s">
        <v>201</v>
      </c>
      <c r="C41" s="60"/>
      <c r="D41" s="60"/>
      <c r="E41" s="60"/>
      <c r="F41" s="60">
        <f>E41</f>
        <v>0</v>
      </c>
      <c r="G41" s="60">
        <f>F41</f>
        <v>0</v>
      </c>
    </row>
    <row r="42" spans="1:7" hidden="1" x14ac:dyDescent="0.25">
      <c r="A42" s="102">
        <v>2</v>
      </c>
      <c r="B42" s="59" t="s">
        <v>202</v>
      </c>
      <c r="C42" s="60"/>
      <c r="D42" s="60"/>
      <c r="E42" s="60"/>
      <c r="F42" s="60">
        <f>E42</f>
        <v>0</v>
      </c>
      <c r="G42" s="60">
        <f>F42</f>
        <v>0</v>
      </c>
    </row>
    <row r="43" spans="1:7" hidden="1" x14ac:dyDescent="0.25">
      <c r="A43" s="115">
        <v>3</v>
      </c>
      <c r="B43" s="116" t="s">
        <v>203</v>
      </c>
      <c r="C43" s="117"/>
      <c r="D43" s="117"/>
      <c r="E43" s="117">
        <f>E41-E42</f>
        <v>0</v>
      </c>
      <c r="F43" s="117">
        <f>F41-F42</f>
        <v>0</v>
      </c>
      <c r="G43" s="117">
        <f>G41-G42</f>
        <v>0</v>
      </c>
    </row>
    <row r="44" spans="1:7" s="50" customFormat="1" x14ac:dyDescent="0.25">
      <c r="A44" s="220"/>
      <c r="B44" s="219" t="s">
        <v>361</v>
      </c>
      <c r="C44" s="57"/>
      <c r="D44" s="57"/>
      <c r="E44" s="57">
        <f>E45+E94+E110</f>
        <v>121143</v>
      </c>
      <c r="F44" s="57">
        <f>F45+F94+F110</f>
        <v>120461</v>
      </c>
      <c r="G44" s="57">
        <f>G45+G94+G110</f>
        <v>120771</v>
      </c>
    </row>
    <row r="45" spans="1:7" s="50" customFormat="1" ht="21" customHeight="1" x14ac:dyDescent="0.25">
      <c r="A45" s="110" t="s">
        <v>6</v>
      </c>
      <c r="B45" s="97" t="s">
        <v>348</v>
      </c>
      <c r="C45" s="98"/>
      <c r="D45" s="98"/>
      <c r="E45" s="98">
        <f>E46+E61+E77+E92</f>
        <v>48319</v>
      </c>
      <c r="F45" s="98">
        <f>F46+F61+F77+F92</f>
        <v>47727</v>
      </c>
      <c r="G45" s="98">
        <f>G46+G61+G77+G92</f>
        <v>47900</v>
      </c>
    </row>
    <row r="46" spans="1:7" s="114" customFormat="1" ht="21" customHeight="1" x14ac:dyDescent="0.25">
      <c r="A46" s="111" t="s">
        <v>51</v>
      </c>
      <c r="B46" s="63" t="s">
        <v>336</v>
      </c>
      <c r="C46" s="113"/>
      <c r="D46" s="113"/>
      <c r="E46" s="113">
        <f>E47+E55</f>
        <v>5278</v>
      </c>
      <c r="F46" s="113">
        <f>F47+F55</f>
        <v>5136</v>
      </c>
      <c r="G46" s="113">
        <f>G47+G55</f>
        <v>5219</v>
      </c>
    </row>
    <row r="47" spans="1:7" s="114" customFormat="1" ht="21" customHeight="1" x14ac:dyDescent="0.25">
      <c r="A47" s="111">
        <v>1</v>
      </c>
      <c r="B47" s="63" t="s">
        <v>970</v>
      </c>
      <c r="C47" s="113">
        <v>52</v>
      </c>
      <c r="D47" s="113">
        <v>41</v>
      </c>
      <c r="E47" s="113">
        <f>+E49-E52</f>
        <v>3736</v>
      </c>
      <c r="F47" s="113">
        <f>+F49-F52</f>
        <v>3819</v>
      </c>
      <c r="G47" s="113">
        <f>+G49-G52</f>
        <v>3902</v>
      </c>
    </row>
    <row r="48" spans="1:7" s="107" customFormat="1" x14ac:dyDescent="0.25">
      <c r="A48" s="118"/>
      <c r="B48" s="59" t="s">
        <v>560</v>
      </c>
      <c r="C48" s="61"/>
      <c r="D48" s="61"/>
      <c r="E48" s="61">
        <v>1409</v>
      </c>
      <c r="F48" s="61">
        <f>E48</f>
        <v>1409</v>
      </c>
      <c r="G48" s="61">
        <f>F48</f>
        <v>1409</v>
      </c>
    </row>
    <row r="49" spans="1:7" s="107" customFormat="1" ht="37.5" x14ac:dyDescent="0.25">
      <c r="A49" s="118"/>
      <c r="B49" s="95" t="s">
        <v>564</v>
      </c>
      <c r="C49" s="61"/>
      <c r="D49" s="61"/>
      <c r="E49" s="61">
        <f>SUM(E50:E51)</f>
        <v>4251</v>
      </c>
      <c r="F49" s="61">
        <f>SUM(F50:F51)</f>
        <v>4334</v>
      </c>
      <c r="G49" s="61">
        <f>SUM(G50:G51)</f>
        <v>4417</v>
      </c>
    </row>
    <row r="50" spans="1:7" s="185" customFormat="1" x14ac:dyDescent="0.25">
      <c r="A50" s="182"/>
      <c r="B50" s="183" t="s">
        <v>561</v>
      </c>
      <c r="C50" s="184"/>
      <c r="D50" s="184"/>
      <c r="E50" s="184">
        <v>3472</v>
      </c>
      <c r="F50" s="184">
        <f>ROUND(E50+13*6.4,0)</f>
        <v>3555</v>
      </c>
      <c r="G50" s="184">
        <f>ROUND(F50+13*6.4,0)</f>
        <v>3638</v>
      </c>
    </row>
    <row r="51" spans="1:7" s="185" customFormat="1" x14ac:dyDescent="0.25">
      <c r="A51" s="182"/>
      <c r="B51" s="183" t="s">
        <v>562</v>
      </c>
      <c r="C51" s="184"/>
      <c r="D51" s="184"/>
      <c r="E51" s="184">
        <f>41*19</f>
        <v>779</v>
      </c>
      <c r="F51" s="184">
        <f>E51</f>
        <v>779</v>
      </c>
      <c r="G51" s="184">
        <f>F51</f>
        <v>779</v>
      </c>
    </row>
    <row r="52" spans="1:7" s="107" customFormat="1" ht="37.5" x14ac:dyDescent="0.25">
      <c r="A52" s="118"/>
      <c r="B52" s="95" t="s">
        <v>967</v>
      </c>
      <c r="C52" s="61"/>
      <c r="D52" s="61"/>
      <c r="E52" s="61">
        <f>SUM(E53:E54)</f>
        <v>515</v>
      </c>
      <c r="F52" s="61">
        <f>SUM(F53:F54)</f>
        <v>515</v>
      </c>
      <c r="G52" s="61">
        <f>SUM(G53:G54)</f>
        <v>515</v>
      </c>
    </row>
    <row r="53" spans="1:7" s="185" customFormat="1" x14ac:dyDescent="0.25">
      <c r="A53" s="182"/>
      <c r="B53" s="186" t="s">
        <v>969</v>
      </c>
      <c r="C53" s="184"/>
      <c r="D53" s="184"/>
      <c r="E53" s="184">
        <v>77</v>
      </c>
      <c r="F53" s="184">
        <f>E53</f>
        <v>77</v>
      </c>
      <c r="G53" s="184">
        <f>F53</f>
        <v>77</v>
      </c>
    </row>
    <row r="54" spans="1:7" s="185" customFormat="1" x14ac:dyDescent="0.25">
      <c r="A54" s="182"/>
      <c r="B54" s="183" t="s">
        <v>968</v>
      </c>
      <c r="C54" s="184"/>
      <c r="D54" s="184"/>
      <c r="E54" s="184">
        <v>438</v>
      </c>
      <c r="F54" s="184">
        <f>E54</f>
        <v>438</v>
      </c>
      <c r="G54" s="184">
        <f>F54</f>
        <v>438</v>
      </c>
    </row>
    <row r="55" spans="1:7" s="114" customFormat="1" x14ac:dyDescent="0.25">
      <c r="A55" s="111">
        <v>2</v>
      </c>
      <c r="B55" s="63" t="s">
        <v>350</v>
      </c>
      <c r="C55" s="61"/>
      <c r="D55" s="113"/>
      <c r="E55" s="113">
        <f>SUM(E57:E60)</f>
        <v>1542</v>
      </c>
      <c r="F55" s="113">
        <f>SUM(F57:F60)</f>
        <v>1317</v>
      </c>
      <c r="G55" s="113">
        <f>SUM(G57:G60)</f>
        <v>1317</v>
      </c>
    </row>
    <row r="56" spans="1:7" s="107" customFormat="1" ht="37.5" x14ac:dyDescent="0.25">
      <c r="A56" s="118" t="s">
        <v>99</v>
      </c>
      <c r="B56" s="95" t="s">
        <v>844</v>
      </c>
      <c r="C56" s="61"/>
      <c r="D56" s="61"/>
      <c r="E56" s="61">
        <f>E57+E58</f>
        <v>717</v>
      </c>
      <c r="F56" s="61">
        <f t="shared" ref="F56:G59" si="0">E56</f>
        <v>717</v>
      </c>
      <c r="G56" s="61">
        <f t="shared" si="0"/>
        <v>717</v>
      </c>
    </row>
    <row r="57" spans="1:7" s="185" customFormat="1" x14ac:dyDescent="0.25">
      <c r="A57" s="182"/>
      <c r="B57" s="183" t="s">
        <v>561</v>
      </c>
      <c r="C57" s="184"/>
      <c r="D57" s="184"/>
      <c r="E57" s="184">
        <f>11*48</f>
        <v>528</v>
      </c>
      <c r="F57" s="184">
        <f t="shared" si="0"/>
        <v>528</v>
      </c>
      <c r="G57" s="184">
        <f t="shared" si="0"/>
        <v>528</v>
      </c>
    </row>
    <row r="58" spans="1:7" s="185" customFormat="1" ht="37.5" x14ac:dyDescent="0.25">
      <c r="A58" s="182"/>
      <c r="B58" s="183" t="s">
        <v>845</v>
      </c>
      <c r="C58" s="184"/>
      <c r="D58" s="184"/>
      <c r="E58" s="184">
        <f>11*19-20</f>
        <v>189</v>
      </c>
      <c r="F58" s="184">
        <f t="shared" si="0"/>
        <v>189</v>
      </c>
      <c r="G58" s="184">
        <f t="shared" si="0"/>
        <v>189</v>
      </c>
    </row>
    <row r="59" spans="1:7" s="107" customFormat="1" x14ac:dyDescent="0.25">
      <c r="A59" s="118" t="s">
        <v>99</v>
      </c>
      <c r="B59" s="95" t="s">
        <v>566</v>
      </c>
      <c r="C59" s="61"/>
      <c r="D59" s="61"/>
      <c r="E59" s="61">
        <v>600</v>
      </c>
      <c r="F59" s="61">
        <f t="shared" si="0"/>
        <v>600</v>
      </c>
      <c r="G59" s="61">
        <f t="shared" si="0"/>
        <v>600</v>
      </c>
    </row>
    <row r="60" spans="1:7" s="107" customFormat="1" x14ac:dyDescent="0.25">
      <c r="A60" s="118" t="s">
        <v>99</v>
      </c>
      <c r="B60" s="95" t="s">
        <v>571</v>
      </c>
      <c r="C60" s="61"/>
      <c r="D60" s="61"/>
      <c r="E60" s="61">
        <v>225</v>
      </c>
      <c r="F60" s="61"/>
      <c r="G60" s="61"/>
    </row>
    <row r="61" spans="1:7" s="114" customFormat="1" ht="21" customHeight="1" x14ac:dyDescent="0.25">
      <c r="A61" s="111" t="s">
        <v>52</v>
      </c>
      <c r="B61" s="63" t="s">
        <v>352</v>
      </c>
      <c r="C61" s="113"/>
      <c r="D61" s="113"/>
      <c r="E61" s="113">
        <f>+E62+E70</f>
        <v>3254</v>
      </c>
      <c r="F61" s="113">
        <f>+F62+F70</f>
        <v>2984</v>
      </c>
      <c r="G61" s="113">
        <f>+G62+G70</f>
        <v>3029</v>
      </c>
    </row>
    <row r="62" spans="1:7" s="114" customFormat="1" ht="21" customHeight="1" x14ac:dyDescent="0.25">
      <c r="A62" s="111">
        <v>1</v>
      </c>
      <c r="B62" s="63" t="s">
        <v>970</v>
      </c>
      <c r="C62" s="113">
        <v>30</v>
      </c>
      <c r="D62" s="113">
        <v>22</v>
      </c>
      <c r="E62" s="113">
        <f>+E64-E67</f>
        <v>2156</v>
      </c>
      <c r="F62" s="113">
        <f>+F64-F67</f>
        <v>2201</v>
      </c>
      <c r="G62" s="113">
        <f>+G64-G67</f>
        <v>2246</v>
      </c>
    </row>
    <row r="63" spans="1:7" s="107" customFormat="1" x14ac:dyDescent="0.25">
      <c r="A63" s="118"/>
      <c r="B63" s="59" t="s">
        <v>560</v>
      </c>
      <c r="C63" s="61"/>
      <c r="D63" s="61"/>
      <c r="E63" s="61">
        <v>800</v>
      </c>
      <c r="F63" s="61">
        <f>E63</f>
        <v>800</v>
      </c>
      <c r="G63" s="61">
        <f>F63</f>
        <v>800</v>
      </c>
    </row>
    <row r="64" spans="1:7" s="107" customFormat="1" ht="37.5" x14ac:dyDescent="0.25">
      <c r="A64" s="118"/>
      <c r="B64" s="95" t="s">
        <v>567</v>
      </c>
      <c r="C64" s="61"/>
      <c r="D64" s="61"/>
      <c r="E64" s="61">
        <f>SUM(E65:E66)</f>
        <v>2317</v>
      </c>
      <c r="F64" s="61">
        <f>SUM(F65:F66)</f>
        <v>2362</v>
      </c>
      <c r="G64" s="61">
        <f>SUM(G65:G66)</f>
        <v>2407</v>
      </c>
    </row>
    <row r="65" spans="1:7" s="185" customFormat="1" x14ac:dyDescent="0.25">
      <c r="A65" s="182"/>
      <c r="B65" s="183" t="s">
        <v>561</v>
      </c>
      <c r="C65" s="184"/>
      <c r="D65" s="184"/>
      <c r="E65" s="184">
        <v>1899</v>
      </c>
      <c r="F65" s="184">
        <f>ROUND(E65+7*6.4,0)</f>
        <v>1944</v>
      </c>
      <c r="G65" s="184">
        <f>ROUND(F65+7*6.4,0)</f>
        <v>1989</v>
      </c>
    </row>
    <row r="66" spans="1:7" s="185" customFormat="1" x14ac:dyDescent="0.25">
      <c r="A66" s="182"/>
      <c r="B66" s="183" t="s">
        <v>562</v>
      </c>
      <c r="C66" s="184"/>
      <c r="D66" s="184"/>
      <c r="E66" s="184">
        <f>22*19</f>
        <v>418</v>
      </c>
      <c r="F66" s="184">
        <f>E66</f>
        <v>418</v>
      </c>
      <c r="G66" s="184">
        <f>F66</f>
        <v>418</v>
      </c>
    </row>
    <row r="67" spans="1:7" s="107" customFormat="1" ht="37.5" x14ac:dyDescent="0.25">
      <c r="A67" s="118"/>
      <c r="B67" s="95" t="s">
        <v>966</v>
      </c>
      <c r="C67" s="61"/>
      <c r="D67" s="61"/>
      <c r="E67" s="61">
        <f>SUM(E68:E69)</f>
        <v>161</v>
      </c>
      <c r="F67" s="61">
        <f>SUM(F68:F69)</f>
        <v>161</v>
      </c>
      <c r="G67" s="61">
        <f>SUM(G68:G69)</f>
        <v>161</v>
      </c>
    </row>
    <row r="68" spans="1:7" s="185" customFormat="1" x14ac:dyDescent="0.25">
      <c r="A68" s="182"/>
      <c r="B68" s="186" t="s">
        <v>969</v>
      </c>
      <c r="C68" s="184"/>
      <c r="D68" s="184"/>
      <c r="E68" s="184">
        <v>41</v>
      </c>
      <c r="F68" s="184">
        <f>E68</f>
        <v>41</v>
      </c>
      <c r="G68" s="184">
        <f>F68</f>
        <v>41</v>
      </c>
    </row>
    <row r="69" spans="1:7" s="185" customFormat="1" x14ac:dyDescent="0.25">
      <c r="A69" s="182"/>
      <c r="B69" s="186" t="s">
        <v>968</v>
      </c>
      <c r="C69" s="184"/>
      <c r="D69" s="184"/>
      <c r="E69" s="61">
        <f>ROUND(300*0.4,0)</f>
        <v>120</v>
      </c>
      <c r="F69" s="184">
        <f>E69</f>
        <v>120</v>
      </c>
      <c r="G69" s="184">
        <f>F69</f>
        <v>120</v>
      </c>
    </row>
    <row r="70" spans="1:7" s="114" customFormat="1" x14ac:dyDescent="0.25">
      <c r="A70" s="111">
        <v>2</v>
      </c>
      <c r="B70" s="63" t="s">
        <v>350</v>
      </c>
      <c r="C70" s="61"/>
      <c r="D70" s="113"/>
      <c r="E70" s="113">
        <f>SUM(E72:E76)</f>
        <v>1098</v>
      </c>
      <c r="F70" s="113">
        <f>SUM(F72:F76)</f>
        <v>783</v>
      </c>
      <c r="G70" s="113">
        <f>SUM(G72:G76)</f>
        <v>783</v>
      </c>
    </row>
    <row r="71" spans="1:7" s="107" customFormat="1" ht="37.5" x14ac:dyDescent="0.25">
      <c r="A71" s="118" t="s">
        <v>99</v>
      </c>
      <c r="B71" s="95" t="s">
        <v>971</v>
      </c>
      <c r="C71" s="61"/>
      <c r="D71" s="61"/>
      <c r="E71" s="61">
        <f>SUM(E72:E73)</f>
        <v>523</v>
      </c>
      <c r="F71" s="61">
        <f>SUM(F72:F73)</f>
        <v>523</v>
      </c>
      <c r="G71" s="61">
        <f>SUM(G72:G73)</f>
        <v>523</v>
      </c>
    </row>
    <row r="72" spans="1:7" s="185" customFormat="1" x14ac:dyDescent="0.25">
      <c r="A72" s="182"/>
      <c r="B72" s="183" t="s">
        <v>561</v>
      </c>
      <c r="C72" s="184"/>
      <c r="D72" s="184"/>
      <c r="E72" s="184">
        <v>386</v>
      </c>
      <c r="F72" s="184">
        <f t="shared" ref="F72:G74" si="1">E72</f>
        <v>386</v>
      </c>
      <c r="G72" s="184">
        <f t="shared" si="1"/>
        <v>386</v>
      </c>
    </row>
    <row r="73" spans="1:7" s="185" customFormat="1" ht="37.5" x14ac:dyDescent="0.25">
      <c r="A73" s="182"/>
      <c r="B73" s="183" t="s">
        <v>845</v>
      </c>
      <c r="C73" s="184"/>
      <c r="D73" s="184"/>
      <c r="E73" s="184">
        <f>8*19-15</f>
        <v>137</v>
      </c>
      <c r="F73" s="184">
        <f t="shared" si="1"/>
        <v>137</v>
      </c>
      <c r="G73" s="184">
        <f t="shared" si="1"/>
        <v>137</v>
      </c>
    </row>
    <row r="74" spans="1:7" s="107" customFormat="1" x14ac:dyDescent="0.25">
      <c r="A74" s="118" t="s">
        <v>99</v>
      </c>
      <c r="B74" s="95" t="s">
        <v>566</v>
      </c>
      <c r="C74" s="61"/>
      <c r="D74" s="61"/>
      <c r="E74" s="61">
        <v>260</v>
      </c>
      <c r="F74" s="61">
        <f t="shared" si="1"/>
        <v>260</v>
      </c>
      <c r="G74" s="61">
        <f t="shared" si="1"/>
        <v>260</v>
      </c>
    </row>
    <row r="75" spans="1:7" s="107" customFormat="1" x14ac:dyDescent="0.25">
      <c r="A75" s="118" t="s">
        <v>99</v>
      </c>
      <c r="B75" s="95" t="s">
        <v>568</v>
      </c>
      <c r="C75" s="61"/>
      <c r="D75" s="61"/>
      <c r="E75" s="61">
        <v>90</v>
      </c>
      <c r="F75" s="61"/>
      <c r="G75" s="61"/>
    </row>
    <row r="76" spans="1:7" s="107" customFormat="1" x14ac:dyDescent="0.25">
      <c r="A76" s="118" t="s">
        <v>99</v>
      </c>
      <c r="B76" s="95" t="s">
        <v>571</v>
      </c>
      <c r="C76" s="61"/>
      <c r="D76" s="61"/>
      <c r="E76" s="61">
        <v>225</v>
      </c>
      <c r="F76" s="61"/>
      <c r="G76" s="61"/>
    </row>
    <row r="77" spans="1:7" s="114" customFormat="1" ht="21" customHeight="1" x14ac:dyDescent="0.25">
      <c r="A77" s="111" t="s">
        <v>147</v>
      </c>
      <c r="B77" s="63" t="s">
        <v>353</v>
      </c>
      <c r="C77" s="113"/>
      <c r="D77" s="113"/>
      <c r="E77" s="113">
        <f>E78+E86</f>
        <v>4787</v>
      </c>
      <c r="F77" s="113">
        <f>F78+F86</f>
        <v>4607</v>
      </c>
      <c r="G77" s="113">
        <f>G78+G86</f>
        <v>4652</v>
      </c>
    </row>
    <row r="78" spans="1:7" s="114" customFormat="1" ht="21" customHeight="1" x14ac:dyDescent="0.25">
      <c r="A78" s="111">
        <v>1</v>
      </c>
      <c r="B78" s="63" t="s">
        <v>970</v>
      </c>
      <c r="C78" s="113">
        <v>47</v>
      </c>
      <c r="D78" s="113">
        <v>39</v>
      </c>
      <c r="E78" s="113">
        <f>+E80-E83</f>
        <v>3739</v>
      </c>
      <c r="F78" s="113">
        <f>+F80-F83</f>
        <v>3784</v>
      </c>
      <c r="G78" s="113">
        <f>+G80-G83</f>
        <v>3829</v>
      </c>
    </row>
    <row r="79" spans="1:7" s="107" customFormat="1" x14ac:dyDescent="0.25">
      <c r="A79" s="118"/>
      <c r="B79" s="59" t="s">
        <v>560</v>
      </c>
      <c r="C79" s="61"/>
      <c r="D79" s="61"/>
      <c r="E79" s="61">
        <f>855+4+77</f>
        <v>936</v>
      </c>
      <c r="F79" s="61">
        <f>E79</f>
        <v>936</v>
      </c>
      <c r="G79" s="61">
        <f>F79</f>
        <v>936</v>
      </c>
    </row>
    <row r="80" spans="1:7" s="107" customFormat="1" ht="37.5" x14ac:dyDescent="0.25">
      <c r="A80" s="118"/>
      <c r="B80" s="95" t="s">
        <v>569</v>
      </c>
      <c r="C80" s="61"/>
      <c r="D80" s="61"/>
      <c r="E80" s="61">
        <f>E81+E82</f>
        <v>4155</v>
      </c>
      <c r="F80" s="61">
        <f>F81+F82</f>
        <v>4200</v>
      </c>
      <c r="G80" s="61">
        <f>G81+G82</f>
        <v>4245</v>
      </c>
    </row>
    <row r="81" spans="1:7" s="185" customFormat="1" x14ac:dyDescent="0.25">
      <c r="A81" s="182"/>
      <c r="B81" s="183" t="s">
        <v>561</v>
      </c>
      <c r="C81" s="184"/>
      <c r="D81" s="184"/>
      <c r="E81" s="184">
        <v>3414</v>
      </c>
      <c r="F81" s="184">
        <f>ROUND(E81+7*6.4,0)</f>
        <v>3459</v>
      </c>
      <c r="G81" s="184">
        <f>ROUND(F81+7*6.4,0)</f>
        <v>3504</v>
      </c>
    </row>
    <row r="82" spans="1:7" s="185" customFormat="1" x14ac:dyDescent="0.25">
      <c r="A82" s="182"/>
      <c r="B82" s="183" t="s">
        <v>562</v>
      </c>
      <c r="C82" s="184"/>
      <c r="D82" s="184"/>
      <c r="E82" s="184">
        <f>39*19</f>
        <v>741</v>
      </c>
      <c r="F82" s="184">
        <f>E82</f>
        <v>741</v>
      </c>
      <c r="G82" s="184">
        <f>F82</f>
        <v>741</v>
      </c>
    </row>
    <row r="83" spans="1:7" s="107" customFormat="1" ht="37.5" x14ac:dyDescent="0.25">
      <c r="A83" s="118"/>
      <c r="B83" s="95" t="s">
        <v>966</v>
      </c>
      <c r="C83" s="61"/>
      <c r="D83" s="61"/>
      <c r="E83" s="61">
        <f>SUM(E84:E85)</f>
        <v>416</v>
      </c>
      <c r="F83" s="61">
        <f>SUM(F84:F85)</f>
        <v>416</v>
      </c>
      <c r="G83" s="61">
        <f>SUM(G84:G85)</f>
        <v>416</v>
      </c>
    </row>
    <row r="84" spans="1:7" s="185" customFormat="1" x14ac:dyDescent="0.25">
      <c r="A84" s="182"/>
      <c r="B84" s="186" t="s">
        <v>969</v>
      </c>
      <c r="C84" s="184"/>
      <c r="D84" s="184"/>
      <c r="E84" s="184">
        <v>74</v>
      </c>
      <c r="F84" s="184">
        <f>E84</f>
        <v>74</v>
      </c>
      <c r="G84" s="184">
        <f>F84</f>
        <v>74</v>
      </c>
    </row>
    <row r="85" spans="1:7" s="185" customFormat="1" x14ac:dyDescent="0.25">
      <c r="A85" s="182"/>
      <c r="B85" s="186" t="s">
        <v>968</v>
      </c>
      <c r="C85" s="184"/>
      <c r="D85" s="184"/>
      <c r="E85" s="61">
        <f>ROUND(855*0.4,0)</f>
        <v>342</v>
      </c>
      <c r="F85" s="184">
        <f>E85</f>
        <v>342</v>
      </c>
      <c r="G85" s="184">
        <f>F85</f>
        <v>342</v>
      </c>
    </row>
    <row r="86" spans="1:7" s="114" customFormat="1" x14ac:dyDescent="0.25">
      <c r="A86" s="111">
        <v>2</v>
      </c>
      <c r="B86" s="63" t="s">
        <v>350</v>
      </c>
      <c r="C86" s="61"/>
      <c r="D86" s="113"/>
      <c r="E86" s="113">
        <f>SUM(E88:E91)</f>
        <v>1048</v>
      </c>
      <c r="F86" s="113">
        <f>SUM(F88:F91)</f>
        <v>823</v>
      </c>
      <c r="G86" s="113">
        <f>SUM(G88:G91)</f>
        <v>823</v>
      </c>
    </row>
    <row r="87" spans="1:7" s="107" customFormat="1" ht="37.5" x14ac:dyDescent="0.25">
      <c r="A87" s="118" t="s">
        <v>99</v>
      </c>
      <c r="B87" s="95" t="s">
        <v>971</v>
      </c>
      <c r="C87" s="61"/>
      <c r="D87" s="61"/>
      <c r="E87" s="61">
        <f>SUM(E88:E89)</f>
        <v>523</v>
      </c>
      <c r="F87" s="61">
        <f>SUM(F88:F89)</f>
        <v>523</v>
      </c>
      <c r="G87" s="61">
        <f>SUM(G88:G89)</f>
        <v>523</v>
      </c>
    </row>
    <row r="88" spans="1:7" s="185" customFormat="1" x14ac:dyDescent="0.25">
      <c r="A88" s="182"/>
      <c r="B88" s="183" t="s">
        <v>561</v>
      </c>
      <c r="C88" s="184"/>
      <c r="D88" s="184"/>
      <c r="E88" s="184">
        <v>386</v>
      </c>
      <c r="F88" s="184">
        <f t="shared" ref="F88:G90" si="2">E88</f>
        <v>386</v>
      </c>
      <c r="G88" s="184">
        <f t="shared" si="2"/>
        <v>386</v>
      </c>
    </row>
    <row r="89" spans="1:7" s="185" customFormat="1" ht="37.5" x14ac:dyDescent="0.25">
      <c r="A89" s="182"/>
      <c r="B89" s="183" t="s">
        <v>845</v>
      </c>
      <c r="C89" s="184"/>
      <c r="D89" s="184"/>
      <c r="E89" s="184">
        <f>8*19-15</f>
        <v>137</v>
      </c>
      <c r="F89" s="184">
        <f t="shared" si="2"/>
        <v>137</v>
      </c>
      <c r="G89" s="184">
        <f t="shared" si="2"/>
        <v>137</v>
      </c>
    </row>
    <row r="90" spans="1:7" s="107" customFormat="1" x14ac:dyDescent="0.25">
      <c r="A90" s="118" t="s">
        <v>99</v>
      </c>
      <c r="B90" s="95" t="s">
        <v>566</v>
      </c>
      <c r="C90" s="61"/>
      <c r="D90" s="61"/>
      <c r="E90" s="61">
        <v>300</v>
      </c>
      <c r="F90" s="61">
        <f t="shared" si="2"/>
        <v>300</v>
      </c>
      <c r="G90" s="61">
        <f t="shared" si="2"/>
        <v>300</v>
      </c>
    </row>
    <row r="91" spans="1:7" s="107" customFormat="1" x14ac:dyDescent="0.25">
      <c r="A91" s="118" t="s">
        <v>99</v>
      </c>
      <c r="B91" s="95" t="s">
        <v>571</v>
      </c>
      <c r="C91" s="61"/>
      <c r="D91" s="61"/>
      <c r="E91" s="61">
        <v>225</v>
      </c>
      <c r="F91" s="61"/>
      <c r="G91" s="61"/>
    </row>
    <row r="92" spans="1:7" s="114" customFormat="1" x14ac:dyDescent="0.25">
      <c r="A92" s="111" t="s">
        <v>294</v>
      </c>
      <c r="B92" s="112" t="s">
        <v>572</v>
      </c>
      <c r="C92" s="123"/>
      <c r="D92" s="113"/>
      <c r="E92" s="113">
        <v>35000</v>
      </c>
      <c r="F92" s="113">
        <f>E92</f>
        <v>35000</v>
      </c>
      <c r="G92" s="113">
        <f>F92</f>
        <v>35000</v>
      </c>
    </row>
    <row r="93" spans="1:7" s="107" customFormat="1" ht="168.75" x14ac:dyDescent="0.25">
      <c r="A93" s="118" t="s">
        <v>99</v>
      </c>
      <c r="B93" s="95" t="s">
        <v>576</v>
      </c>
      <c r="C93" s="122"/>
      <c r="D93" s="61"/>
      <c r="E93" s="61"/>
      <c r="F93" s="61"/>
      <c r="G93" s="61"/>
    </row>
    <row r="94" spans="1:7" s="50" customFormat="1" x14ac:dyDescent="0.25">
      <c r="A94" s="101" t="s">
        <v>7</v>
      </c>
      <c r="B94" s="63" t="s">
        <v>351</v>
      </c>
      <c r="C94" s="64"/>
      <c r="D94" s="64"/>
      <c r="E94" s="64">
        <f>E95+E101</f>
        <v>7824</v>
      </c>
      <c r="F94" s="64">
        <f>F95+F101</f>
        <v>7734</v>
      </c>
      <c r="G94" s="64">
        <f>G95+G101</f>
        <v>7871</v>
      </c>
    </row>
    <row r="95" spans="1:7" s="114" customFormat="1" ht="21" customHeight="1" x14ac:dyDescent="0.25">
      <c r="A95" s="111" t="s">
        <v>51</v>
      </c>
      <c r="B95" s="112" t="s">
        <v>349</v>
      </c>
      <c r="C95" s="113"/>
      <c r="D95" s="113"/>
      <c r="E95" s="113">
        <f>E96+E100</f>
        <v>7174</v>
      </c>
      <c r="F95" s="113">
        <f>F96+F100</f>
        <v>7311</v>
      </c>
      <c r="G95" s="113">
        <f>G96+G100</f>
        <v>7448</v>
      </c>
    </row>
    <row r="96" spans="1:7" ht="37.5" x14ac:dyDescent="0.25">
      <c r="A96" s="102">
        <v>1</v>
      </c>
      <c r="B96" s="59" t="s">
        <v>69</v>
      </c>
      <c r="C96" s="60"/>
      <c r="D96" s="60"/>
      <c r="E96" s="60">
        <f>E97+E98-E99</f>
        <v>6114</v>
      </c>
      <c r="F96" s="60">
        <f>F97+F98-F99</f>
        <v>6251</v>
      </c>
      <c r="G96" s="60">
        <f>G97+G98-G99</f>
        <v>6388</v>
      </c>
    </row>
    <row r="97" spans="1:7" x14ac:dyDescent="0.25">
      <c r="A97" s="102"/>
      <c r="B97" s="59" t="s">
        <v>359</v>
      </c>
      <c r="C97" s="60">
        <v>53</v>
      </c>
      <c r="D97" s="61">
        <v>52</v>
      </c>
      <c r="E97" s="60">
        <v>5825</v>
      </c>
      <c r="F97" s="60">
        <f>ROUND(E97+16*7.6,0)</f>
        <v>5947</v>
      </c>
      <c r="G97" s="60">
        <f>ROUND(F97+16*7.6,0)</f>
        <v>6069</v>
      </c>
    </row>
    <row r="98" spans="1:7" ht="37.5" x14ac:dyDescent="0.25">
      <c r="A98" s="102"/>
      <c r="B98" s="59" t="s">
        <v>252</v>
      </c>
      <c r="C98" s="60">
        <v>6</v>
      </c>
      <c r="D98" s="60">
        <v>5</v>
      </c>
      <c r="E98" s="60">
        <v>395</v>
      </c>
      <c r="F98" s="60">
        <f>ROUND(E98+2*7.6,0)</f>
        <v>410</v>
      </c>
      <c r="G98" s="60">
        <f>ROUND(F98+2*7.6,0)</f>
        <v>425</v>
      </c>
    </row>
    <row r="99" spans="1:7" ht="37.5" x14ac:dyDescent="0.25">
      <c r="A99" s="102"/>
      <c r="B99" s="59" t="s">
        <v>217</v>
      </c>
      <c r="C99" s="60"/>
      <c r="D99" s="60"/>
      <c r="E99" s="60">
        <v>106</v>
      </c>
      <c r="F99" s="60">
        <f>E99</f>
        <v>106</v>
      </c>
      <c r="G99" s="60">
        <f>F99</f>
        <v>106</v>
      </c>
    </row>
    <row r="100" spans="1:7" ht="37.5" x14ac:dyDescent="0.25">
      <c r="A100" s="102">
        <v>2</v>
      </c>
      <c r="B100" s="59" t="s">
        <v>354</v>
      </c>
      <c r="C100" s="60">
        <v>53</v>
      </c>
      <c r="D100" s="60"/>
      <c r="E100" s="61">
        <f>C100*20</f>
        <v>1060</v>
      </c>
      <c r="F100" s="61">
        <f>E100</f>
        <v>1060</v>
      </c>
      <c r="G100" s="61">
        <f>F100</f>
        <v>1060</v>
      </c>
    </row>
    <row r="101" spans="1:7" s="50" customFormat="1" x14ac:dyDescent="0.25">
      <c r="A101" s="101" t="s">
        <v>52</v>
      </c>
      <c r="B101" s="63" t="s">
        <v>350</v>
      </c>
      <c r="C101" s="64"/>
      <c r="D101" s="64"/>
      <c r="E101" s="64">
        <f>SUM(E102:E109)</f>
        <v>650</v>
      </c>
      <c r="F101" s="64">
        <f>SUM(F102:F109)</f>
        <v>423</v>
      </c>
      <c r="G101" s="64">
        <f>SUM(G102:G109)</f>
        <v>423</v>
      </c>
    </row>
    <row r="102" spans="1:7" x14ac:dyDescent="0.25">
      <c r="A102" s="102" t="s">
        <v>99</v>
      </c>
      <c r="B102" s="59" t="s">
        <v>183</v>
      </c>
      <c r="C102" s="60"/>
      <c r="D102" s="60"/>
      <c r="E102" s="60">
        <v>35</v>
      </c>
      <c r="F102" s="60">
        <f t="shared" ref="F102:G106" si="3">E102</f>
        <v>35</v>
      </c>
      <c r="G102" s="60">
        <f t="shared" si="3"/>
        <v>35</v>
      </c>
    </row>
    <row r="103" spans="1:7" x14ac:dyDescent="0.25">
      <c r="A103" s="102" t="s">
        <v>99</v>
      </c>
      <c r="B103" s="59" t="s">
        <v>482</v>
      </c>
      <c r="C103" s="60"/>
      <c r="D103" s="60"/>
      <c r="E103" s="60">
        <v>15</v>
      </c>
      <c r="F103" s="60">
        <f>E103</f>
        <v>15</v>
      </c>
      <c r="G103" s="60">
        <f>F103</f>
        <v>15</v>
      </c>
    </row>
    <row r="104" spans="1:7" x14ac:dyDescent="0.25">
      <c r="A104" s="102" t="s">
        <v>99</v>
      </c>
      <c r="B104" s="59" t="s">
        <v>360</v>
      </c>
      <c r="C104" s="60"/>
      <c r="D104" s="60"/>
      <c r="E104" s="60">
        <v>31</v>
      </c>
      <c r="F104" s="60">
        <f t="shared" si="3"/>
        <v>31</v>
      </c>
      <c r="G104" s="60">
        <f t="shared" si="3"/>
        <v>31</v>
      </c>
    </row>
    <row r="105" spans="1:7" x14ac:dyDescent="0.25">
      <c r="A105" s="102" t="s">
        <v>99</v>
      </c>
      <c r="B105" s="59" t="s">
        <v>206</v>
      </c>
      <c r="C105" s="60"/>
      <c r="D105" s="60"/>
      <c r="E105" s="60">
        <f>17+275</f>
        <v>292</v>
      </c>
      <c r="F105" s="60">
        <f t="shared" si="3"/>
        <v>292</v>
      </c>
      <c r="G105" s="60">
        <f t="shared" si="3"/>
        <v>292</v>
      </c>
    </row>
    <row r="106" spans="1:7" x14ac:dyDescent="0.25">
      <c r="A106" s="102" t="s">
        <v>99</v>
      </c>
      <c r="B106" s="59" t="s">
        <v>109</v>
      </c>
      <c r="C106" s="60"/>
      <c r="D106" s="60"/>
      <c r="E106" s="60">
        <v>50</v>
      </c>
      <c r="F106" s="60">
        <f t="shared" si="3"/>
        <v>50</v>
      </c>
      <c r="G106" s="60">
        <f t="shared" si="3"/>
        <v>50</v>
      </c>
    </row>
    <row r="107" spans="1:7" ht="37.5" x14ac:dyDescent="0.25">
      <c r="A107" s="102" t="s">
        <v>99</v>
      </c>
      <c r="B107" s="59" t="s">
        <v>574</v>
      </c>
      <c r="C107" s="60"/>
      <c r="D107" s="60"/>
      <c r="E107" s="60">
        <v>77</v>
      </c>
      <c r="F107" s="60"/>
      <c r="G107" s="60"/>
    </row>
    <row r="108" spans="1:7" x14ac:dyDescent="0.25">
      <c r="A108" s="102" t="s">
        <v>99</v>
      </c>
      <c r="B108" s="59" t="s">
        <v>575</v>
      </c>
      <c r="C108" s="60"/>
      <c r="D108" s="60"/>
      <c r="E108" s="60">
        <v>100</v>
      </c>
      <c r="F108" s="60"/>
      <c r="G108" s="60"/>
    </row>
    <row r="109" spans="1:7" x14ac:dyDescent="0.25">
      <c r="A109" s="102" t="s">
        <v>99</v>
      </c>
      <c r="B109" s="59" t="s">
        <v>114</v>
      </c>
      <c r="C109" s="60"/>
      <c r="D109" s="60"/>
      <c r="E109" s="60">
        <v>50</v>
      </c>
      <c r="F109" s="60"/>
      <c r="G109" s="60"/>
    </row>
    <row r="110" spans="1:7" s="50" customFormat="1" ht="37.5" x14ac:dyDescent="0.25">
      <c r="A110" s="101" t="s">
        <v>16</v>
      </c>
      <c r="B110" s="63" t="s">
        <v>573</v>
      </c>
      <c r="C110" s="64"/>
      <c r="D110" s="64"/>
      <c r="E110" s="64">
        <v>65000</v>
      </c>
      <c r="F110" s="64">
        <f>E110</f>
        <v>65000</v>
      </c>
      <c r="G110" s="64">
        <f>F110</f>
        <v>65000</v>
      </c>
    </row>
    <row r="111" spans="1:7" s="50" customFormat="1" hidden="1" x14ac:dyDescent="0.25">
      <c r="A111" s="101"/>
      <c r="B111" s="63"/>
      <c r="C111" s="64"/>
      <c r="D111" s="64"/>
      <c r="E111" s="64"/>
      <c r="F111" s="64"/>
      <c r="G111" s="64"/>
    </row>
    <row r="112" spans="1:7" s="50" customFormat="1" hidden="1" x14ac:dyDescent="0.25">
      <c r="A112" s="101"/>
      <c r="B112" s="63"/>
      <c r="C112" s="64"/>
      <c r="D112" s="64"/>
      <c r="E112" s="64"/>
      <c r="F112" s="64"/>
      <c r="G112" s="64"/>
    </row>
    <row r="113" spans="1:7" s="50" customFormat="1" hidden="1" x14ac:dyDescent="0.25">
      <c r="A113" s="101"/>
      <c r="B113" s="63"/>
      <c r="C113" s="64"/>
      <c r="D113" s="64"/>
      <c r="E113" s="64"/>
      <c r="F113" s="64"/>
      <c r="G113" s="64"/>
    </row>
    <row r="114" spans="1:7" s="50" customFormat="1" hidden="1" x14ac:dyDescent="0.25">
      <c r="A114" s="101"/>
      <c r="B114" s="63"/>
      <c r="C114" s="64"/>
      <c r="D114" s="64"/>
      <c r="E114" s="64"/>
      <c r="F114" s="64"/>
      <c r="G114" s="64"/>
    </row>
    <row r="115" spans="1:7" s="50" customFormat="1" hidden="1" x14ac:dyDescent="0.25">
      <c r="A115" s="101"/>
      <c r="B115" s="63"/>
      <c r="C115" s="64"/>
      <c r="D115" s="64"/>
      <c r="E115" s="64"/>
      <c r="F115" s="64"/>
      <c r="G115" s="64"/>
    </row>
    <row r="116" spans="1:7" s="50" customFormat="1" hidden="1" x14ac:dyDescent="0.25">
      <c r="A116" s="101"/>
      <c r="B116" s="63"/>
      <c r="C116" s="64"/>
      <c r="D116" s="64"/>
      <c r="E116" s="64"/>
      <c r="F116" s="64"/>
      <c r="G116" s="64"/>
    </row>
    <row r="117" spans="1:7" s="50" customFormat="1" hidden="1" x14ac:dyDescent="0.25">
      <c r="A117" s="101"/>
      <c r="B117" s="63"/>
      <c r="C117" s="64"/>
      <c r="D117" s="64"/>
      <c r="E117" s="64"/>
      <c r="F117" s="64"/>
      <c r="G117" s="64"/>
    </row>
    <row r="118" spans="1:7" s="50" customFormat="1" hidden="1" x14ac:dyDescent="0.25">
      <c r="A118" s="101"/>
      <c r="B118" s="63"/>
      <c r="C118" s="64"/>
      <c r="D118" s="64"/>
      <c r="E118" s="64"/>
      <c r="F118" s="64"/>
      <c r="G118" s="64"/>
    </row>
    <row r="119" spans="1:7" s="50" customFormat="1" hidden="1" x14ac:dyDescent="0.25">
      <c r="A119" s="101"/>
      <c r="B119" s="63"/>
      <c r="C119" s="64"/>
      <c r="D119" s="64"/>
      <c r="E119" s="64"/>
      <c r="F119" s="64"/>
      <c r="G119" s="64"/>
    </row>
    <row r="120" spans="1:7" s="50" customFormat="1" hidden="1" x14ac:dyDescent="0.25">
      <c r="A120" s="101"/>
      <c r="B120" s="63"/>
      <c r="C120" s="64"/>
      <c r="D120" s="64"/>
      <c r="E120" s="64"/>
      <c r="F120" s="64"/>
      <c r="G120" s="64"/>
    </row>
    <row r="121" spans="1:7" s="50" customFormat="1" hidden="1" x14ac:dyDescent="0.25">
      <c r="A121" s="101"/>
      <c r="B121" s="63"/>
      <c r="C121" s="64"/>
      <c r="D121" s="64"/>
      <c r="E121" s="64"/>
      <c r="F121" s="64"/>
      <c r="G121" s="64"/>
    </row>
    <row r="122" spans="1:7" s="50" customFormat="1" hidden="1" x14ac:dyDescent="0.25">
      <c r="A122" s="101"/>
      <c r="B122" s="63"/>
      <c r="C122" s="64"/>
      <c r="D122" s="64"/>
      <c r="E122" s="64"/>
      <c r="F122" s="64"/>
      <c r="G122" s="64"/>
    </row>
    <row r="123" spans="1:7" s="50" customFormat="1" hidden="1" x14ac:dyDescent="0.25">
      <c r="A123" s="101"/>
      <c r="B123" s="63"/>
      <c r="C123" s="64"/>
      <c r="D123" s="64"/>
      <c r="E123" s="64"/>
      <c r="F123" s="64"/>
      <c r="G123" s="64"/>
    </row>
    <row r="124" spans="1:7" s="50" customFormat="1" hidden="1" x14ac:dyDescent="0.25">
      <c r="A124" s="101"/>
      <c r="B124" s="63"/>
      <c r="C124" s="64"/>
      <c r="D124" s="64"/>
      <c r="E124" s="64"/>
      <c r="F124" s="64"/>
      <c r="G124" s="64"/>
    </row>
    <row r="125" spans="1:7" s="50" customFormat="1" hidden="1" x14ac:dyDescent="0.25">
      <c r="A125" s="101"/>
      <c r="B125" s="63"/>
      <c r="C125" s="64"/>
      <c r="D125" s="64"/>
      <c r="E125" s="64"/>
      <c r="F125" s="64"/>
      <c r="G125" s="64"/>
    </row>
    <row r="126" spans="1:7" s="50" customFormat="1" hidden="1" x14ac:dyDescent="0.25">
      <c r="A126" s="101"/>
      <c r="B126" s="63"/>
      <c r="C126" s="64"/>
      <c r="D126" s="64"/>
      <c r="E126" s="64"/>
      <c r="F126" s="64"/>
      <c r="G126" s="64"/>
    </row>
    <row r="127" spans="1:7" s="50" customFormat="1" hidden="1" x14ac:dyDescent="0.25">
      <c r="A127" s="101"/>
      <c r="B127" s="63"/>
      <c r="C127" s="64"/>
      <c r="D127" s="64"/>
      <c r="E127" s="64"/>
      <c r="F127" s="64"/>
      <c r="G127" s="64"/>
    </row>
    <row r="128" spans="1:7" s="50" customFormat="1" hidden="1" x14ac:dyDescent="0.25">
      <c r="A128" s="101"/>
      <c r="B128" s="63"/>
      <c r="C128" s="64"/>
      <c r="D128" s="64"/>
      <c r="E128" s="64"/>
      <c r="F128" s="64"/>
      <c r="G128" s="64"/>
    </row>
    <row r="129" spans="1:7" s="50" customFormat="1" hidden="1" x14ac:dyDescent="0.25">
      <c r="A129" s="101"/>
      <c r="B129" s="63"/>
      <c r="C129" s="64"/>
      <c r="D129" s="64"/>
      <c r="E129" s="64"/>
      <c r="F129" s="64"/>
      <c r="G129" s="64"/>
    </row>
    <row r="130" spans="1:7" s="50" customFormat="1" hidden="1" x14ac:dyDescent="0.25">
      <c r="A130" s="101"/>
      <c r="B130" s="63"/>
      <c r="C130" s="64"/>
      <c r="D130" s="64"/>
      <c r="E130" s="64"/>
      <c r="F130" s="64"/>
      <c r="G130" s="64"/>
    </row>
    <row r="131" spans="1:7" s="50" customFormat="1" hidden="1" x14ac:dyDescent="0.25">
      <c r="A131" s="101"/>
      <c r="B131" s="63"/>
      <c r="C131" s="64"/>
      <c r="D131" s="64"/>
      <c r="E131" s="64"/>
      <c r="F131" s="64"/>
      <c r="G131" s="64"/>
    </row>
    <row r="132" spans="1:7" s="50" customFormat="1" hidden="1" x14ac:dyDescent="0.25">
      <c r="A132" s="101"/>
      <c r="B132" s="63"/>
      <c r="C132" s="64"/>
      <c r="D132" s="64"/>
      <c r="E132" s="64"/>
      <c r="F132" s="64"/>
      <c r="G132" s="64"/>
    </row>
    <row r="133" spans="1:7" s="50" customFormat="1" hidden="1" x14ac:dyDescent="0.25">
      <c r="A133" s="101"/>
      <c r="B133" s="63"/>
      <c r="C133" s="64"/>
      <c r="D133" s="64"/>
      <c r="E133" s="64"/>
      <c r="F133" s="64"/>
      <c r="G133" s="64"/>
    </row>
    <row r="134" spans="1:7" hidden="1" x14ac:dyDescent="0.25">
      <c r="A134" s="102"/>
      <c r="B134" s="59"/>
      <c r="C134" s="60"/>
      <c r="D134" s="60"/>
      <c r="E134" s="60"/>
      <c r="F134" s="60"/>
      <c r="G134" s="60"/>
    </row>
    <row r="135" spans="1:7" x14ac:dyDescent="0.25">
      <c r="A135" s="103"/>
      <c r="B135" s="68"/>
      <c r="C135" s="69"/>
      <c r="D135" s="69"/>
      <c r="E135" s="69"/>
      <c r="F135" s="69"/>
      <c r="G135" s="69"/>
    </row>
    <row r="136" spans="1:7" ht="43.5" customHeight="1" x14ac:dyDescent="0.25">
      <c r="A136" s="104"/>
      <c r="B136" s="567" t="s">
        <v>577</v>
      </c>
      <c r="C136" s="567"/>
      <c r="D136" s="567"/>
      <c r="E136" s="567"/>
      <c r="F136" s="567"/>
      <c r="G136" s="567"/>
    </row>
    <row r="137" spans="1:7" x14ac:dyDescent="0.25">
      <c r="B137" s="7" t="s">
        <v>508</v>
      </c>
      <c r="C137" s="7"/>
      <c r="D137" s="7"/>
      <c r="E137" s="7"/>
      <c r="F137" s="7"/>
      <c r="G137" s="7"/>
    </row>
    <row r="139" spans="1:7" x14ac:dyDescent="0.25">
      <c r="A139" s="568" t="s">
        <v>36</v>
      </c>
      <c r="B139" s="568"/>
      <c r="D139" s="568" t="s">
        <v>37</v>
      </c>
      <c r="E139" s="568"/>
      <c r="F139" s="568"/>
      <c r="G139" s="568"/>
    </row>
  </sheetData>
  <mergeCells count="30">
    <mergeCell ref="C9:G9"/>
    <mergeCell ref="A1:G1"/>
    <mergeCell ref="B3:G3"/>
    <mergeCell ref="C6:G6"/>
    <mergeCell ref="C7:G7"/>
    <mergeCell ref="C8:G8"/>
    <mergeCell ref="C26:G26"/>
    <mergeCell ref="C10:G10"/>
    <mergeCell ref="C15:G15"/>
    <mergeCell ref="C17:G17"/>
    <mergeCell ref="C18:G18"/>
    <mergeCell ref="C19:G19"/>
    <mergeCell ref="C20:G20"/>
    <mergeCell ref="C21:G21"/>
    <mergeCell ref="C22:G22"/>
    <mergeCell ref="C23:G23"/>
    <mergeCell ref="C24:G24"/>
    <mergeCell ref="C25:G25"/>
    <mergeCell ref="B136:G136"/>
    <mergeCell ref="A139:B139"/>
    <mergeCell ref="D139:G139"/>
    <mergeCell ref="C27:G27"/>
    <mergeCell ref="C28:G28"/>
    <mergeCell ref="B29:G29"/>
    <mergeCell ref="A31:A32"/>
    <mergeCell ref="B31:B32"/>
    <mergeCell ref="C31:D31"/>
    <mergeCell ref="E31:E32"/>
    <mergeCell ref="F31:F32"/>
    <mergeCell ref="G31:G32"/>
  </mergeCells>
  <printOptions horizontalCentered="1"/>
  <pageMargins left="0.19685039370078741" right="0.19685039370078741" top="0.59055118110236227" bottom="0.59055118110236227" header="0.31496062992125984" footer="0.31496062992125984"/>
  <pageSetup paperSize="9" orientation="portrait" r:id="rId1"/>
  <headerFooter>
    <oddFooter>&amp;C&amp;P/&amp;N</oddFooter>
  </headerFooter>
  <legacyDrawing r:id="rId2"/>
</worksheet>
</file>

<file path=xl/worksheets/sheet4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102"/>
  <sheetViews>
    <sheetView zoomScaleNormal="100" workbookViewId="0">
      <selection activeCell="N14" sqref="N14"/>
    </sheetView>
  </sheetViews>
  <sheetFormatPr defaultColWidth="9.140625" defaultRowHeight="18.75" x14ac:dyDescent="0.25"/>
  <cols>
    <col min="1" max="1" width="4.85546875" style="106" customWidth="1"/>
    <col min="2" max="2" width="43.28515625" style="434" customWidth="1"/>
    <col min="3" max="4" width="7.85546875" style="434" customWidth="1"/>
    <col min="5" max="8" width="11.7109375" style="434" customWidth="1"/>
    <col min="9" max="16384" width="9.140625" style="434"/>
  </cols>
  <sheetData>
    <row r="1" spans="1:8" ht="41.25" customHeight="1" x14ac:dyDescent="0.25">
      <c r="A1" s="569" t="s">
        <v>1074</v>
      </c>
      <c r="B1" s="570"/>
      <c r="C1" s="570"/>
      <c r="D1" s="570"/>
      <c r="E1" s="570"/>
      <c r="F1" s="570"/>
      <c r="G1" s="570"/>
      <c r="H1" s="570"/>
    </row>
    <row r="2" spans="1:8" x14ac:dyDescent="0.25">
      <c r="A2" s="105"/>
      <c r="B2" s="50"/>
      <c r="C2" s="50"/>
      <c r="D2" s="51"/>
      <c r="E2" s="51"/>
      <c r="F2" s="51"/>
      <c r="G2" s="51"/>
      <c r="H2" s="51"/>
    </row>
    <row r="3" spans="1:8" ht="40.5" customHeight="1" x14ac:dyDescent="0.25">
      <c r="B3" s="565" t="s">
        <v>1846</v>
      </c>
      <c r="C3" s="565"/>
      <c r="D3" s="565"/>
      <c r="E3" s="565"/>
      <c r="F3" s="565"/>
      <c r="G3" s="565"/>
      <c r="H3" s="565"/>
    </row>
    <row r="4" spans="1:8" x14ac:dyDescent="0.25">
      <c r="B4" s="434" t="s">
        <v>39</v>
      </c>
      <c r="D4" s="52"/>
      <c r="E4" s="52"/>
      <c r="F4" s="52"/>
      <c r="G4" s="52"/>
      <c r="H4" s="52"/>
    </row>
    <row r="5" spans="1:8" s="50" customFormat="1" x14ac:dyDescent="0.25">
      <c r="A5" s="105"/>
      <c r="B5" s="50" t="s">
        <v>18</v>
      </c>
    </row>
    <row r="6" spans="1:8" x14ac:dyDescent="0.25">
      <c r="B6" s="434" t="s">
        <v>23</v>
      </c>
      <c r="C6" s="566" t="s">
        <v>49</v>
      </c>
      <c r="D6" s="566"/>
      <c r="E6" s="566"/>
      <c r="F6" s="566"/>
      <c r="G6" s="566"/>
      <c r="H6" s="566"/>
    </row>
    <row r="7" spans="1:8" x14ac:dyDescent="0.25">
      <c r="B7" s="434" t="s">
        <v>19</v>
      </c>
      <c r="C7" s="566" t="s">
        <v>50</v>
      </c>
      <c r="D7" s="566"/>
      <c r="E7" s="566"/>
      <c r="F7" s="566"/>
      <c r="G7" s="566"/>
      <c r="H7" s="566"/>
    </row>
    <row r="8" spans="1:8" hidden="1" x14ac:dyDescent="0.25">
      <c r="B8" s="434" t="s">
        <v>90</v>
      </c>
      <c r="C8" s="566" t="s">
        <v>60</v>
      </c>
      <c r="D8" s="566"/>
      <c r="E8" s="566"/>
      <c r="F8" s="566"/>
      <c r="G8" s="566"/>
      <c r="H8" s="566"/>
    </row>
    <row r="9" spans="1:8" x14ac:dyDescent="0.25">
      <c r="B9" s="434" t="s">
        <v>59</v>
      </c>
      <c r="C9" s="566" t="s">
        <v>60</v>
      </c>
      <c r="D9" s="566"/>
      <c r="E9" s="566"/>
      <c r="F9" s="566"/>
      <c r="G9" s="566"/>
      <c r="H9" s="566"/>
    </row>
    <row r="10" spans="1:8" hidden="1" x14ac:dyDescent="0.25">
      <c r="B10" s="434" t="s">
        <v>20</v>
      </c>
      <c r="C10" s="566" t="s">
        <v>86</v>
      </c>
      <c r="D10" s="566"/>
      <c r="E10" s="566"/>
      <c r="F10" s="566"/>
      <c r="G10" s="566"/>
      <c r="H10" s="566"/>
    </row>
    <row r="11" spans="1:8" x14ac:dyDescent="0.25">
      <c r="B11" s="434" t="s">
        <v>1205</v>
      </c>
      <c r="C11" s="470" t="s">
        <v>87</v>
      </c>
      <c r="D11" s="470"/>
      <c r="E11" s="470"/>
      <c r="F11" s="470"/>
      <c r="G11" s="470"/>
      <c r="H11" s="470"/>
    </row>
    <row r="12" spans="1:8" hidden="1" x14ac:dyDescent="0.25">
      <c r="B12" s="434" t="s">
        <v>283</v>
      </c>
      <c r="C12" s="470" t="s">
        <v>88</v>
      </c>
      <c r="D12" s="470"/>
      <c r="E12" s="470"/>
      <c r="F12" s="470"/>
      <c r="G12" s="470"/>
      <c r="H12" s="470"/>
    </row>
    <row r="13" spans="1:8" hidden="1" x14ac:dyDescent="0.25">
      <c r="B13" s="434" t="s">
        <v>94</v>
      </c>
      <c r="C13" s="470" t="s">
        <v>95</v>
      </c>
      <c r="D13" s="470"/>
      <c r="E13" s="470"/>
      <c r="F13" s="470"/>
      <c r="G13" s="470"/>
      <c r="H13" s="470"/>
    </row>
    <row r="14" spans="1:8" x14ac:dyDescent="0.25">
      <c r="C14" s="470"/>
      <c r="D14" s="470"/>
      <c r="E14" s="470"/>
      <c r="F14" s="470"/>
      <c r="G14" s="470"/>
      <c r="H14" s="470"/>
    </row>
    <row r="15" spans="1:8" hidden="1" x14ac:dyDescent="0.25">
      <c r="B15" s="434" t="s">
        <v>21</v>
      </c>
      <c r="C15" s="566"/>
      <c r="D15" s="566"/>
      <c r="E15" s="566"/>
      <c r="F15" s="566"/>
      <c r="G15" s="566"/>
      <c r="H15" s="566"/>
    </row>
    <row r="16" spans="1:8" s="50" customFormat="1" x14ac:dyDescent="0.25">
      <c r="A16" s="105"/>
      <c r="B16" s="50" t="s">
        <v>335</v>
      </c>
    </row>
    <row r="17" spans="1:8" x14ac:dyDescent="0.25">
      <c r="B17" s="434" t="s">
        <v>337</v>
      </c>
      <c r="C17" s="566" t="s">
        <v>176</v>
      </c>
      <c r="D17" s="566"/>
      <c r="E17" s="566"/>
      <c r="F17" s="566"/>
      <c r="G17" s="566"/>
      <c r="H17" s="566"/>
    </row>
    <row r="18" spans="1:8" x14ac:dyDescent="0.25">
      <c r="B18" s="434" t="s">
        <v>338</v>
      </c>
      <c r="C18" s="566" t="s">
        <v>334</v>
      </c>
      <c r="D18" s="566"/>
      <c r="E18" s="566"/>
      <c r="F18" s="566"/>
      <c r="G18" s="566"/>
      <c r="H18" s="566"/>
    </row>
    <row r="19" spans="1:8" x14ac:dyDescent="0.25">
      <c r="B19" s="434" t="s">
        <v>339</v>
      </c>
      <c r="C19" s="566" t="s">
        <v>340</v>
      </c>
      <c r="D19" s="566"/>
      <c r="E19" s="566"/>
      <c r="F19" s="566"/>
      <c r="G19" s="566"/>
      <c r="H19" s="566"/>
    </row>
    <row r="20" spans="1:8" x14ac:dyDescent="0.25">
      <c r="B20" s="434" t="s">
        <v>341</v>
      </c>
      <c r="C20" s="566" t="s">
        <v>342</v>
      </c>
      <c r="D20" s="566"/>
      <c r="E20" s="566"/>
      <c r="F20" s="566"/>
      <c r="G20" s="566"/>
      <c r="H20" s="566"/>
    </row>
    <row r="21" spans="1:8" x14ac:dyDescent="0.25">
      <c r="B21" s="434" t="s">
        <v>343</v>
      </c>
      <c r="C21" s="566" t="s">
        <v>344</v>
      </c>
      <c r="D21" s="566"/>
      <c r="E21" s="566"/>
      <c r="F21" s="566"/>
      <c r="G21" s="566"/>
      <c r="H21" s="566"/>
    </row>
    <row r="22" spans="1:8" x14ac:dyDescent="0.25">
      <c r="B22" s="434" t="s">
        <v>345</v>
      </c>
      <c r="C22" s="566" t="s">
        <v>108</v>
      </c>
      <c r="D22" s="566"/>
      <c r="E22" s="566"/>
      <c r="F22" s="566"/>
      <c r="G22" s="566"/>
      <c r="H22" s="566"/>
    </row>
    <row r="23" spans="1:8" x14ac:dyDescent="0.25">
      <c r="B23" s="434" t="s">
        <v>355</v>
      </c>
      <c r="C23" s="566" t="s">
        <v>346</v>
      </c>
      <c r="D23" s="566"/>
      <c r="E23" s="566"/>
      <c r="F23" s="566"/>
      <c r="G23" s="566"/>
      <c r="H23" s="566"/>
    </row>
    <row r="24" spans="1:8" x14ac:dyDescent="0.25">
      <c r="B24" s="434" t="s">
        <v>356</v>
      </c>
      <c r="C24" s="566" t="s">
        <v>108</v>
      </c>
      <c r="D24" s="566"/>
      <c r="E24" s="566"/>
      <c r="F24" s="566"/>
      <c r="G24" s="566"/>
      <c r="H24" s="566"/>
    </row>
    <row r="25" spans="1:8" x14ac:dyDescent="0.25">
      <c r="B25" s="434" t="s">
        <v>1843</v>
      </c>
      <c r="C25" s="566" t="s">
        <v>1844</v>
      </c>
      <c r="D25" s="566"/>
      <c r="E25" s="566"/>
      <c r="F25" s="566"/>
      <c r="G25" s="566"/>
      <c r="H25" s="566"/>
    </row>
    <row r="26" spans="1:8" ht="19.5" customHeight="1" x14ac:dyDescent="0.25">
      <c r="B26" s="434" t="s">
        <v>570</v>
      </c>
      <c r="C26" s="566" t="s">
        <v>108</v>
      </c>
      <c r="D26" s="566"/>
      <c r="E26" s="566"/>
      <c r="F26" s="566"/>
      <c r="G26" s="566"/>
      <c r="H26" s="566"/>
    </row>
    <row r="27" spans="1:8" ht="19.5" customHeight="1" x14ac:dyDescent="0.25">
      <c r="B27" s="434" t="s">
        <v>542</v>
      </c>
      <c r="C27" s="566" t="s">
        <v>108</v>
      </c>
      <c r="D27" s="566"/>
      <c r="E27" s="566"/>
      <c r="F27" s="566"/>
      <c r="G27" s="566"/>
      <c r="H27" s="566"/>
    </row>
    <row r="28" spans="1:8" ht="19.5" customHeight="1" x14ac:dyDescent="0.25">
      <c r="B28" s="434" t="s">
        <v>1845</v>
      </c>
      <c r="C28" s="507" t="s">
        <v>108</v>
      </c>
      <c r="D28" s="507"/>
      <c r="E28" s="507"/>
      <c r="F28" s="507"/>
      <c r="G28" s="507"/>
      <c r="H28" s="507"/>
    </row>
    <row r="29" spans="1:8" ht="41.25" customHeight="1" x14ac:dyDescent="0.25">
      <c r="B29" s="556" t="s">
        <v>1073</v>
      </c>
      <c r="C29" s="556"/>
      <c r="D29" s="556"/>
      <c r="E29" s="556"/>
      <c r="F29" s="556"/>
      <c r="G29" s="556"/>
      <c r="H29" s="556"/>
    </row>
    <row r="30" spans="1:8" ht="19.5" customHeight="1" x14ac:dyDescent="0.25">
      <c r="A30" s="108"/>
      <c r="H30" s="54" t="s">
        <v>61</v>
      </c>
    </row>
    <row r="31" spans="1:8" s="471" customFormat="1" ht="75" x14ac:dyDescent="0.25">
      <c r="A31" s="508" t="s">
        <v>62</v>
      </c>
      <c r="B31" s="509" t="s">
        <v>2</v>
      </c>
      <c r="C31" s="509" t="s">
        <v>17</v>
      </c>
      <c r="D31" s="509" t="s">
        <v>464</v>
      </c>
      <c r="E31" s="506" t="s">
        <v>1099</v>
      </c>
      <c r="F31" s="506" t="s">
        <v>9</v>
      </c>
      <c r="G31" s="506" t="s">
        <v>461</v>
      </c>
      <c r="H31" s="506" t="s">
        <v>1046</v>
      </c>
    </row>
    <row r="32" spans="1:8" s="50" customFormat="1" x14ac:dyDescent="0.25">
      <c r="A32" s="508"/>
      <c r="B32" s="509" t="s">
        <v>1853</v>
      </c>
      <c r="C32" s="57"/>
      <c r="D32" s="57"/>
      <c r="E32" s="57">
        <f>E33+E76+E95</f>
        <v>102143</v>
      </c>
      <c r="F32" s="57">
        <f t="shared" ref="F32:H32" si="0">F33+F76+F95</f>
        <v>113216</v>
      </c>
      <c r="G32" s="57">
        <f t="shared" si="0"/>
        <v>113451</v>
      </c>
      <c r="H32" s="57">
        <f t="shared" si="0"/>
        <v>114201</v>
      </c>
    </row>
    <row r="33" spans="1:8" s="50" customFormat="1" ht="21" customHeight="1" x14ac:dyDescent="0.25">
      <c r="A33" s="110" t="s">
        <v>51</v>
      </c>
      <c r="B33" s="97" t="s">
        <v>348</v>
      </c>
      <c r="C33" s="98"/>
      <c r="D33" s="98"/>
      <c r="E33" s="98">
        <f>E34+E75</f>
        <v>48319</v>
      </c>
      <c r="F33" s="98">
        <f>F34+F75</f>
        <v>55000</v>
      </c>
      <c r="G33" s="98">
        <f t="shared" ref="G33:H33" si="1">G34+G75</f>
        <v>55314</v>
      </c>
      <c r="H33" s="98">
        <f t="shared" si="1"/>
        <v>55628</v>
      </c>
    </row>
    <row r="34" spans="1:8" ht="37.5" x14ac:dyDescent="0.25">
      <c r="A34" s="102">
        <v>1</v>
      </c>
      <c r="B34" s="438" t="s">
        <v>1847</v>
      </c>
      <c r="C34" s="439"/>
      <c r="D34" s="439"/>
      <c r="E34" s="439">
        <v>11394</v>
      </c>
      <c r="F34" s="439">
        <v>12200</v>
      </c>
      <c r="G34" s="439">
        <f>ROUND(F34+43*7.3,0)</f>
        <v>12514</v>
      </c>
      <c r="H34" s="439">
        <f>ROUND(G34+43*7.3,0)</f>
        <v>12828</v>
      </c>
    </row>
    <row r="35" spans="1:8" s="454" customFormat="1" ht="21" hidden="1" customHeight="1" x14ac:dyDescent="0.25">
      <c r="A35" s="111" t="s">
        <v>51</v>
      </c>
      <c r="B35" s="442" t="s">
        <v>336</v>
      </c>
      <c r="C35" s="453"/>
      <c r="D35" s="453"/>
      <c r="E35" s="453">
        <f>E36+E45</f>
        <v>5278</v>
      </c>
      <c r="F35" s="453">
        <f t="shared" ref="F35:H35" si="2">F36+F45</f>
        <v>4686</v>
      </c>
      <c r="G35" s="453">
        <f t="shared" si="2"/>
        <v>4810</v>
      </c>
      <c r="H35" s="453">
        <f t="shared" si="2"/>
        <v>4934</v>
      </c>
    </row>
    <row r="36" spans="1:8" s="454" customFormat="1" ht="21" hidden="1" customHeight="1" x14ac:dyDescent="0.25">
      <c r="A36" s="111">
        <v>1</v>
      </c>
      <c r="B36" s="442" t="s">
        <v>565</v>
      </c>
      <c r="C36" s="453">
        <v>52</v>
      </c>
      <c r="D36" s="453">
        <v>38</v>
      </c>
      <c r="E36" s="453">
        <f>E38+E41-E42</f>
        <v>4453</v>
      </c>
      <c r="F36" s="453">
        <f>F38+F41-F42</f>
        <v>4686</v>
      </c>
      <c r="G36" s="453">
        <f t="shared" ref="G36:H36" si="3">G38+G41-G42</f>
        <v>4810</v>
      </c>
      <c r="H36" s="453">
        <f t="shared" si="3"/>
        <v>4934</v>
      </c>
    </row>
    <row r="37" spans="1:8" s="107" customFormat="1" hidden="1" x14ac:dyDescent="0.25">
      <c r="A37" s="118"/>
      <c r="B37" s="438" t="s">
        <v>560</v>
      </c>
      <c r="C37" s="440"/>
      <c r="D37" s="440"/>
      <c r="E37" s="440">
        <v>1409</v>
      </c>
      <c r="F37" s="440">
        <v>1516</v>
      </c>
      <c r="G37" s="440">
        <f>E37</f>
        <v>1409</v>
      </c>
      <c r="H37" s="440">
        <f>G37</f>
        <v>1409</v>
      </c>
    </row>
    <row r="38" spans="1:8" s="107" customFormat="1" ht="37.5" hidden="1" x14ac:dyDescent="0.25">
      <c r="A38" s="118" t="s">
        <v>53</v>
      </c>
      <c r="B38" s="451" t="s">
        <v>1644</v>
      </c>
      <c r="C38" s="440"/>
      <c r="D38" s="440"/>
      <c r="E38" s="440">
        <v>4000</v>
      </c>
      <c r="F38" s="440">
        <f>SUM(F39:F40)</f>
        <v>4316</v>
      </c>
      <c r="G38" s="440">
        <f t="shared" ref="G38:H38" si="4">SUM(G39:G40)</f>
        <v>4440</v>
      </c>
      <c r="H38" s="440">
        <f t="shared" si="4"/>
        <v>4564</v>
      </c>
    </row>
    <row r="39" spans="1:8" s="107" customFormat="1" hidden="1" x14ac:dyDescent="0.25">
      <c r="A39" s="118"/>
      <c r="B39" s="451" t="s">
        <v>1645</v>
      </c>
      <c r="C39" s="440"/>
      <c r="D39" s="440"/>
      <c r="E39" s="440"/>
      <c r="F39" s="440">
        <v>3593</v>
      </c>
      <c r="G39" s="184">
        <f>ROUND(F39+17*7.3,0)</f>
        <v>3717</v>
      </c>
      <c r="H39" s="184">
        <f>ROUND(G39+17*7.3,0)</f>
        <v>3841</v>
      </c>
    </row>
    <row r="40" spans="1:8" s="107" customFormat="1" hidden="1" x14ac:dyDescent="0.25">
      <c r="A40" s="118"/>
      <c r="B40" s="451" t="s">
        <v>1646</v>
      </c>
      <c r="C40" s="440"/>
      <c r="D40" s="440"/>
      <c r="E40" s="440"/>
      <c r="F40" s="440">
        <v>723</v>
      </c>
      <c r="G40" s="184">
        <f>F40</f>
        <v>723</v>
      </c>
      <c r="H40" s="184">
        <f>G40</f>
        <v>723</v>
      </c>
    </row>
    <row r="41" spans="1:8" s="107" customFormat="1" hidden="1" x14ac:dyDescent="0.25">
      <c r="A41" s="118" t="s">
        <v>54</v>
      </c>
      <c r="B41" s="451" t="s">
        <v>1488</v>
      </c>
      <c r="C41" s="440">
        <v>52</v>
      </c>
      <c r="D41" s="440"/>
      <c r="E41" s="440">
        <f>C41*19</f>
        <v>988</v>
      </c>
      <c r="F41" s="440">
        <f>C41*19</f>
        <v>988</v>
      </c>
      <c r="G41" s="440">
        <f>F41</f>
        <v>988</v>
      </c>
      <c r="H41" s="440">
        <f t="shared" ref="H41" si="5">G41</f>
        <v>988</v>
      </c>
    </row>
    <row r="42" spans="1:8" s="107" customFormat="1" hidden="1" x14ac:dyDescent="0.25">
      <c r="A42" s="118" t="s">
        <v>55</v>
      </c>
      <c r="B42" s="451" t="s">
        <v>1092</v>
      </c>
      <c r="C42" s="440"/>
      <c r="D42" s="440"/>
      <c r="E42" s="440">
        <f>SUM(E43:E44)</f>
        <v>535</v>
      </c>
      <c r="F42" s="440">
        <f t="shared" ref="F42:H42" si="6">SUM(F43:F44)</f>
        <v>618</v>
      </c>
      <c r="G42" s="440">
        <f t="shared" si="6"/>
        <v>618</v>
      </c>
      <c r="H42" s="440">
        <f t="shared" si="6"/>
        <v>618</v>
      </c>
    </row>
    <row r="43" spans="1:8" s="107" customFormat="1" hidden="1" x14ac:dyDescent="0.25">
      <c r="A43" s="118"/>
      <c r="B43" s="451" t="s">
        <v>969</v>
      </c>
      <c r="C43" s="440"/>
      <c r="D43" s="440"/>
      <c r="E43" s="440">
        <v>97</v>
      </c>
      <c r="F43" s="440">
        <v>98</v>
      </c>
      <c r="G43" s="440">
        <f>F43</f>
        <v>98</v>
      </c>
      <c r="H43" s="440">
        <f>G43</f>
        <v>98</v>
      </c>
    </row>
    <row r="44" spans="1:8" s="107" customFormat="1" hidden="1" x14ac:dyDescent="0.25">
      <c r="A44" s="118"/>
      <c r="B44" s="451" t="s">
        <v>968</v>
      </c>
      <c r="C44" s="440"/>
      <c r="D44" s="440"/>
      <c r="E44" s="440">
        <v>438</v>
      </c>
      <c r="F44" s="481">
        <f>1300*0.4</f>
        <v>520</v>
      </c>
      <c r="G44" s="440">
        <f>F44</f>
        <v>520</v>
      </c>
      <c r="H44" s="440">
        <f>G44</f>
        <v>520</v>
      </c>
    </row>
    <row r="45" spans="1:8" s="454" customFormat="1" hidden="1" x14ac:dyDescent="0.25">
      <c r="A45" s="111">
        <v>2</v>
      </c>
      <c r="B45" s="442" t="s">
        <v>350</v>
      </c>
      <c r="C45" s="440"/>
      <c r="D45" s="453"/>
      <c r="E45" s="453">
        <f>E46+E47</f>
        <v>825</v>
      </c>
      <c r="F45" s="453">
        <f t="shared" ref="F45:H45" si="7">F46+F47</f>
        <v>0</v>
      </c>
      <c r="G45" s="453">
        <f t="shared" si="7"/>
        <v>0</v>
      </c>
      <c r="H45" s="453">
        <f t="shared" si="7"/>
        <v>0</v>
      </c>
    </row>
    <row r="46" spans="1:8" s="107" customFormat="1" hidden="1" x14ac:dyDescent="0.25">
      <c r="A46" s="118" t="s">
        <v>99</v>
      </c>
      <c r="B46" s="451" t="s">
        <v>566</v>
      </c>
      <c r="C46" s="440"/>
      <c r="D46" s="440"/>
      <c r="E46" s="440">
        <v>600</v>
      </c>
      <c r="F46" s="440"/>
      <c r="G46" s="440">
        <f>F46</f>
        <v>0</v>
      </c>
      <c r="H46" s="440">
        <f>G46</f>
        <v>0</v>
      </c>
    </row>
    <row r="47" spans="1:8" s="107" customFormat="1" hidden="1" x14ac:dyDescent="0.25">
      <c r="A47" s="118" t="s">
        <v>99</v>
      </c>
      <c r="B47" s="451" t="s">
        <v>571</v>
      </c>
      <c r="C47" s="440"/>
      <c r="D47" s="440"/>
      <c r="E47" s="440">
        <v>225</v>
      </c>
      <c r="F47" s="440"/>
      <c r="G47" s="440">
        <f>F47</f>
        <v>0</v>
      </c>
      <c r="H47" s="440">
        <f>G47</f>
        <v>0</v>
      </c>
    </row>
    <row r="48" spans="1:8" s="454" customFormat="1" ht="21" hidden="1" customHeight="1" x14ac:dyDescent="0.25">
      <c r="A48" s="111" t="s">
        <v>52</v>
      </c>
      <c r="B48" s="442" t="s">
        <v>352</v>
      </c>
      <c r="C48" s="453"/>
      <c r="D48" s="453"/>
      <c r="E48" s="453">
        <f>E49+E58</f>
        <v>3254</v>
      </c>
      <c r="F48" s="453">
        <f>F49+F58</f>
        <v>3031</v>
      </c>
      <c r="G48" s="453">
        <f>G49+G58</f>
        <v>3104</v>
      </c>
      <c r="H48" s="453">
        <f>H49+H58</f>
        <v>3177</v>
      </c>
    </row>
    <row r="49" spans="1:8" s="454" customFormat="1" ht="21" hidden="1" customHeight="1" x14ac:dyDescent="0.25">
      <c r="A49" s="111">
        <v>1</v>
      </c>
      <c r="B49" s="442" t="s">
        <v>565</v>
      </c>
      <c r="C49" s="453">
        <v>30</v>
      </c>
      <c r="D49" s="453">
        <v>21</v>
      </c>
      <c r="E49" s="453">
        <f>E51+E54-E55</f>
        <v>2679</v>
      </c>
      <c r="F49" s="453">
        <f t="shared" ref="F49:H49" si="8">F51+F54-F55</f>
        <v>3031</v>
      </c>
      <c r="G49" s="453">
        <f t="shared" si="8"/>
        <v>3104</v>
      </c>
      <c r="H49" s="453">
        <f t="shared" si="8"/>
        <v>3177</v>
      </c>
    </row>
    <row r="50" spans="1:8" s="107" customFormat="1" hidden="1" x14ac:dyDescent="0.25">
      <c r="A50" s="118"/>
      <c r="B50" s="438" t="s">
        <v>560</v>
      </c>
      <c r="C50" s="440"/>
      <c r="D50" s="440"/>
      <c r="E50" s="440">
        <v>800</v>
      </c>
      <c r="F50" s="440">
        <v>263</v>
      </c>
      <c r="G50" s="440">
        <f>E50</f>
        <v>800</v>
      </c>
      <c r="H50" s="440">
        <f>G50</f>
        <v>800</v>
      </c>
    </row>
    <row r="51" spans="1:8" s="107" customFormat="1" ht="37.5" hidden="1" x14ac:dyDescent="0.25">
      <c r="A51" s="118" t="s">
        <v>53</v>
      </c>
      <c r="B51" s="451" t="s">
        <v>1644</v>
      </c>
      <c r="C51" s="440"/>
      <c r="D51" s="440"/>
      <c r="E51" s="440">
        <v>2285</v>
      </c>
      <c r="F51" s="440">
        <f>SUM(F52:F53)</f>
        <v>2583</v>
      </c>
      <c r="G51" s="440">
        <f t="shared" ref="G51" si="9">SUM(G52:G53)</f>
        <v>2656</v>
      </c>
      <c r="H51" s="440">
        <f t="shared" ref="H51" si="10">SUM(H52:H53)</f>
        <v>2729</v>
      </c>
    </row>
    <row r="52" spans="1:8" s="107" customFormat="1" hidden="1" x14ac:dyDescent="0.25">
      <c r="A52" s="118"/>
      <c r="B52" s="451" t="s">
        <v>1118</v>
      </c>
      <c r="C52" s="440"/>
      <c r="D52" s="440"/>
      <c r="E52" s="440"/>
      <c r="F52" s="440">
        <v>2118</v>
      </c>
      <c r="G52" s="184">
        <f>ROUND(F52+10*7.3,0)</f>
        <v>2191</v>
      </c>
      <c r="H52" s="184">
        <f>ROUND(G52+10*7.3,0)</f>
        <v>2264</v>
      </c>
    </row>
    <row r="53" spans="1:8" s="107" customFormat="1" hidden="1" x14ac:dyDescent="0.25">
      <c r="A53" s="118"/>
      <c r="B53" s="451" t="s">
        <v>1647</v>
      </c>
      <c r="C53" s="440"/>
      <c r="D53" s="440"/>
      <c r="E53" s="440"/>
      <c r="F53" s="440">
        <v>465</v>
      </c>
      <c r="G53" s="184">
        <f>F53</f>
        <v>465</v>
      </c>
      <c r="H53" s="184">
        <f>G53</f>
        <v>465</v>
      </c>
    </row>
    <row r="54" spans="1:8" s="107" customFormat="1" hidden="1" x14ac:dyDescent="0.25">
      <c r="A54" s="118" t="s">
        <v>54</v>
      </c>
      <c r="B54" s="451" t="s">
        <v>1488</v>
      </c>
      <c r="C54" s="440">
        <v>30</v>
      </c>
      <c r="D54" s="440"/>
      <c r="E54" s="440">
        <f>C54*19</f>
        <v>570</v>
      </c>
      <c r="F54" s="440">
        <f>C54*19</f>
        <v>570</v>
      </c>
      <c r="G54" s="440">
        <f>F54</f>
        <v>570</v>
      </c>
      <c r="H54" s="440">
        <f t="shared" ref="H54" si="11">G54</f>
        <v>570</v>
      </c>
    </row>
    <row r="55" spans="1:8" s="107" customFormat="1" hidden="1" x14ac:dyDescent="0.25">
      <c r="A55" s="118" t="s">
        <v>55</v>
      </c>
      <c r="B55" s="451" t="s">
        <v>1092</v>
      </c>
      <c r="C55" s="440"/>
      <c r="D55" s="440"/>
      <c r="E55" s="440">
        <f>SUM(E56:E57)</f>
        <v>176</v>
      </c>
      <c r="F55" s="440">
        <f t="shared" ref="F55" si="12">SUM(F56:F57)</f>
        <v>122</v>
      </c>
      <c r="G55" s="440">
        <f t="shared" ref="G55" si="13">SUM(G56:G57)</f>
        <v>122</v>
      </c>
      <c r="H55" s="440">
        <f t="shared" ref="H55" si="14">SUM(H56:H57)</f>
        <v>122</v>
      </c>
    </row>
    <row r="56" spans="1:8" s="107" customFormat="1" hidden="1" x14ac:dyDescent="0.25">
      <c r="A56" s="118"/>
      <c r="B56" s="451" t="s">
        <v>969</v>
      </c>
      <c r="C56" s="440"/>
      <c r="D56" s="440"/>
      <c r="E56" s="440">
        <v>56</v>
      </c>
      <c r="F56" s="440">
        <v>57</v>
      </c>
      <c r="G56" s="440">
        <f>F56</f>
        <v>57</v>
      </c>
      <c r="H56" s="440">
        <f>G56</f>
        <v>57</v>
      </c>
    </row>
    <row r="57" spans="1:8" s="107" customFormat="1" hidden="1" x14ac:dyDescent="0.25">
      <c r="A57" s="118"/>
      <c r="B57" s="451" t="s">
        <v>968</v>
      </c>
      <c r="C57" s="440"/>
      <c r="D57" s="440"/>
      <c r="E57" s="440">
        <v>120</v>
      </c>
      <c r="F57" s="481">
        <f>ROUND((163*40%),0)</f>
        <v>65</v>
      </c>
      <c r="G57" s="440">
        <f>F57</f>
        <v>65</v>
      </c>
      <c r="H57" s="440">
        <f>G57</f>
        <v>65</v>
      </c>
    </row>
    <row r="58" spans="1:8" s="454" customFormat="1" hidden="1" x14ac:dyDescent="0.25">
      <c r="A58" s="111">
        <v>2</v>
      </c>
      <c r="B58" s="442" t="s">
        <v>350</v>
      </c>
      <c r="C58" s="440"/>
      <c r="D58" s="453"/>
      <c r="E58" s="453">
        <f>SUM(E59:E61)</f>
        <v>575</v>
      </c>
      <c r="F58" s="453">
        <f t="shared" ref="F58:H58" si="15">SUM(F59:F61)</f>
        <v>0</v>
      </c>
      <c r="G58" s="453">
        <f t="shared" si="15"/>
        <v>0</v>
      </c>
      <c r="H58" s="453">
        <f t="shared" si="15"/>
        <v>0</v>
      </c>
    </row>
    <row r="59" spans="1:8" s="107" customFormat="1" hidden="1" x14ac:dyDescent="0.25">
      <c r="A59" s="118" t="s">
        <v>99</v>
      </c>
      <c r="B59" s="451" t="s">
        <v>566</v>
      </c>
      <c r="C59" s="440"/>
      <c r="D59" s="440"/>
      <c r="E59" s="440">
        <v>260</v>
      </c>
      <c r="F59" s="440"/>
      <c r="G59" s="440">
        <f t="shared" ref="G59:H59" si="16">F59</f>
        <v>0</v>
      </c>
      <c r="H59" s="440">
        <f t="shared" si="16"/>
        <v>0</v>
      </c>
    </row>
    <row r="60" spans="1:8" s="107" customFormat="1" hidden="1" x14ac:dyDescent="0.25">
      <c r="A60" s="118" t="s">
        <v>99</v>
      </c>
      <c r="B60" s="451" t="s">
        <v>568</v>
      </c>
      <c r="C60" s="440"/>
      <c r="D60" s="440"/>
      <c r="E60" s="440">
        <v>90</v>
      </c>
      <c r="F60" s="440"/>
      <c r="G60" s="440">
        <f t="shared" ref="G60:H60" si="17">F60</f>
        <v>0</v>
      </c>
      <c r="H60" s="440">
        <f t="shared" si="17"/>
        <v>0</v>
      </c>
    </row>
    <row r="61" spans="1:8" s="107" customFormat="1" hidden="1" x14ac:dyDescent="0.25">
      <c r="A61" s="118" t="s">
        <v>99</v>
      </c>
      <c r="B61" s="451" t="s">
        <v>571</v>
      </c>
      <c r="C61" s="440"/>
      <c r="D61" s="440"/>
      <c r="E61" s="440">
        <v>225</v>
      </c>
      <c r="F61" s="440"/>
      <c r="G61" s="440">
        <f t="shared" ref="G61:H61" si="18">F61</f>
        <v>0</v>
      </c>
      <c r="H61" s="440">
        <f t="shared" si="18"/>
        <v>0</v>
      </c>
    </row>
    <row r="62" spans="1:8" s="454" customFormat="1" ht="21" hidden="1" customHeight="1" x14ac:dyDescent="0.25">
      <c r="A62" s="111" t="s">
        <v>147</v>
      </c>
      <c r="B62" s="442" t="s">
        <v>353</v>
      </c>
      <c r="C62" s="453"/>
      <c r="D62" s="453"/>
      <c r="E62" s="453">
        <f>E63+E72</f>
        <v>4787</v>
      </c>
      <c r="F62" s="453">
        <f>F63+F72</f>
        <v>4500</v>
      </c>
      <c r="G62" s="453">
        <f>G63+G72</f>
        <v>4610</v>
      </c>
      <c r="H62" s="453">
        <f>H63+H72</f>
        <v>4720</v>
      </c>
    </row>
    <row r="63" spans="1:8" s="454" customFormat="1" ht="21" hidden="1" customHeight="1" x14ac:dyDescent="0.25">
      <c r="A63" s="111">
        <v>1</v>
      </c>
      <c r="B63" s="442" t="s">
        <v>565</v>
      </c>
      <c r="C63" s="453">
        <v>47</v>
      </c>
      <c r="D63" s="453">
        <v>39</v>
      </c>
      <c r="E63" s="453">
        <f>E65+E68-E69</f>
        <v>4262</v>
      </c>
      <c r="F63" s="453">
        <f t="shared" ref="F63:H63" si="19">F65+F68-F69</f>
        <v>4500</v>
      </c>
      <c r="G63" s="453">
        <f t="shared" si="19"/>
        <v>4610</v>
      </c>
      <c r="H63" s="453">
        <f t="shared" si="19"/>
        <v>4720</v>
      </c>
    </row>
    <row r="64" spans="1:8" s="107" customFormat="1" hidden="1" x14ac:dyDescent="0.25">
      <c r="A64" s="118"/>
      <c r="B64" s="438" t="s">
        <v>560</v>
      </c>
      <c r="C64" s="440"/>
      <c r="D64" s="440"/>
      <c r="E64" s="440">
        <f>855+4+77</f>
        <v>936</v>
      </c>
      <c r="F64" s="440">
        <v>1032</v>
      </c>
      <c r="G64" s="440">
        <f>E64</f>
        <v>936</v>
      </c>
      <c r="H64" s="440">
        <f>G64</f>
        <v>936</v>
      </c>
    </row>
    <row r="65" spans="1:8" s="107" customFormat="1" ht="37.5" hidden="1" x14ac:dyDescent="0.25">
      <c r="A65" s="118" t="s">
        <v>53</v>
      </c>
      <c r="B65" s="451" t="s">
        <v>1644</v>
      </c>
      <c r="C65" s="440"/>
      <c r="D65" s="440"/>
      <c r="E65" s="440">
        <v>3800</v>
      </c>
      <c r="F65" s="440">
        <f>SUM(F66:F67)</f>
        <v>4083</v>
      </c>
      <c r="G65" s="440">
        <f t="shared" ref="G65" si="20">SUM(G66:G67)</f>
        <v>4193</v>
      </c>
      <c r="H65" s="440">
        <f t="shared" ref="H65" si="21">SUM(H66:H67)</f>
        <v>4303</v>
      </c>
    </row>
    <row r="66" spans="1:8" s="107" customFormat="1" hidden="1" x14ac:dyDescent="0.25">
      <c r="A66" s="118"/>
      <c r="B66" s="451" t="s">
        <v>1648</v>
      </c>
      <c r="C66" s="440"/>
      <c r="D66" s="440"/>
      <c r="E66" s="440"/>
      <c r="F66" s="440">
        <v>3670</v>
      </c>
      <c r="G66" s="184">
        <f>ROUND(F66+15*7.3,0)</f>
        <v>3780</v>
      </c>
      <c r="H66" s="184">
        <f>ROUND(G66+15*7.3,0)</f>
        <v>3890</v>
      </c>
    </row>
    <row r="67" spans="1:8" s="107" customFormat="1" hidden="1" x14ac:dyDescent="0.25">
      <c r="A67" s="118"/>
      <c r="B67" s="451" t="s">
        <v>1649</v>
      </c>
      <c r="C67" s="440"/>
      <c r="D67" s="440"/>
      <c r="E67" s="440"/>
      <c r="F67" s="440">
        <v>413</v>
      </c>
      <c r="G67" s="184">
        <f>F67</f>
        <v>413</v>
      </c>
      <c r="H67" s="184">
        <f>G67</f>
        <v>413</v>
      </c>
    </row>
    <row r="68" spans="1:8" s="107" customFormat="1" hidden="1" x14ac:dyDescent="0.25">
      <c r="A68" s="118" t="s">
        <v>54</v>
      </c>
      <c r="B68" s="451" t="s">
        <v>1488</v>
      </c>
      <c r="C68" s="440">
        <v>47</v>
      </c>
      <c r="D68" s="440"/>
      <c r="E68" s="440">
        <v>893</v>
      </c>
      <c r="F68" s="440">
        <f>C68*19</f>
        <v>893</v>
      </c>
      <c r="G68" s="440">
        <f>F68</f>
        <v>893</v>
      </c>
      <c r="H68" s="440">
        <f t="shared" ref="H68" si="22">G68</f>
        <v>893</v>
      </c>
    </row>
    <row r="69" spans="1:8" s="107" customFormat="1" hidden="1" x14ac:dyDescent="0.25">
      <c r="A69" s="118" t="s">
        <v>55</v>
      </c>
      <c r="B69" s="451" t="s">
        <v>1092</v>
      </c>
      <c r="C69" s="440"/>
      <c r="D69" s="440"/>
      <c r="E69" s="440">
        <f>SUM(E70:E71)</f>
        <v>431</v>
      </c>
      <c r="F69" s="440">
        <f t="shared" ref="F69" si="23">SUM(F70:F71)</f>
        <v>476</v>
      </c>
      <c r="G69" s="440">
        <f t="shared" ref="G69" si="24">SUM(G70:G71)</f>
        <v>476</v>
      </c>
      <c r="H69" s="440">
        <f t="shared" ref="H69" si="25">SUM(H70:H71)</f>
        <v>476</v>
      </c>
    </row>
    <row r="70" spans="1:8" s="107" customFormat="1" hidden="1" x14ac:dyDescent="0.25">
      <c r="A70" s="118"/>
      <c r="B70" s="451" t="s">
        <v>969</v>
      </c>
      <c r="C70" s="440"/>
      <c r="D70" s="440"/>
      <c r="E70" s="440">
        <v>89</v>
      </c>
      <c r="F70" s="440">
        <v>89</v>
      </c>
      <c r="G70" s="440">
        <f>F70</f>
        <v>89</v>
      </c>
      <c r="H70" s="440">
        <f>G70</f>
        <v>89</v>
      </c>
    </row>
    <row r="71" spans="1:8" s="107" customFormat="1" hidden="1" x14ac:dyDescent="0.25">
      <c r="A71" s="118"/>
      <c r="B71" s="451" t="s">
        <v>968</v>
      </c>
      <c r="C71" s="440"/>
      <c r="D71" s="440"/>
      <c r="E71" s="440">
        <v>342</v>
      </c>
      <c r="F71" s="481">
        <f>ROUND((967*40%),0)</f>
        <v>387</v>
      </c>
      <c r="G71" s="440">
        <f>F71</f>
        <v>387</v>
      </c>
      <c r="H71" s="440">
        <f>G71</f>
        <v>387</v>
      </c>
    </row>
    <row r="72" spans="1:8" s="454" customFormat="1" hidden="1" x14ac:dyDescent="0.25">
      <c r="A72" s="111">
        <v>2</v>
      </c>
      <c r="B72" s="442" t="s">
        <v>350</v>
      </c>
      <c r="C72" s="440"/>
      <c r="D72" s="453"/>
      <c r="E72" s="453">
        <f>E73+E74</f>
        <v>525</v>
      </c>
      <c r="F72" s="453">
        <f t="shared" ref="F72:H72" si="26">F73+F74</f>
        <v>0</v>
      </c>
      <c r="G72" s="453">
        <f t="shared" si="26"/>
        <v>0</v>
      </c>
      <c r="H72" s="453">
        <f t="shared" si="26"/>
        <v>0</v>
      </c>
    </row>
    <row r="73" spans="1:8" s="107" customFormat="1" hidden="1" x14ac:dyDescent="0.25">
      <c r="A73" s="118" t="s">
        <v>99</v>
      </c>
      <c r="B73" s="451" t="s">
        <v>566</v>
      </c>
      <c r="C73" s="440"/>
      <c r="D73" s="440"/>
      <c r="E73" s="440">
        <v>300</v>
      </c>
      <c r="F73" s="440"/>
      <c r="G73" s="440">
        <f t="shared" ref="G73:H73" si="27">F73</f>
        <v>0</v>
      </c>
      <c r="H73" s="440">
        <f t="shared" si="27"/>
        <v>0</v>
      </c>
    </row>
    <row r="74" spans="1:8" s="107" customFormat="1" hidden="1" x14ac:dyDescent="0.25">
      <c r="A74" s="118" t="s">
        <v>99</v>
      </c>
      <c r="B74" s="451" t="s">
        <v>571</v>
      </c>
      <c r="C74" s="440"/>
      <c r="D74" s="440"/>
      <c r="E74" s="440">
        <v>225</v>
      </c>
      <c r="F74" s="440"/>
      <c r="G74" s="440">
        <f t="shared" ref="G74:H74" si="28">F74</f>
        <v>0</v>
      </c>
      <c r="H74" s="440">
        <f t="shared" si="28"/>
        <v>0</v>
      </c>
    </row>
    <row r="75" spans="1:8" s="107" customFormat="1" ht="206.25" x14ac:dyDescent="0.25">
      <c r="A75" s="118">
        <v>2</v>
      </c>
      <c r="B75" s="451" t="s">
        <v>1848</v>
      </c>
      <c r="C75" s="122"/>
      <c r="D75" s="440"/>
      <c r="E75" s="440">
        <f>36925</f>
        <v>36925</v>
      </c>
      <c r="F75" s="440">
        <v>42800</v>
      </c>
      <c r="G75" s="440">
        <f>F75</f>
        <v>42800</v>
      </c>
      <c r="H75" s="440">
        <f>G75</f>
        <v>42800</v>
      </c>
    </row>
    <row r="76" spans="1:8" s="50" customFormat="1" x14ac:dyDescent="0.25">
      <c r="A76" s="101" t="s">
        <v>52</v>
      </c>
      <c r="B76" s="442" t="s">
        <v>351</v>
      </c>
      <c r="C76" s="443"/>
      <c r="D76" s="443"/>
      <c r="E76" s="443">
        <f>E77+E84</f>
        <v>7824</v>
      </c>
      <c r="F76" s="443">
        <f>F77+F84</f>
        <v>8216</v>
      </c>
      <c r="G76" s="443">
        <f>G77+G84</f>
        <v>7860</v>
      </c>
      <c r="H76" s="443">
        <f>H77+H84</f>
        <v>8019</v>
      </c>
    </row>
    <row r="77" spans="1:8" s="454" customFormat="1" ht="21" customHeight="1" x14ac:dyDescent="0.25">
      <c r="A77" s="111">
        <v>1</v>
      </c>
      <c r="B77" s="452" t="s">
        <v>565</v>
      </c>
      <c r="C77" s="453"/>
      <c r="D77" s="453"/>
      <c r="E77" s="453">
        <f>+E78+E82-E83</f>
        <v>7174</v>
      </c>
      <c r="F77" s="453">
        <f t="shared" ref="F77:H77" si="29">+F78+F82-F83</f>
        <v>7312</v>
      </c>
      <c r="G77" s="453">
        <f t="shared" si="29"/>
        <v>7471</v>
      </c>
      <c r="H77" s="453">
        <f t="shared" si="29"/>
        <v>7630</v>
      </c>
    </row>
    <row r="78" spans="1:8" ht="56.25" x14ac:dyDescent="0.25">
      <c r="A78" s="102" t="s">
        <v>53</v>
      </c>
      <c r="B78" s="451" t="s">
        <v>1650</v>
      </c>
      <c r="C78" s="439">
        <v>52</v>
      </c>
      <c r="D78" s="440">
        <v>47</v>
      </c>
      <c r="E78" s="439">
        <v>6220</v>
      </c>
      <c r="F78" s="439">
        <f>SUM(F79:F81)</f>
        <v>6376</v>
      </c>
      <c r="G78" s="439">
        <f t="shared" ref="G78:H78" si="30">SUM(G79:G81)</f>
        <v>6535</v>
      </c>
      <c r="H78" s="439">
        <f t="shared" si="30"/>
        <v>6694</v>
      </c>
    </row>
    <row r="79" spans="1:8" x14ac:dyDescent="0.25">
      <c r="A79" s="102"/>
      <c r="B79" s="451" t="s">
        <v>1602</v>
      </c>
      <c r="C79" s="439"/>
      <c r="D79" s="440"/>
      <c r="E79" s="439"/>
      <c r="F79" s="439">
        <v>5685</v>
      </c>
      <c r="G79" s="439">
        <f>ROUND(F79+16*8.8,0)</f>
        <v>5826</v>
      </c>
      <c r="H79" s="439">
        <f>ROUND(G79+16*8.8,0)</f>
        <v>5967</v>
      </c>
    </row>
    <row r="80" spans="1:8" x14ac:dyDescent="0.25">
      <c r="A80" s="102"/>
      <c r="B80" s="451" t="s">
        <v>1119</v>
      </c>
      <c r="C80" s="439"/>
      <c r="D80" s="440"/>
      <c r="E80" s="439"/>
      <c r="F80" s="439">
        <v>256</v>
      </c>
      <c r="G80" s="439">
        <f>F80</f>
        <v>256</v>
      </c>
      <c r="H80" s="439">
        <f>G80</f>
        <v>256</v>
      </c>
    </row>
    <row r="81" spans="1:8" ht="37.5" x14ac:dyDescent="0.25">
      <c r="A81" s="102"/>
      <c r="B81" s="438" t="s">
        <v>1152</v>
      </c>
      <c r="C81" s="439">
        <v>6</v>
      </c>
      <c r="D81" s="439">
        <v>5</v>
      </c>
      <c r="E81" s="439"/>
      <c r="F81" s="439">
        <v>435</v>
      </c>
      <c r="G81" s="439">
        <f>ROUND(F81+2*8.8,0)</f>
        <v>453</v>
      </c>
      <c r="H81" s="439">
        <f>ROUND(G81+2*8.8,0)</f>
        <v>471</v>
      </c>
    </row>
    <row r="82" spans="1:8" ht="37.5" x14ac:dyDescent="0.25">
      <c r="A82" s="102" t="s">
        <v>54</v>
      </c>
      <c r="B82" s="438" t="s">
        <v>354</v>
      </c>
      <c r="C82" s="439">
        <v>52</v>
      </c>
      <c r="D82" s="439"/>
      <c r="E82" s="440">
        <v>1060</v>
      </c>
      <c r="F82" s="440">
        <f>C82*20</f>
        <v>1040</v>
      </c>
      <c r="G82" s="440">
        <f>F82</f>
        <v>1040</v>
      </c>
      <c r="H82" s="440">
        <f>G82</f>
        <v>1040</v>
      </c>
    </row>
    <row r="83" spans="1:8" ht="37.5" x14ac:dyDescent="0.25">
      <c r="A83" s="102" t="s">
        <v>55</v>
      </c>
      <c r="B83" s="438" t="s">
        <v>103</v>
      </c>
      <c r="C83" s="439"/>
      <c r="D83" s="439"/>
      <c r="E83" s="439">
        <v>106</v>
      </c>
      <c r="F83" s="439">
        <v>104</v>
      </c>
      <c r="G83" s="439">
        <f>F83</f>
        <v>104</v>
      </c>
      <c r="H83" s="439">
        <f>G83</f>
        <v>104</v>
      </c>
    </row>
    <row r="84" spans="1:8" s="50" customFormat="1" x14ac:dyDescent="0.25">
      <c r="A84" s="101">
        <v>2</v>
      </c>
      <c r="B84" s="442" t="s">
        <v>350</v>
      </c>
      <c r="C84" s="443"/>
      <c r="D84" s="443"/>
      <c r="E84" s="443">
        <f>SUM(E85:E94)</f>
        <v>650</v>
      </c>
      <c r="F84" s="443">
        <f>SUM(F85:F94)</f>
        <v>904</v>
      </c>
      <c r="G84" s="443">
        <f t="shared" ref="G84:H84" si="31">SUM(G85:G94)</f>
        <v>389</v>
      </c>
      <c r="H84" s="443">
        <f t="shared" si="31"/>
        <v>389</v>
      </c>
    </row>
    <row r="85" spans="1:8" x14ac:dyDescent="0.25">
      <c r="A85" s="102" t="s">
        <v>99</v>
      </c>
      <c r="B85" s="438" t="s">
        <v>183</v>
      </c>
      <c r="C85" s="439"/>
      <c r="D85" s="439"/>
      <c r="E85" s="439">
        <v>35</v>
      </c>
      <c r="F85" s="439">
        <v>24</v>
      </c>
      <c r="G85" s="439">
        <f>F85</f>
        <v>24</v>
      </c>
      <c r="H85" s="439">
        <f>G85</f>
        <v>24</v>
      </c>
    </row>
    <row r="86" spans="1:8" x14ac:dyDescent="0.25">
      <c r="A86" s="102" t="s">
        <v>99</v>
      </c>
      <c r="B86" s="438" t="s">
        <v>482</v>
      </c>
      <c r="C86" s="439"/>
      <c r="D86" s="439"/>
      <c r="E86" s="439">
        <v>15</v>
      </c>
      <c r="F86" s="439">
        <f>E86</f>
        <v>15</v>
      </c>
      <c r="G86" s="439">
        <f t="shared" ref="G86:G88" si="32">F86</f>
        <v>15</v>
      </c>
      <c r="H86" s="439">
        <f>G86</f>
        <v>15</v>
      </c>
    </row>
    <row r="87" spans="1:8" x14ac:dyDescent="0.25">
      <c r="A87" s="102" t="s">
        <v>99</v>
      </c>
      <c r="B87" s="438" t="s">
        <v>360</v>
      </c>
      <c r="C87" s="439"/>
      <c r="D87" s="439"/>
      <c r="E87" s="439">
        <v>31</v>
      </c>
      <c r="F87" s="439"/>
      <c r="G87" s="439"/>
      <c r="H87" s="439"/>
    </row>
    <row r="88" spans="1:8" x14ac:dyDescent="0.25">
      <c r="A88" s="102" t="s">
        <v>99</v>
      </c>
      <c r="B88" s="438" t="s">
        <v>206</v>
      </c>
      <c r="C88" s="439"/>
      <c r="D88" s="439"/>
      <c r="E88" s="439">
        <f>17+275</f>
        <v>292</v>
      </c>
      <c r="F88" s="439">
        <v>300</v>
      </c>
      <c r="G88" s="439">
        <f t="shared" si="32"/>
        <v>300</v>
      </c>
      <c r="H88" s="439">
        <f>G88</f>
        <v>300</v>
      </c>
    </row>
    <row r="89" spans="1:8" x14ac:dyDescent="0.25">
      <c r="A89" s="102" t="s">
        <v>99</v>
      </c>
      <c r="B89" s="438" t="s">
        <v>1188</v>
      </c>
      <c r="C89" s="439"/>
      <c r="D89" s="439"/>
      <c r="E89" s="439">
        <v>50</v>
      </c>
      <c r="F89" s="439">
        <v>100</v>
      </c>
      <c r="G89" s="439">
        <f>E89</f>
        <v>50</v>
      </c>
      <c r="H89" s="439">
        <f>G89</f>
        <v>50</v>
      </c>
    </row>
    <row r="90" spans="1:8" ht="37.5" x14ac:dyDescent="0.25">
      <c r="A90" s="102" t="s">
        <v>99</v>
      </c>
      <c r="B90" s="438" t="s">
        <v>574</v>
      </c>
      <c r="C90" s="439"/>
      <c r="D90" s="439"/>
      <c r="E90" s="439">
        <v>77</v>
      </c>
      <c r="F90" s="439"/>
      <c r="G90" s="439"/>
      <c r="H90" s="439"/>
    </row>
    <row r="91" spans="1:8" ht="56.25" x14ac:dyDescent="0.25">
      <c r="A91" s="102" t="s">
        <v>99</v>
      </c>
      <c r="B91" s="438" t="s">
        <v>1840</v>
      </c>
      <c r="C91" s="439"/>
      <c r="D91" s="439"/>
      <c r="E91" s="439"/>
      <c r="F91" s="439">
        <f>60+10+20+10</f>
        <v>100</v>
      </c>
      <c r="G91" s="439"/>
      <c r="H91" s="439"/>
    </row>
    <row r="92" spans="1:8" x14ac:dyDescent="0.25">
      <c r="A92" s="102" t="s">
        <v>99</v>
      </c>
      <c r="B92" s="438" t="s">
        <v>575</v>
      </c>
      <c r="C92" s="439"/>
      <c r="D92" s="439"/>
      <c r="E92" s="439">
        <v>100</v>
      </c>
      <c r="F92" s="439"/>
      <c r="G92" s="439"/>
      <c r="H92" s="439"/>
    </row>
    <row r="93" spans="1:8" x14ac:dyDescent="0.25">
      <c r="A93" s="102" t="s">
        <v>99</v>
      </c>
      <c r="B93" s="438" t="s">
        <v>1841</v>
      </c>
      <c r="C93" s="439"/>
      <c r="D93" s="439"/>
      <c r="E93" s="439"/>
      <c r="F93" s="439">
        <v>300</v>
      </c>
      <c r="G93" s="439"/>
      <c r="H93" s="439"/>
    </row>
    <row r="94" spans="1:8" x14ac:dyDescent="0.25">
      <c r="A94" s="102" t="s">
        <v>99</v>
      </c>
      <c r="B94" s="438" t="s">
        <v>1842</v>
      </c>
      <c r="C94" s="439"/>
      <c r="D94" s="439"/>
      <c r="E94" s="439">
        <v>50</v>
      </c>
      <c r="F94" s="439">
        <f>25+40</f>
        <v>65</v>
      </c>
      <c r="G94" s="439"/>
      <c r="H94" s="439"/>
    </row>
    <row r="95" spans="1:8" s="50" customFormat="1" x14ac:dyDescent="0.25">
      <c r="A95" s="101" t="s">
        <v>147</v>
      </c>
      <c r="B95" s="442" t="s">
        <v>1852</v>
      </c>
      <c r="C95" s="443"/>
      <c r="D95" s="443"/>
      <c r="E95" s="443">
        <f>-24000+70000</f>
        <v>46000</v>
      </c>
      <c r="F95" s="443">
        <f>SUM(F96:F97)</f>
        <v>50000</v>
      </c>
      <c r="G95" s="443">
        <f t="shared" ref="G95:H95" si="33">SUM(G96:G97)</f>
        <v>50277</v>
      </c>
      <c r="H95" s="443">
        <f t="shared" si="33"/>
        <v>50554</v>
      </c>
    </row>
    <row r="96" spans="1:8" ht="37.5" x14ac:dyDescent="0.25">
      <c r="A96" s="102">
        <v>1</v>
      </c>
      <c r="B96" s="438" t="s">
        <v>1849</v>
      </c>
      <c r="C96" s="439"/>
      <c r="D96" s="439"/>
      <c r="E96" s="439">
        <v>10055</v>
      </c>
      <c r="F96" s="439">
        <v>11070</v>
      </c>
      <c r="G96" s="439">
        <f>ROUND(F96+38*7.3,0)</f>
        <v>11347</v>
      </c>
      <c r="H96" s="439">
        <f>ROUND(G96+38*7.3,0)</f>
        <v>11624</v>
      </c>
    </row>
    <row r="97" spans="1:8" ht="75" x14ac:dyDescent="0.25">
      <c r="A97" s="102">
        <v>2</v>
      </c>
      <c r="B97" s="438" t="s">
        <v>1850</v>
      </c>
      <c r="C97" s="439"/>
      <c r="D97" s="439"/>
      <c r="E97" s="439">
        <f>60121-24000</f>
        <v>36121</v>
      </c>
      <c r="F97" s="439">
        <f>50000-F96</f>
        <v>38930</v>
      </c>
      <c r="G97" s="439">
        <f>F97</f>
        <v>38930</v>
      </c>
      <c r="H97" s="439">
        <f>G97</f>
        <v>38930</v>
      </c>
    </row>
    <row r="98" spans="1:8" x14ac:dyDescent="0.25">
      <c r="A98" s="103"/>
      <c r="B98" s="445"/>
      <c r="C98" s="446"/>
      <c r="D98" s="446"/>
      <c r="E98" s="446"/>
      <c r="F98" s="446"/>
      <c r="G98" s="446"/>
      <c r="H98" s="446"/>
    </row>
    <row r="99" spans="1:8" ht="43.5" customHeight="1" x14ac:dyDescent="0.25">
      <c r="A99" s="104"/>
      <c r="B99" s="567" t="s">
        <v>1851</v>
      </c>
      <c r="C99" s="567"/>
      <c r="D99" s="567"/>
      <c r="E99" s="567"/>
      <c r="F99" s="567"/>
      <c r="G99" s="567"/>
      <c r="H99" s="567"/>
    </row>
    <row r="100" spans="1:8" x14ac:dyDescent="0.25">
      <c r="B100" s="418" t="s">
        <v>865</v>
      </c>
      <c r="C100" s="418"/>
      <c r="D100" s="418"/>
      <c r="E100" s="418"/>
      <c r="F100" s="418"/>
      <c r="G100" s="418"/>
      <c r="H100" s="418"/>
    </row>
    <row r="102" spans="1:8" x14ac:dyDescent="0.25">
      <c r="A102" s="568" t="s">
        <v>36</v>
      </c>
      <c r="B102" s="568"/>
      <c r="D102" s="568" t="s">
        <v>37</v>
      </c>
      <c r="E102" s="568"/>
      <c r="F102" s="568"/>
      <c r="G102" s="568"/>
      <c r="H102" s="568"/>
    </row>
  </sheetData>
  <mergeCells count="23">
    <mergeCell ref="C9:H9"/>
    <mergeCell ref="A1:H1"/>
    <mergeCell ref="B3:H3"/>
    <mergeCell ref="C6:H6"/>
    <mergeCell ref="C7:H7"/>
    <mergeCell ref="C8:H8"/>
    <mergeCell ref="C10:H10"/>
    <mergeCell ref="C15:H15"/>
    <mergeCell ref="C17:H17"/>
    <mergeCell ref="C18:H18"/>
    <mergeCell ref="C19:H19"/>
    <mergeCell ref="C20:H20"/>
    <mergeCell ref="C21:H21"/>
    <mergeCell ref="C22:H22"/>
    <mergeCell ref="C23:H23"/>
    <mergeCell ref="C24:H24"/>
    <mergeCell ref="A102:B102"/>
    <mergeCell ref="D102:H102"/>
    <mergeCell ref="C25:H25"/>
    <mergeCell ref="C26:H26"/>
    <mergeCell ref="C27:H27"/>
    <mergeCell ref="B29:H29"/>
    <mergeCell ref="B99:H99"/>
  </mergeCells>
  <printOptions horizontalCentered="1"/>
  <pageMargins left="0" right="0" top="0.75" bottom="0.5" header="0.31496062992126" footer="0.31496062992126"/>
  <pageSetup paperSize="9" scale="89" orientation="portrait" r:id="rId1"/>
  <headerFooter>
    <oddFooter>&amp;C&amp;P/&amp;N</oddFooter>
  </headerFooter>
  <legacyDrawing r:id="rId2"/>
</worksheet>
</file>

<file path=xl/worksheets/sheet4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499984740745262"/>
  </sheetPr>
  <dimension ref="A1:G58"/>
  <sheetViews>
    <sheetView zoomScaleNormal="100" workbookViewId="0">
      <selection activeCell="I17" sqref="I17"/>
    </sheetView>
  </sheetViews>
  <sheetFormatPr defaultColWidth="9.140625" defaultRowHeight="18.75" x14ac:dyDescent="0.25"/>
  <cols>
    <col min="1" max="1" width="4.85546875" style="49" customWidth="1"/>
    <col min="2" max="2" width="43.28515625" style="49" customWidth="1"/>
    <col min="3" max="4" width="7.85546875" style="49" customWidth="1"/>
    <col min="5" max="7" width="11.7109375" style="49" customWidth="1"/>
    <col min="8" max="16384" width="9.140625" style="49"/>
  </cols>
  <sheetData>
    <row r="1" spans="1:7" ht="41.25" customHeight="1" x14ac:dyDescent="0.25">
      <c r="A1" s="569" t="s">
        <v>459</v>
      </c>
      <c r="B1" s="570"/>
      <c r="C1" s="570"/>
      <c r="D1" s="570"/>
      <c r="E1" s="570"/>
      <c r="F1" s="570"/>
      <c r="G1" s="570"/>
    </row>
    <row r="2" spans="1:7" x14ac:dyDescent="0.25">
      <c r="A2" s="50"/>
      <c r="B2" s="50"/>
      <c r="C2" s="50"/>
      <c r="D2" s="51"/>
      <c r="E2" s="51"/>
      <c r="F2" s="51"/>
      <c r="G2" s="51"/>
    </row>
    <row r="3" spans="1:7" ht="40.5" customHeight="1" x14ac:dyDescent="0.25">
      <c r="B3" s="565" t="s">
        <v>835</v>
      </c>
      <c r="C3" s="565"/>
      <c r="D3" s="565"/>
      <c r="E3" s="565"/>
      <c r="F3" s="565"/>
      <c r="G3" s="565"/>
    </row>
    <row r="4" spans="1:7" x14ac:dyDescent="0.25">
      <c r="B4" s="49" t="s">
        <v>39</v>
      </c>
      <c r="D4" s="52"/>
      <c r="E4" s="52"/>
      <c r="F4" s="52"/>
      <c r="G4" s="52"/>
    </row>
    <row r="5" spans="1:7" s="50" customFormat="1" x14ac:dyDescent="0.25">
      <c r="B5" s="50" t="s">
        <v>18</v>
      </c>
    </row>
    <row r="6" spans="1:7" x14ac:dyDescent="0.25">
      <c r="B6" s="49" t="s">
        <v>23</v>
      </c>
      <c r="C6" s="566" t="s">
        <v>49</v>
      </c>
      <c r="D6" s="566"/>
      <c r="E6" s="566"/>
      <c r="F6" s="566"/>
      <c r="G6" s="566"/>
    </row>
    <row r="7" spans="1:7" x14ac:dyDescent="0.25">
      <c r="B7" s="49" t="s">
        <v>19</v>
      </c>
      <c r="C7" s="566" t="s">
        <v>50</v>
      </c>
      <c r="D7" s="566"/>
      <c r="E7" s="566"/>
      <c r="F7" s="566"/>
      <c r="G7" s="566"/>
    </row>
    <row r="8" spans="1:7" hidden="1" x14ac:dyDescent="0.25">
      <c r="B8" s="49" t="s">
        <v>90</v>
      </c>
      <c r="C8" s="566" t="s">
        <v>60</v>
      </c>
      <c r="D8" s="566"/>
      <c r="E8" s="566"/>
      <c r="F8" s="566"/>
      <c r="G8" s="566"/>
    </row>
    <row r="9" spans="1:7" x14ac:dyDescent="0.25">
      <c r="B9" s="49" t="s">
        <v>59</v>
      </c>
      <c r="C9" s="566" t="s">
        <v>60</v>
      </c>
      <c r="D9" s="566"/>
      <c r="E9" s="566"/>
      <c r="F9" s="566"/>
      <c r="G9" s="566"/>
    </row>
    <row r="10" spans="1:7" hidden="1" x14ac:dyDescent="0.25">
      <c r="B10" s="49" t="s">
        <v>20</v>
      </c>
      <c r="C10" s="566" t="s">
        <v>86</v>
      </c>
      <c r="D10" s="566"/>
      <c r="E10" s="566"/>
      <c r="F10" s="566"/>
      <c r="G10" s="566"/>
    </row>
    <row r="11" spans="1:7" hidden="1" x14ac:dyDescent="0.25">
      <c r="B11" s="49" t="s">
        <v>21</v>
      </c>
      <c r="C11" s="126" t="s">
        <v>87</v>
      </c>
      <c r="D11" s="126"/>
      <c r="E11" s="126"/>
      <c r="F11" s="126"/>
      <c r="G11" s="126"/>
    </row>
    <row r="12" spans="1:7" x14ac:dyDescent="0.25">
      <c r="B12" s="49" t="s">
        <v>383</v>
      </c>
      <c r="C12" s="126" t="s">
        <v>88</v>
      </c>
      <c r="D12" s="126"/>
      <c r="E12" s="126"/>
      <c r="F12" s="126"/>
      <c r="G12" s="126"/>
    </row>
    <row r="13" spans="1:7" hidden="1" x14ac:dyDescent="0.25">
      <c r="B13" s="129" t="s">
        <v>94</v>
      </c>
      <c r="C13" s="126" t="s">
        <v>95</v>
      </c>
      <c r="D13" s="126"/>
      <c r="E13" s="126"/>
      <c r="F13" s="126"/>
      <c r="G13" s="126"/>
    </row>
    <row r="14" spans="1:7" x14ac:dyDescent="0.25">
      <c r="C14" s="126"/>
      <c r="D14" s="126"/>
      <c r="E14" s="126"/>
      <c r="F14" s="126"/>
      <c r="G14" s="126"/>
    </row>
    <row r="15" spans="1:7" hidden="1" x14ac:dyDescent="0.25">
      <c r="B15" s="49" t="s">
        <v>21</v>
      </c>
      <c r="C15" s="566"/>
      <c r="D15" s="566"/>
      <c r="E15" s="566"/>
      <c r="F15" s="566"/>
      <c r="G15" s="566"/>
    </row>
    <row r="16" spans="1:7" s="50" customFormat="1" x14ac:dyDescent="0.25">
      <c r="B16" s="50" t="s">
        <v>382</v>
      </c>
    </row>
    <row r="17" spans="1:7" x14ac:dyDescent="0.25">
      <c r="B17" s="49" t="s">
        <v>386</v>
      </c>
      <c r="C17" s="566" t="s">
        <v>212</v>
      </c>
      <c r="D17" s="566"/>
      <c r="E17" s="566"/>
      <c r="F17" s="566"/>
      <c r="G17" s="566"/>
    </row>
    <row r="18" spans="1:7" hidden="1" x14ac:dyDescent="0.25">
      <c r="B18" s="49" t="s">
        <v>20</v>
      </c>
      <c r="C18" s="126"/>
      <c r="D18" s="126"/>
      <c r="E18" s="126"/>
      <c r="F18" s="126"/>
      <c r="G18" s="126"/>
    </row>
    <row r="19" spans="1:7" x14ac:dyDescent="0.25">
      <c r="B19" s="49" t="s">
        <v>384</v>
      </c>
      <c r="C19" s="566" t="s">
        <v>385</v>
      </c>
      <c r="D19" s="566"/>
      <c r="E19" s="566"/>
      <c r="F19" s="566"/>
      <c r="G19" s="566"/>
    </row>
    <row r="20" spans="1:7" hidden="1" x14ac:dyDescent="0.25">
      <c r="B20" s="49" t="s">
        <v>20</v>
      </c>
      <c r="C20" s="566"/>
      <c r="D20" s="566"/>
      <c r="E20" s="566"/>
      <c r="F20" s="566"/>
      <c r="G20" s="566"/>
    </row>
    <row r="21" spans="1:7" hidden="1" x14ac:dyDescent="0.25">
      <c r="B21" s="49" t="s">
        <v>21</v>
      </c>
      <c r="C21" s="566"/>
      <c r="D21" s="566"/>
      <c r="E21" s="566"/>
      <c r="F21" s="566"/>
      <c r="G21" s="566"/>
    </row>
    <row r="22" spans="1:7" hidden="1" x14ac:dyDescent="0.25">
      <c r="B22" s="49" t="s">
        <v>21</v>
      </c>
      <c r="C22" s="566"/>
      <c r="D22" s="566"/>
      <c r="E22" s="566"/>
      <c r="F22" s="566"/>
      <c r="G22" s="566"/>
    </row>
    <row r="23" spans="1:7" hidden="1" x14ac:dyDescent="0.25">
      <c r="B23" s="49" t="s">
        <v>21</v>
      </c>
      <c r="C23" s="566"/>
      <c r="D23" s="566"/>
      <c r="E23" s="566"/>
      <c r="F23" s="566"/>
      <c r="G23" s="566"/>
    </row>
    <row r="24" spans="1:7" ht="39.75" customHeight="1" x14ac:dyDescent="0.25">
      <c r="B24" s="556" t="s">
        <v>460</v>
      </c>
      <c r="C24" s="556"/>
      <c r="D24" s="556"/>
      <c r="E24" s="556"/>
      <c r="F24" s="556"/>
      <c r="G24" s="556"/>
    </row>
    <row r="25" spans="1:7" x14ac:dyDescent="0.25">
      <c r="B25" s="127"/>
      <c r="C25" s="127"/>
      <c r="D25" s="127"/>
      <c r="E25" s="127"/>
      <c r="F25" s="127"/>
      <c r="G25" s="127"/>
    </row>
    <row r="26" spans="1:7" x14ac:dyDescent="0.25">
      <c r="A26" s="54"/>
      <c r="G26" s="54" t="s">
        <v>61</v>
      </c>
    </row>
    <row r="27" spans="1:7" s="50" customFormat="1" ht="39" customHeight="1" x14ac:dyDescent="0.25">
      <c r="A27" s="581" t="s">
        <v>62</v>
      </c>
      <c r="B27" s="581" t="s">
        <v>2</v>
      </c>
      <c r="C27" s="581" t="s">
        <v>25</v>
      </c>
      <c r="D27" s="581"/>
      <c r="E27" s="582" t="s">
        <v>8</v>
      </c>
      <c r="F27" s="582" t="s">
        <v>9</v>
      </c>
      <c r="G27" s="582" t="s">
        <v>461</v>
      </c>
    </row>
    <row r="28" spans="1:7" s="50" customFormat="1" ht="75" x14ac:dyDescent="0.25">
      <c r="A28" s="581"/>
      <c r="B28" s="581"/>
      <c r="C28" s="128" t="s">
        <v>17</v>
      </c>
      <c r="D28" s="151" t="s">
        <v>464</v>
      </c>
      <c r="E28" s="583"/>
      <c r="F28" s="583"/>
      <c r="G28" s="583"/>
    </row>
    <row r="29" spans="1:7" x14ac:dyDescent="0.25">
      <c r="A29" s="56" t="s">
        <v>6</v>
      </c>
      <c r="B29" s="56" t="s">
        <v>7</v>
      </c>
      <c r="C29" s="56">
        <v>1</v>
      </c>
      <c r="D29" s="56">
        <v>2</v>
      </c>
      <c r="E29" s="56">
        <v>3</v>
      </c>
      <c r="F29" s="56">
        <v>4</v>
      </c>
      <c r="G29" s="56">
        <v>5</v>
      </c>
    </row>
    <row r="30" spans="1:7" s="50" customFormat="1" hidden="1" x14ac:dyDescent="0.25">
      <c r="A30" s="128"/>
      <c r="B30" s="128" t="s">
        <v>97</v>
      </c>
      <c r="C30" s="57"/>
      <c r="D30" s="57"/>
      <c r="E30" s="57">
        <f>E32+E38</f>
        <v>11438</v>
      </c>
      <c r="F30" s="57">
        <f>F32+F38</f>
        <v>11499</v>
      </c>
      <c r="G30" s="57">
        <f>G32+G38</f>
        <v>11560</v>
      </c>
    </row>
    <row r="31" spans="1:7" s="124" customFormat="1" x14ac:dyDescent="0.25">
      <c r="A31" s="125"/>
      <c r="B31" s="125" t="s">
        <v>97</v>
      </c>
      <c r="C31" s="32"/>
      <c r="D31" s="32"/>
      <c r="E31" s="32">
        <f>E32+E38</f>
        <v>11438</v>
      </c>
      <c r="F31" s="32">
        <f>F32+F38</f>
        <v>11499</v>
      </c>
      <c r="G31" s="32">
        <f>G32+G38</f>
        <v>11560</v>
      </c>
    </row>
    <row r="32" spans="1:7" s="50" customFormat="1" ht="21" customHeight="1" x14ac:dyDescent="0.25">
      <c r="A32" s="92" t="s">
        <v>51</v>
      </c>
      <c r="B32" s="93" t="s">
        <v>70</v>
      </c>
      <c r="C32" s="94"/>
      <c r="D32" s="94"/>
      <c r="E32" s="94">
        <f>E33+E37</f>
        <v>2610</v>
      </c>
      <c r="F32" s="94">
        <f>F33+F37</f>
        <v>2671</v>
      </c>
      <c r="G32" s="94">
        <f>G33+G37</f>
        <v>2732</v>
      </c>
    </row>
    <row r="33" spans="1:7" ht="37.5" x14ac:dyDescent="0.25">
      <c r="A33" s="58">
        <v>1</v>
      </c>
      <c r="B33" s="59" t="s">
        <v>69</v>
      </c>
      <c r="C33" s="60"/>
      <c r="D33" s="60"/>
      <c r="E33" s="60">
        <f>E34+E35-E36</f>
        <v>2130</v>
      </c>
      <c r="F33" s="60">
        <f>F34+F35-F36</f>
        <v>2191</v>
      </c>
      <c r="G33" s="60">
        <f>G34+G35-G36</f>
        <v>2252</v>
      </c>
    </row>
    <row r="34" spans="1:7" x14ac:dyDescent="0.25">
      <c r="A34" s="58"/>
      <c r="B34" s="59" t="s">
        <v>836</v>
      </c>
      <c r="C34" s="60">
        <v>32</v>
      </c>
      <c r="D34" s="61">
        <v>24</v>
      </c>
      <c r="E34" s="60">
        <f>1993-64</f>
        <v>1929</v>
      </c>
      <c r="F34" s="60">
        <f>ROUND(E34+8*6.7,0)</f>
        <v>1983</v>
      </c>
      <c r="G34" s="60">
        <f>ROUND(F34+8*6.7,0)</f>
        <v>2037</v>
      </c>
    </row>
    <row r="35" spans="1:7" ht="37.5" x14ac:dyDescent="0.25">
      <c r="A35" s="58"/>
      <c r="B35" s="59" t="s">
        <v>840</v>
      </c>
      <c r="C35" s="60">
        <v>5</v>
      </c>
      <c r="D35" s="60">
        <v>4</v>
      </c>
      <c r="E35" s="60">
        <f>64+185</f>
        <v>249</v>
      </c>
      <c r="F35" s="60">
        <f>ROUND(E35+6.7,0)</f>
        <v>256</v>
      </c>
      <c r="G35" s="60">
        <f>ROUND(F35+6.7,0)</f>
        <v>263</v>
      </c>
    </row>
    <row r="36" spans="1:7" ht="37.5" x14ac:dyDescent="0.25">
      <c r="A36" s="58"/>
      <c r="B36" s="59" t="s">
        <v>217</v>
      </c>
      <c r="C36" s="60"/>
      <c r="D36" s="60"/>
      <c r="E36" s="60">
        <v>48</v>
      </c>
      <c r="F36" s="60">
        <f>E36</f>
        <v>48</v>
      </c>
      <c r="G36" s="60">
        <f>F36</f>
        <v>48</v>
      </c>
    </row>
    <row r="37" spans="1:7" ht="37.5" x14ac:dyDescent="0.25">
      <c r="A37" s="58">
        <v>2</v>
      </c>
      <c r="B37" s="59" t="s">
        <v>839</v>
      </c>
      <c r="C37" s="60"/>
      <c r="D37" s="60">
        <v>24</v>
      </c>
      <c r="E37" s="60">
        <f>D37*20</f>
        <v>480</v>
      </c>
      <c r="F37" s="60">
        <f>E37</f>
        <v>480</v>
      </c>
      <c r="G37" s="60">
        <f>F37</f>
        <v>480</v>
      </c>
    </row>
    <row r="38" spans="1:7" s="50" customFormat="1" x14ac:dyDescent="0.25">
      <c r="A38" s="62" t="s">
        <v>52</v>
      </c>
      <c r="B38" s="63" t="s">
        <v>98</v>
      </c>
      <c r="C38" s="64"/>
      <c r="D38" s="64"/>
      <c r="E38" s="64">
        <f>SUM(E40:E51)</f>
        <v>8828</v>
      </c>
      <c r="F38" s="64">
        <f>SUM(F40:F51)</f>
        <v>8828</v>
      </c>
      <c r="G38" s="64">
        <f>SUM(G40:G51)</f>
        <v>8828</v>
      </c>
    </row>
    <row r="39" spans="1:7" ht="37.5" x14ac:dyDescent="0.25">
      <c r="A39" s="58" t="s">
        <v>99</v>
      </c>
      <c r="B39" s="59" t="s">
        <v>837</v>
      </c>
      <c r="C39" s="60"/>
      <c r="D39" s="60"/>
      <c r="E39" s="60">
        <f>E40+E41</f>
        <v>528</v>
      </c>
      <c r="F39" s="60">
        <f>F40+F41</f>
        <v>528</v>
      </c>
      <c r="G39" s="60">
        <f>G40+G41</f>
        <v>528</v>
      </c>
    </row>
    <row r="40" spans="1:7" s="87" customFormat="1" x14ac:dyDescent="0.25">
      <c r="A40" s="84"/>
      <c r="B40" s="85" t="s">
        <v>841</v>
      </c>
      <c r="C40" s="86"/>
      <c r="D40" s="86"/>
      <c r="E40" s="86">
        <v>384</v>
      </c>
      <c r="F40" s="86">
        <f t="shared" ref="F40:G42" si="0">E40</f>
        <v>384</v>
      </c>
      <c r="G40" s="86">
        <f t="shared" si="0"/>
        <v>384</v>
      </c>
    </row>
    <row r="41" spans="1:7" s="87" customFormat="1" ht="56.25" x14ac:dyDescent="0.25">
      <c r="A41" s="84"/>
      <c r="B41" s="85" t="s">
        <v>838</v>
      </c>
      <c r="C41" s="86"/>
      <c r="D41" s="86"/>
      <c r="E41" s="86">
        <f>8*20-16</f>
        <v>144</v>
      </c>
      <c r="F41" s="86">
        <f t="shared" si="0"/>
        <v>144</v>
      </c>
      <c r="G41" s="86">
        <f t="shared" si="0"/>
        <v>144</v>
      </c>
    </row>
    <row r="42" spans="1:7" x14ac:dyDescent="0.25">
      <c r="A42" s="58" t="s">
        <v>99</v>
      </c>
      <c r="B42" s="59" t="s">
        <v>389</v>
      </c>
      <c r="C42" s="60"/>
      <c r="D42" s="60"/>
      <c r="E42" s="60">
        <v>280</v>
      </c>
      <c r="F42" s="60">
        <f t="shared" si="0"/>
        <v>280</v>
      </c>
      <c r="G42" s="60">
        <f t="shared" si="0"/>
        <v>280</v>
      </c>
    </row>
    <row r="43" spans="1:7" x14ac:dyDescent="0.25">
      <c r="A43" s="58" t="s">
        <v>99</v>
      </c>
      <c r="B43" s="59" t="s">
        <v>109</v>
      </c>
      <c r="C43" s="60"/>
      <c r="D43" s="60"/>
      <c r="E43" s="60">
        <v>20</v>
      </c>
      <c r="F43" s="60">
        <f t="shared" ref="F43:G47" si="1">E43</f>
        <v>20</v>
      </c>
      <c r="G43" s="60">
        <f t="shared" si="1"/>
        <v>20</v>
      </c>
    </row>
    <row r="44" spans="1:7" ht="37.5" x14ac:dyDescent="0.25">
      <c r="A44" s="58" t="s">
        <v>99</v>
      </c>
      <c r="B44" s="59" t="s">
        <v>390</v>
      </c>
      <c r="C44" s="60"/>
      <c r="D44" s="60"/>
      <c r="E44" s="60">
        <v>8000</v>
      </c>
      <c r="F44" s="60">
        <f t="shared" si="1"/>
        <v>8000</v>
      </c>
      <c r="G44" s="60">
        <f t="shared" si="1"/>
        <v>8000</v>
      </c>
    </row>
    <row r="45" spans="1:7" hidden="1" x14ac:dyDescent="0.25">
      <c r="A45" s="58" t="s">
        <v>99</v>
      </c>
      <c r="B45" s="59" t="s">
        <v>391</v>
      </c>
      <c r="C45" s="60"/>
      <c r="D45" s="60"/>
      <c r="E45" s="60"/>
      <c r="F45" s="60">
        <f t="shared" si="1"/>
        <v>0</v>
      </c>
      <c r="G45" s="60">
        <f t="shared" si="1"/>
        <v>0</v>
      </c>
    </row>
    <row r="46" spans="1:7" hidden="1" x14ac:dyDescent="0.25">
      <c r="A46" s="58" t="s">
        <v>99</v>
      </c>
      <c r="B46" s="59"/>
      <c r="C46" s="60"/>
      <c r="D46" s="60"/>
      <c r="E46" s="60"/>
      <c r="F46" s="60">
        <f t="shared" si="1"/>
        <v>0</v>
      </c>
      <c r="G46" s="60">
        <f t="shared" si="1"/>
        <v>0</v>
      </c>
    </row>
    <row r="47" spans="1:7" hidden="1" x14ac:dyDescent="0.25">
      <c r="A47" s="58" t="s">
        <v>99</v>
      </c>
      <c r="B47" s="59"/>
      <c r="C47" s="60"/>
      <c r="D47" s="60"/>
      <c r="E47" s="60"/>
      <c r="F47" s="60">
        <f t="shared" si="1"/>
        <v>0</v>
      </c>
      <c r="G47" s="60">
        <f t="shared" si="1"/>
        <v>0</v>
      </c>
    </row>
    <row r="48" spans="1:7" hidden="1" x14ac:dyDescent="0.25">
      <c r="A48" s="58" t="s">
        <v>99</v>
      </c>
      <c r="B48" s="59"/>
      <c r="C48" s="60"/>
      <c r="D48" s="60"/>
      <c r="E48" s="60"/>
      <c r="F48" s="60">
        <f t="shared" ref="F48:G51" si="2">E48</f>
        <v>0</v>
      </c>
      <c r="G48" s="60">
        <f t="shared" si="2"/>
        <v>0</v>
      </c>
    </row>
    <row r="49" spans="1:7" hidden="1" x14ac:dyDescent="0.25">
      <c r="A49" s="58" t="s">
        <v>99</v>
      </c>
      <c r="B49" s="59"/>
      <c r="C49" s="60"/>
      <c r="D49" s="60"/>
      <c r="E49" s="60"/>
      <c r="F49" s="60">
        <f t="shared" si="2"/>
        <v>0</v>
      </c>
      <c r="G49" s="60">
        <f t="shared" si="2"/>
        <v>0</v>
      </c>
    </row>
    <row r="50" spans="1:7" hidden="1" x14ac:dyDescent="0.25">
      <c r="A50" s="58" t="s">
        <v>99</v>
      </c>
      <c r="B50" s="59"/>
      <c r="C50" s="60"/>
      <c r="D50" s="60"/>
      <c r="E50" s="60"/>
      <c r="F50" s="60">
        <f t="shared" si="2"/>
        <v>0</v>
      </c>
      <c r="G50" s="60">
        <f t="shared" si="2"/>
        <v>0</v>
      </c>
    </row>
    <row r="51" spans="1:7" hidden="1" x14ac:dyDescent="0.25">
      <c r="A51" s="58" t="s">
        <v>99</v>
      </c>
      <c r="B51" s="59"/>
      <c r="C51" s="60"/>
      <c r="D51" s="60"/>
      <c r="E51" s="60"/>
      <c r="F51" s="60">
        <f t="shared" si="2"/>
        <v>0</v>
      </c>
      <c r="G51" s="60">
        <f t="shared" si="2"/>
        <v>0</v>
      </c>
    </row>
    <row r="52" spans="1:7" hidden="1" x14ac:dyDescent="0.25">
      <c r="A52" s="58"/>
      <c r="B52" s="59"/>
      <c r="C52" s="60"/>
      <c r="D52" s="60"/>
      <c r="E52" s="60"/>
      <c r="F52" s="60"/>
      <c r="G52" s="60"/>
    </row>
    <row r="53" spans="1:7" hidden="1" x14ac:dyDescent="0.25">
      <c r="A53" s="58"/>
      <c r="B53" s="59"/>
      <c r="C53" s="60"/>
      <c r="D53" s="60"/>
      <c r="E53" s="60"/>
      <c r="F53" s="60"/>
      <c r="G53" s="60"/>
    </row>
    <row r="54" spans="1:7" x14ac:dyDescent="0.25">
      <c r="A54" s="67"/>
      <c r="B54" s="68"/>
      <c r="C54" s="69"/>
      <c r="D54" s="69"/>
      <c r="E54" s="69"/>
      <c r="F54" s="69"/>
      <c r="G54" s="69"/>
    </row>
    <row r="55" spans="1:7" ht="40.5" customHeight="1" x14ac:dyDescent="0.25">
      <c r="A55" s="70"/>
      <c r="B55" s="567" t="s">
        <v>842</v>
      </c>
      <c r="C55" s="567"/>
      <c r="D55" s="567"/>
      <c r="E55" s="567"/>
      <c r="F55" s="567"/>
      <c r="G55" s="567"/>
    </row>
    <row r="56" spans="1:7" x14ac:dyDescent="0.25">
      <c r="B56" s="7" t="s">
        <v>843</v>
      </c>
      <c r="C56" s="7"/>
      <c r="D56" s="7"/>
      <c r="E56" s="7"/>
      <c r="F56" s="7"/>
      <c r="G56" s="7"/>
    </row>
    <row r="58" spans="1:7" x14ac:dyDescent="0.25">
      <c r="A58" s="568" t="s">
        <v>36</v>
      </c>
      <c r="B58" s="568"/>
      <c r="D58" s="568" t="s">
        <v>37</v>
      </c>
      <c r="E58" s="568"/>
      <c r="F58" s="568"/>
      <c r="G58" s="568"/>
    </row>
  </sheetData>
  <mergeCells count="24">
    <mergeCell ref="B55:G55"/>
    <mergeCell ref="A58:B58"/>
    <mergeCell ref="D58:G58"/>
    <mergeCell ref="C22:G22"/>
    <mergeCell ref="C23:G23"/>
    <mergeCell ref="B24:G24"/>
    <mergeCell ref="A27:A28"/>
    <mergeCell ref="B27:B28"/>
    <mergeCell ref="C27:D27"/>
    <mergeCell ref="E27:E28"/>
    <mergeCell ref="F27:F28"/>
    <mergeCell ref="G27:G28"/>
    <mergeCell ref="C21:G21"/>
    <mergeCell ref="A1:G1"/>
    <mergeCell ref="B3:G3"/>
    <mergeCell ref="C6:G6"/>
    <mergeCell ref="C7:G7"/>
    <mergeCell ref="C8:G8"/>
    <mergeCell ref="C9:G9"/>
    <mergeCell ref="C10:G10"/>
    <mergeCell ref="C15:G15"/>
    <mergeCell ref="C17:G17"/>
    <mergeCell ref="C19:G19"/>
    <mergeCell ref="C20:G20"/>
  </mergeCells>
  <printOptions horizontalCentered="1"/>
  <pageMargins left="0.19685039370078741" right="0.19685039370078741" top="0.59055118110236227" bottom="0.59055118110236227" header="0.31496062992125984" footer="0.31496062992125984"/>
  <pageSetup paperSize="9" orientation="portrait" r:id="rId1"/>
  <headerFooter>
    <oddFooter>&amp;C&amp;P/&amp;N</oddFooter>
  </headerFooter>
  <legacyDrawing r:id="rId2"/>
</worksheet>
</file>

<file path=xl/worksheets/sheet4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57"/>
  <sheetViews>
    <sheetView workbookViewId="0">
      <selection activeCell="E48" activeCellId="1" sqref="E45 E48"/>
    </sheetView>
  </sheetViews>
  <sheetFormatPr defaultRowHeight="18.75" x14ac:dyDescent="0.25"/>
  <cols>
    <col min="1" max="1" width="4.85546875" style="7" customWidth="1"/>
    <col min="2" max="2" width="44.7109375" style="7" customWidth="1"/>
    <col min="3" max="3" width="7.85546875" style="7" customWidth="1"/>
    <col min="4" max="4" width="7.85546875" style="237" customWidth="1"/>
    <col min="5" max="7" width="11.7109375" style="7" customWidth="1"/>
    <col min="8" max="16384" width="9.140625" style="7"/>
  </cols>
  <sheetData>
    <row r="1" spans="1:7" ht="41.25" customHeight="1" x14ac:dyDescent="0.25">
      <c r="A1" s="549" t="s">
        <v>459</v>
      </c>
      <c r="B1" s="555"/>
      <c r="C1" s="555"/>
      <c r="D1" s="555"/>
      <c r="E1" s="555"/>
      <c r="F1" s="555"/>
      <c r="G1" s="555"/>
    </row>
    <row r="2" spans="1:7" x14ac:dyDescent="0.25">
      <c r="A2" s="146"/>
      <c r="B2" s="146"/>
      <c r="C2" s="146"/>
      <c r="D2" s="232"/>
      <c r="E2" s="1"/>
      <c r="F2" s="1"/>
      <c r="G2" s="1"/>
    </row>
    <row r="3" spans="1:7" ht="40.5" customHeight="1" x14ac:dyDescent="0.25">
      <c r="B3" s="556" t="s">
        <v>885</v>
      </c>
      <c r="C3" s="556"/>
      <c r="D3" s="556"/>
      <c r="E3" s="556"/>
      <c r="F3" s="556"/>
      <c r="G3" s="556"/>
    </row>
    <row r="4" spans="1:7" x14ac:dyDescent="0.25">
      <c r="B4" s="7" t="s">
        <v>39</v>
      </c>
      <c r="D4" s="233"/>
      <c r="E4" s="8"/>
      <c r="F4" s="8"/>
      <c r="G4" s="8"/>
    </row>
    <row r="5" spans="1:7" s="146" customFormat="1" x14ac:dyDescent="0.25">
      <c r="B5" s="3" t="s">
        <v>18</v>
      </c>
      <c r="D5" s="234"/>
    </row>
    <row r="6" spans="1:7" x14ac:dyDescent="0.25">
      <c r="B6" s="2" t="s">
        <v>23</v>
      </c>
      <c r="C6" s="558" t="s">
        <v>49</v>
      </c>
      <c r="D6" s="558"/>
      <c r="E6" s="558"/>
      <c r="F6" s="558"/>
      <c r="G6" s="558"/>
    </row>
    <row r="7" spans="1:7" hidden="1" x14ac:dyDescent="0.25">
      <c r="A7" s="2"/>
      <c r="B7" s="2" t="s">
        <v>19</v>
      </c>
      <c r="C7" s="558" t="s">
        <v>50</v>
      </c>
      <c r="D7" s="558"/>
      <c r="E7" s="558"/>
      <c r="F7" s="558"/>
      <c r="G7" s="558"/>
    </row>
    <row r="8" spans="1:7" hidden="1" x14ac:dyDescent="0.25">
      <c r="A8" s="2"/>
      <c r="B8" s="2" t="s">
        <v>90</v>
      </c>
      <c r="C8" s="558" t="s">
        <v>60</v>
      </c>
      <c r="D8" s="558"/>
      <c r="E8" s="558"/>
      <c r="F8" s="558"/>
      <c r="G8" s="558"/>
    </row>
    <row r="9" spans="1:7" x14ac:dyDescent="0.25">
      <c r="A9" s="2"/>
      <c r="B9" s="2" t="s">
        <v>19</v>
      </c>
      <c r="C9" s="558" t="s">
        <v>50</v>
      </c>
      <c r="D9" s="558"/>
      <c r="E9" s="558"/>
      <c r="F9" s="558"/>
      <c r="G9" s="558"/>
    </row>
    <row r="10" spans="1:7" x14ac:dyDescent="0.25">
      <c r="A10" s="2"/>
      <c r="B10" s="2" t="s">
        <v>59</v>
      </c>
      <c r="C10" s="558" t="s">
        <v>60</v>
      </c>
      <c r="D10" s="558"/>
      <c r="E10" s="558"/>
      <c r="F10" s="558"/>
      <c r="G10" s="558"/>
    </row>
    <row r="11" spans="1:7" hidden="1" x14ac:dyDescent="0.25">
      <c r="A11" s="2"/>
      <c r="B11" s="2" t="s">
        <v>21</v>
      </c>
      <c r="C11" s="229" t="s">
        <v>87</v>
      </c>
      <c r="D11" s="235"/>
      <c r="E11" s="229"/>
      <c r="F11" s="229"/>
      <c r="G11" s="229"/>
    </row>
    <row r="12" spans="1:7" x14ac:dyDescent="0.25">
      <c r="A12" s="2"/>
      <c r="B12" s="2" t="s">
        <v>306</v>
      </c>
      <c r="C12" s="229" t="s">
        <v>88</v>
      </c>
      <c r="D12" s="235"/>
      <c r="E12" s="229"/>
      <c r="F12" s="229"/>
      <c r="G12" s="229"/>
    </row>
    <row r="13" spans="1:7" x14ac:dyDescent="0.25">
      <c r="A13" s="2"/>
      <c r="B13" s="2"/>
      <c r="C13" s="229"/>
      <c r="D13" s="235"/>
      <c r="E13" s="229"/>
      <c r="F13" s="229"/>
      <c r="G13" s="229"/>
    </row>
    <row r="14" spans="1:7" hidden="1" x14ac:dyDescent="0.25">
      <c r="A14" s="2"/>
      <c r="B14" s="2" t="s">
        <v>21</v>
      </c>
      <c r="C14" s="558"/>
      <c r="D14" s="558"/>
      <c r="E14" s="558"/>
      <c r="F14" s="558"/>
      <c r="G14" s="558"/>
    </row>
    <row r="15" spans="1:7" s="146" customFormat="1" x14ac:dyDescent="0.25">
      <c r="A15" s="3"/>
      <c r="B15" s="3" t="s">
        <v>879</v>
      </c>
      <c r="C15" s="3"/>
      <c r="D15" s="236"/>
      <c r="E15" s="3"/>
      <c r="F15" s="3"/>
      <c r="G15" s="3"/>
    </row>
    <row r="16" spans="1:7" x14ac:dyDescent="0.25">
      <c r="A16" s="2"/>
      <c r="B16" s="2" t="s">
        <v>880</v>
      </c>
      <c r="C16" s="558" t="s">
        <v>410</v>
      </c>
      <c r="D16" s="558"/>
      <c r="E16" s="558"/>
      <c r="F16" s="558"/>
      <c r="G16" s="558"/>
    </row>
    <row r="17" spans="1:7" hidden="1" x14ac:dyDescent="0.25">
      <c r="A17" s="2"/>
      <c r="B17" s="2" t="s">
        <v>20</v>
      </c>
      <c r="C17" s="229"/>
      <c r="D17" s="235"/>
      <c r="E17" s="229"/>
      <c r="F17" s="229"/>
      <c r="G17" s="229"/>
    </row>
    <row r="18" spans="1:7" x14ac:dyDescent="0.25">
      <c r="A18" s="2"/>
      <c r="B18" s="2" t="s">
        <v>881</v>
      </c>
      <c r="C18" s="558" t="s">
        <v>334</v>
      </c>
      <c r="D18" s="558"/>
      <c r="E18" s="558"/>
      <c r="F18" s="558"/>
      <c r="G18" s="558"/>
    </row>
    <row r="19" spans="1:7" hidden="1" x14ac:dyDescent="0.25">
      <c r="A19" s="2"/>
      <c r="B19" s="2" t="s">
        <v>20</v>
      </c>
      <c r="C19" s="558"/>
      <c r="D19" s="558"/>
      <c r="E19" s="558"/>
      <c r="F19" s="558"/>
      <c r="G19" s="558"/>
    </row>
    <row r="20" spans="1:7" hidden="1" x14ac:dyDescent="0.25">
      <c r="A20" s="2"/>
      <c r="B20" s="2" t="s">
        <v>21</v>
      </c>
      <c r="C20" s="558"/>
      <c r="D20" s="558"/>
      <c r="E20" s="558"/>
      <c r="F20" s="558"/>
      <c r="G20" s="558"/>
    </row>
    <row r="21" spans="1:7" hidden="1" x14ac:dyDescent="0.25">
      <c r="A21" s="2"/>
      <c r="B21" s="2" t="s">
        <v>21</v>
      </c>
      <c r="C21" s="558"/>
      <c r="D21" s="558"/>
      <c r="E21" s="558"/>
      <c r="F21" s="558"/>
      <c r="G21" s="558"/>
    </row>
    <row r="22" spans="1:7" hidden="1" x14ac:dyDescent="0.25">
      <c r="A22" s="2"/>
      <c r="B22" s="2" t="s">
        <v>21</v>
      </c>
      <c r="C22" s="558"/>
      <c r="D22" s="558"/>
      <c r="E22" s="558"/>
      <c r="F22" s="558"/>
      <c r="G22" s="558"/>
    </row>
    <row r="23" spans="1:7" ht="39.75" customHeight="1" x14ac:dyDescent="0.25">
      <c r="A23" s="2"/>
      <c r="B23" s="556" t="s">
        <v>460</v>
      </c>
      <c r="C23" s="556"/>
      <c r="D23" s="556"/>
      <c r="E23" s="556"/>
      <c r="F23" s="556"/>
      <c r="G23" s="556"/>
    </row>
    <row r="24" spans="1:7" x14ac:dyDescent="0.25">
      <c r="A24" s="4"/>
      <c r="G24" s="4" t="s">
        <v>61</v>
      </c>
    </row>
    <row r="25" spans="1:7" s="146" customFormat="1" ht="39" customHeight="1" x14ac:dyDescent="0.25">
      <c r="A25" s="551" t="s">
        <v>62</v>
      </c>
      <c r="B25" s="551" t="s">
        <v>2</v>
      </c>
      <c r="C25" s="551" t="s">
        <v>743</v>
      </c>
      <c r="D25" s="551"/>
      <c r="E25" s="551" t="s">
        <v>8</v>
      </c>
      <c r="F25" s="551" t="s">
        <v>9</v>
      </c>
      <c r="G25" s="551" t="s">
        <v>461</v>
      </c>
    </row>
    <row r="26" spans="1:7" s="146" customFormat="1" ht="93.75" x14ac:dyDescent="0.25">
      <c r="A26" s="551"/>
      <c r="B26" s="551"/>
      <c r="C26" s="228" t="s">
        <v>887</v>
      </c>
      <c r="D26" s="238" t="s">
        <v>888</v>
      </c>
      <c r="E26" s="551"/>
      <c r="F26" s="551"/>
      <c r="G26" s="551"/>
    </row>
    <row r="27" spans="1:7" x14ac:dyDescent="0.25">
      <c r="A27" s="5" t="s">
        <v>6</v>
      </c>
      <c r="B27" s="5" t="s">
        <v>7</v>
      </c>
      <c r="C27" s="5">
        <v>1</v>
      </c>
      <c r="D27" s="239">
        <v>2</v>
      </c>
      <c r="E27" s="5">
        <v>3</v>
      </c>
      <c r="F27" s="5">
        <v>4</v>
      </c>
      <c r="G27" s="5">
        <v>5</v>
      </c>
    </row>
    <row r="28" spans="1:7" s="146" customFormat="1" x14ac:dyDescent="0.25">
      <c r="A28" s="228"/>
      <c r="B28" s="228" t="s">
        <v>900</v>
      </c>
      <c r="C28" s="32"/>
      <c r="D28" s="240"/>
      <c r="E28" s="32">
        <f>E36</f>
        <v>15950</v>
      </c>
      <c r="F28" s="32">
        <f>F36</f>
        <v>7832.5</v>
      </c>
      <c r="G28" s="32">
        <f>G36</f>
        <v>3392.5</v>
      </c>
    </row>
    <row r="29" spans="1:7" s="50" customFormat="1" ht="37.5" x14ac:dyDescent="0.25">
      <c r="A29" s="9" t="s">
        <v>6</v>
      </c>
      <c r="B29" s="10" t="s">
        <v>886</v>
      </c>
      <c r="C29" s="20"/>
      <c r="D29" s="241"/>
      <c r="E29" s="20">
        <f>SUM(E30:E32)</f>
        <v>4866</v>
      </c>
      <c r="F29" s="20">
        <f>SUM(F30:F32)</f>
        <v>4866</v>
      </c>
      <c r="G29" s="20">
        <f>SUM(G30:G32)</f>
        <v>4866</v>
      </c>
    </row>
    <row r="30" spans="1:7" s="50" customFormat="1" x14ac:dyDescent="0.25">
      <c r="A30" s="11" t="s">
        <v>99</v>
      </c>
      <c r="B30" s="12" t="s">
        <v>882</v>
      </c>
      <c r="C30" s="21"/>
      <c r="D30" s="242"/>
      <c r="E30" s="21">
        <v>2779</v>
      </c>
      <c r="F30" s="21">
        <f t="shared" ref="F30:G34" si="0">E30</f>
        <v>2779</v>
      </c>
      <c r="G30" s="21">
        <f t="shared" si="0"/>
        <v>2779</v>
      </c>
    </row>
    <row r="31" spans="1:7" s="50" customFormat="1" ht="56.25" x14ac:dyDescent="0.25">
      <c r="A31" s="11" t="s">
        <v>99</v>
      </c>
      <c r="B31" s="12" t="s">
        <v>896</v>
      </c>
      <c r="C31" s="21"/>
      <c r="D31" s="242"/>
      <c r="E31" s="21">
        <v>1784</v>
      </c>
      <c r="F31" s="21">
        <f t="shared" si="0"/>
        <v>1784</v>
      </c>
      <c r="G31" s="21">
        <f t="shared" si="0"/>
        <v>1784</v>
      </c>
    </row>
    <row r="32" spans="1:7" s="50" customFormat="1" x14ac:dyDescent="0.25">
      <c r="A32" s="11" t="s">
        <v>99</v>
      </c>
      <c r="B32" s="12" t="s">
        <v>883</v>
      </c>
      <c r="C32" s="21"/>
      <c r="D32" s="242"/>
      <c r="E32" s="21">
        <v>303</v>
      </c>
      <c r="F32" s="21">
        <f>E32</f>
        <v>303</v>
      </c>
      <c r="G32" s="21">
        <f>F32</f>
        <v>303</v>
      </c>
    </row>
    <row r="33" spans="1:7" s="50" customFormat="1" ht="37.5" x14ac:dyDescent="0.25">
      <c r="A33" s="11" t="s">
        <v>99</v>
      </c>
      <c r="B33" s="231" t="s">
        <v>884</v>
      </c>
      <c r="C33" s="21"/>
      <c r="D33" s="242"/>
      <c r="E33" s="21">
        <f>(E30+500)*0.4</f>
        <v>1311.6000000000001</v>
      </c>
      <c r="F33" s="21">
        <f>E33</f>
        <v>1311.6000000000001</v>
      </c>
      <c r="G33" s="21">
        <f>F33</f>
        <v>1311.6000000000001</v>
      </c>
    </row>
    <row r="34" spans="1:7" s="50" customFormat="1" ht="37.5" hidden="1" x14ac:dyDescent="0.25">
      <c r="A34" s="11">
        <v>5</v>
      </c>
      <c r="B34" s="12" t="s">
        <v>186</v>
      </c>
      <c r="C34" s="21"/>
      <c r="D34" s="242"/>
      <c r="E34" s="21"/>
      <c r="F34" s="21">
        <f t="shared" si="0"/>
        <v>0</v>
      </c>
      <c r="G34" s="21">
        <f t="shared" si="0"/>
        <v>0</v>
      </c>
    </row>
    <row r="35" spans="1:7" s="50" customFormat="1" hidden="1" x14ac:dyDescent="0.25">
      <c r="A35" s="11">
        <v>5</v>
      </c>
      <c r="B35" s="12" t="s">
        <v>65</v>
      </c>
      <c r="C35" s="21"/>
      <c r="D35" s="242"/>
      <c r="E35" s="21"/>
      <c r="F35" s="21">
        <f>E35</f>
        <v>0</v>
      </c>
      <c r="G35" s="21">
        <f>F35</f>
        <v>0</v>
      </c>
    </row>
    <row r="36" spans="1:7" s="146" customFormat="1" ht="21" customHeight="1" x14ac:dyDescent="0.25">
      <c r="A36" s="13" t="s">
        <v>7</v>
      </c>
      <c r="B36" s="14" t="s">
        <v>58</v>
      </c>
      <c r="C36" s="22"/>
      <c r="D36" s="249"/>
      <c r="E36" s="22">
        <f>E37+E48</f>
        <v>15950</v>
      </c>
      <c r="F36" s="22">
        <f>F37+F48</f>
        <v>7832.5</v>
      </c>
      <c r="G36" s="22">
        <f>G37+G48</f>
        <v>3392.5</v>
      </c>
    </row>
    <row r="37" spans="1:7" s="146" customFormat="1" x14ac:dyDescent="0.25">
      <c r="A37" s="13" t="s">
        <v>51</v>
      </c>
      <c r="B37" s="14" t="s">
        <v>893</v>
      </c>
      <c r="C37" s="22"/>
      <c r="D37" s="249"/>
      <c r="E37" s="22">
        <f>E38+E45</f>
        <v>12500</v>
      </c>
      <c r="F37" s="22">
        <f>F38+F45</f>
        <v>7832.5</v>
      </c>
      <c r="G37" s="22">
        <f>G38+G45</f>
        <v>3392.5</v>
      </c>
    </row>
    <row r="38" spans="1:7" ht="19.5" x14ac:dyDescent="0.25">
      <c r="A38" s="201">
        <v>1</v>
      </c>
      <c r="B38" s="202" t="s">
        <v>717</v>
      </c>
      <c r="C38" s="203"/>
      <c r="D38" s="243"/>
      <c r="E38" s="203">
        <f>SUM(E39:E44)</f>
        <v>11407.5</v>
      </c>
      <c r="F38" s="203">
        <f>SUM(F39:F44)</f>
        <v>6740</v>
      </c>
      <c r="G38" s="203">
        <f>SUM(G39:G44)</f>
        <v>2300</v>
      </c>
    </row>
    <row r="39" spans="1:7" x14ac:dyDescent="0.25">
      <c r="A39" s="204" t="s">
        <v>510</v>
      </c>
      <c r="B39" s="12" t="s">
        <v>889</v>
      </c>
      <c r="C39" s="21">
        <v>227</v>
      </c>
      <c r="D39" s="247">
        <v>5</v>
      </c>
      <c r="E39" s="21">
        <f t="shared" ref="E39:E44" si="1">C39*D39</f>
        <v>1135</v>
      </c>
      <c r="F39" s="21"/>
      <c r="G39" s="21"/>
    </row>
    <row r="40" spans="1:7" x14ac:dyDescent="0.25">
      <c r="A40" s="204" t="s">
        <v>510</v>
      </c>
      <c r="B40" s="12" t="s">
        <v>890</v>
      </c>
      <c r="C40" s="21">
        <v>231</v>
      </c>
      <c r="D40" s="242">
        <v>4.5</v>
      </c>
      <c r="E40" s="21">
        <f t="shared" si="1"/>
        <v>1039.5</v>
      </c>
      <c r="F40" s="21"/>
      <c r="G40" s="21"/>
    </row>
    <row r="41" spans="1:7" x14ac:dyDescent="0.25">
      <c r="A41" s="204" t="s">
        <v>510</v>
      </c>
      <c r="B41" s="12" t="s">
        <v>891</v>
      </c>
      <c r="C41" s="21">
        <v>474</v>
      </c>
      <c r="D41" s="247">
        <v>5</v>
      </c>
      <c r="E41" s="21">
        <f t="shared" si="1"/>
        <v>2370</v>
      </c>
      <c r="F41" s="21">
        <f>E41</f>
        <v>2370</v>
      </c>
      <c r="G41" s="21"/>
    </row>
    <row r="42" spans="1:7" x14ac:dyDescent="0.25">
      <c r="A42" s="204" t="s">
        <v>510</v>
      </c>
      <c r="B42" s="12" t="s">
        <v>898</v>
      </c>
      <c r="C42" s="21">
        <v>554</v>
      </c>
      <c r="D42" s="242">
        <v>4.5</v>
      </c>
      <c r="E42" s="21">
        <f t="shared" si="1"/>
        <v>2493</v>
      </c>
      <c r="F42" s="21"/>
      <c r="G42" s="21"/>
    </row>
    <row r="43" spans="1:7" x14ac:dyDescent="0.25">
      <c r="A43" s="204" t="s">
        <v>510</v>
      </c>
      <c r="B43" s="12" t="s">
        <v>892</v>
      </c>
      <c r="C43" s="21">
        <v>460</v>
      </c>
      <c r="D43" s="248">
        <v>5</v>
      </c>
      <c r="E43" s="21">
        <f t="shared" si="1"/>
        <v>2300</v>
      </c>
      <c r="F43" s="21">
        <f>E43</f>
        <v>2300</v>
      </c>
      <c r="G43" s="21">
        <f>F43</f>
        <v>2300</v>
      </c>
    </row>
    <row r="44" spans="1:7" x14ac:dyDescent="0.25">
      <c r="A44" s="204" t="s">
        <v>510</v>
      </c>
      <c r="B44" s="12" t="s">
        <v>899</v>
      </c>
      <c r="C44" s="21">
        <v>460</v>
      </c>
      <c r="D44" s="244">
        <v>4.5</v>
      </c>
      <c r="E44" s="21">
        <f t="shared" si="1"/>
        <v>2070</v>
      </c>
      <c r="F44" s="21">
        <f>E44</f>
        <v>2070</v>
      </c>
      <c r="G44" s="21"/>
    </row>
    <row r="45" spans="1:7" ht="39" x14ac:dyDescent="0.25">
      <c r="A45" s="201">
        <v>2</v>
      </c>
      <c r="B45" s="202" t="s">
        <v>897</v>
      </c>
      <c r="C45" s="203"/>
      <c r="D45" s="243"/>
      <c r="E45" s="203">
        <f>SUM(E46:E47)</f>
        <v>1092.5</v>
      </c>
      <c r="F45" s="203">
        <f>SUM(F46:F47)</f>
        <v>1092.5</v>
      </c>
      <c r="G45" s="203">
        <f>SUM(G46:G47)</f>
        <v>1092.5</v>
      </c>
    </row>
    <row r="46" spans="1:7" x14ac:dyDescent="0.25">
      <c r="A46" s="204" t="s">
        <v>510</v>
      </c>
      <c r="B46" s="12" t="s">
        <v>894</v>
      </c>
      <c r="C46" s="21">
        <v>460</v>
      </c>
      <c r="D46" s="248">
        <v>5</v>
      </c>
      <c r="E46" s="21">
        <f>(C46*D46)/12*3</f>
        <v>575</v>
      </c>
      <c r="F46" s="21">
        <f>E46</f>
        <v>575</v>
      </c>
      <c r="G46" s="21">
        <f>F46</f>
        <v>575</v>
      </c>
    </row>
    <row r="47" spans="1:7" x14ac:dyDescent="0.25">
      <c r="A47" s="204" t="s">
        <v>510</v>
      </c>
      <c r="B47" s="12" t="s">
        <v>895</v>
      </c>
      <c r="C47" s="21">
        <v>460</v>
      </c>
      <c r="D47" s="244">
        <v>4.5</v>
      </c>
      <c r="E47" s="21">
        <f>(C47*D47)/12*3</f>
        <v>517.5</v>
      </c>
      <c r="F47" s="21">
        <f>E47</f>
        <v>517.5</v>
      </c>
      <c r="G47" s="21">
        <f>F47</f>
        <v>517.5</v>
      </c>
    </row>
    <row r="48" spans="1:7" s="50" customFormat="1" x14ac:dyDescent="0.25">
      <c r="A48" s="62" t="s">
        <v>52</v>
      </c>
      <c r="B48" s="63" t="s">
        <v>350</v>
      </c>
      <c r="C48" s="64"/>
      <c r="D48" s="245"/>
      <c r="E48" s="64">
        <f>SUM(E49:E52)</f>
        <v>3450</v>
      </c>
      <c r="F48" s="64">
        <f>SUM(F49:F52)</f>
        <v>0</v>
      </c>
      <c r="G48" s="64">
        <f>SUM(G49:G52)</f>
        <v>0</v>
      </c>
    </row>
    <row r="49" spans="1:7" s="49" customFormat="1" ht="37.5" x14ac:dyDescent="0.25">
      <c r="A49" s="58" t="s">
        <v>99</v>
      </c>
      <c r="B49" s="59" t="s">
        <v>901</v>
      </c>
      <c r="C49" s="60"/>
      <c r="D49" s="246"/>
      <c r="E49" s="60">
        <v>700</v>
      </c>
      <c r="F49" s="60"/>
      <c r="G49" s="60"/>
    </row>
    <row r="50" spans="1:7" s="49" customFormat="1" hidden="1" x14ac:dyDescent="0.3">
      <c r="A50" s="58" t="s">
        <v>99</v>
      </c>
      <c r="B50" s="65"/>
      <c r="C50" s="60"/>
      <c r="D50" s="246"/>
      <c r="E50" s="60"/>
      <c r="F50" s="60"/>
      <c r="G50" s="60"/>
    </row>
    <row r="51" spans="1:7" s="49" customFormat="1" x14ac:dyDescent="0.25">
      <c r="A51" s="58" t="s">
        <v>99</v>
      </c>
      <c r="B51" s="59" t="s">
        <v>903</v>
      </c>
      <c r="C51" s="60"/>
      <c r="D51" s="246"/>
      <c r="E51" s="60">
        <v>300</v>
      </c>
      <c r="F51" s="60"/>
      <c r="G51" s="60"/>
    </row>
    <row r="52" spans="1:7" s="49" customFormat="1" ht="37.5" x14ac:dyDescent="0.25">
      <c r="A52" s="58" t="s">
        <v>99</v>
      </c>
      <c r="B52" s="12" t="s">
        <v>902</v>
      </c>
      <c r="C52" s="60"/>
      <c r="D52" s="246"/>
      <c r="E52" s="60">
        <v>2450</v>
      </c>
      <c r="F52" s="60"/>
      <c r="G52" s="60"/>
    </row>
    <row r="53" spans="1:7" s="49" customFormat="1" x14ac:dyDescent="0.25">
      <c r="A53" s="67"/>
      <c r="B53" s="68"/>
      <c r="C53" s="69"/>
      <c r="D53" s="250"/>
      <c r="E53" s="69"/>
      <c r="F53" s="69"/>
      <c r="G53" s="69"/>
    </row>
    <row r="54" spans="1:7" s="49" customFormat="1" ht="40.5" customHeight="1" x14ac:dyDescent="0.25">
      <c r="A54" s="70"/>
      <c r="B54" s="584" t="s">
        <v>905</v>
      </c>
      <c r="C54" s="584"/>
      <c r="D54" s="584"/>
      <c r="E54" s="584"/>
      <c r="F54" s="584"/>
      <c r="G54" s="584"/>
    </row>
    <row r="55" spans="1:7" x14ac:dyDescent="0.25">
      <c r="A55" s="2"/>
      <c r="B55" s="7" t="s">
        <v>904</v>
      </c>
    </row>
    <row r="56" spans="1:7" x14ac:dyDescent="0.25">
      <c r="A56" s="2"/>
    </row>
    <row r="57" spans="1:7" x14ac:dyDescent="0.25">
      <c r="A57" s="550" t="s">
        <v>36</v>
      </c>
      <c r="B57" s="550"/>
      <c r="D57" s="550" t="s">
        <v>37</v>
      </c>
      <c r="E57" s="550"/>
      <c r="F57" s="550"/>
      <c r="G57" s="550"/>
    </row>
  </sheetData>
  <mergeCells count="24">
    <mergeCell ref="C20:G20"/>
    <mergeCell ref="A1:G1"/>
    <mergeCell ref="B3:G3"/>
    <mergeCell ref="C6:G6"/>
    <mergeCell ref="C7:G7"/>
    <mergeCell ref="C8:G8"/>
    <mergeCell ref="C9:G9"/>
    <mergeCell ref="C10:G10"/>
    <mergeCell ref="C14:G14"/>
    <mergeCell ref="C16:G16"/>
    <mergeCell ref="C18:G18"/>
    <mergeCell ref="C19:G19"/>
    <mergeCell ref="B54:G54"/>
    <mergeCell ref="A57:B57"/>
    <mergeCell ref="D57:G57"/>
    <mergeCell ref="C21:G21"/>
    <mergeCell ref="C22:G22"/>
    <mergeCell ref="B23:G23"/>
    <mergeCell ref="A25:A26"/>
    <mergeCell ref="B25:B26"/>
    <mergeCell ref="C25:D25"/>
    <mergeCell ref="E25:E26"/>
    <mergeCell ref="F25:F26"/>
    <mergeCell ref="G25:G26"/>
  </mergeCells>
  <pageMargins left="0.25" right="0.23622047244094499" top="0.53" bottom="0.21" header="0.31496062992126" footer="0.31496062992126"/>
  <pageSetup scale="95" orientation="portrait" r:id="rId1"/>
  <legacyDrawing r:id="rId2"/>
</worksheet>
</file>

<file path=xl/worksheets/sheet4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57"/>
  <sheetViews>
    <sheetView workbookViewId="0">
      <selection activeCell="E48" activeCellId="1" sqref="E45 E48"/>
    </sheetView>
  </sheetViews>
  <sheetFormatPr defaultRowHeight="18.75" x14ac:dyDescent="0.25"/>
  <cols>
    <col min="1" max="1" width="4.85546875" style="7" customWidth="1"/>
    <col min="2" max="2" width="44.7109375" style="7" customWidth="1"/>
    <col min="3" max="3" width="7.85546875" style="7" customWidth="1"/>
    <col min="4" max="4" width="7.85546875" style="237" customWidth="1"/>
    <col min="5" max="7" width="11.7109375" style="7" customWidth="1"/>
    <col min="8" max="16384" width="9.140625" style="7"/>
  </cols>
  <sheetData>
    <row r="1" spans="1:7" ht="41.25" customHeight="1" x14ac:dyDescent="0.25">
      <c r="A1" s="549" t="s">
        <v>459</v>
      </c>
      <c r="B1" s="555"/>
      <c r="C1" s="555"/>
      <c r="D1" s="555"/>
      <c r="E1" s="555"/>
      <c r="F1" s="555"/>
      <c r="G1" s="555"/>
    </row>
    <row r="2" spans="1:7" x14ac:dyDescent="0.25">
      <c r="A2" s="146"/>
      <c r="B2" s="146"/>
      <c r="C2" s="146"/>
      <c r="D2" s="232"/>
      <c r="E2" s="1"/>
      <c r="F2" s="1"/>
      <c r="G2" s="1"/>
    </row>
    <row r="3" spans="1:7" ht="40.5" customHeight="1" x14ac:dyDescent="0.25">
      <c r="B3" s="556" t="s">
        <v>885</v>
      </c>
      <c r="C3" s="556"/>
      <c r="D3" s="556"/>
      <c r="E3" s="556"/>
      <c r="F3" s="556"/>
      <c r="G3" s="556"/>
    </row>
    <row r="4" spans="1:7" x14ac:dyDescent="0.25">
      <c r="B4" s="7" t="s">
        <v>39</v>
      </c>
      <c r="D4" s="233"/>
      <c r="E4" s="8"/>
      <c r="F4" s="8"/>
      <c r="G4" s="8"/>
    </row>
    <row r="5" spans="1:7" s="146" customFormat="1" x14ac:dyDescent="0.25">
      <c r="B5" s="3" t="s">
        <v>18</v>
      </c>
      <c r="D5" s="234"/>
    </row>
    <row r="6" spans="1:7" x14ac:dyDescent="0.25">
      <c r="B6" s="2" t="s">
        <v>23</v>
      </c>
      <c r="C6" s="558" t="s">
        <v>49</v>
      </c>
      <c r="D6" s="558"/>
      <c r="E6" s="558"/>
      <c r="F6" s="558"/>
      <c r="G6" s="558"/>
    </row>
    <row r="7" spans="1:7" hidden="1" x14ac:dyDescent="0.25">
      <c r="A7" s="2"/>
      <c r="B7" s="2" t="s">
        <v>19</v>
      </c>
      <c r="C7" s="558" t="s">
        <v>50</v>
      </c>
      <c r="D7" s="558"/>
      <c r="E7" s="558"/>
      <c r="F7" s="558"/>
      <c r="G7" s="558"/>
    </row>
    <row r="8" spans="1:7" hidden="1" x14ac:dyDescent="0.25">
      <c r="A8" s="2"/>
      <c r="B8" s="2" t="s">
        <v>90</v>
      </c>
      <c r="C8" s="558" t="s">
        <v>60</v>
      </c>
      <c r="D8" s="558"/>
      <c r="E8" s="558"/>
      <c r="F8" s="558"/>
      <c r="G8" s="558"/>
    </row>
    <row r="9" spans="1:7" x14ac:dyDescent="0.25">
      <c r="A9" s="2"/>
      <c r="B9" s="2" t="s">
        <v>19</v>
      </c>
      <c r="C9" s="558" t="s">
        <v>50</v>
      </c>
      <c r="D9" s="558"/>
      <c r="E9" s="558"/>
      <c r="F9" s="558"/>
      <c r="G9" s="558"/>
    </row>
    <row r="10" spans="1:7" x14ac:dyDescent="0.25">
      <c r="A10" s="2"/>
      <c r="B10" s="2" t="s">
        <v>59</v>
      </c>
      <c r="C10" s="558" t="s">
        <v>60</v>
      </c>
      <c r="D10" s="558"/>
      <c r="E10" s="558"/>
      <c r="F10" s="558"/>
      <c r="G10" s="558"/>
    </row>
    <row r="11" spans="1:7" hidden="1" x14ac:dyDescent="0.25">
      <c r="A11" s="2"/>
      <c r="B11" s="2" t="s">
        <v>21</v>
      </c>
      <c r="C11" s="262" t="s">
        <v>87</v>
      </c>
      <c r="D11" s="235"/>
      <c r="E11" s="262"/>
      <c r="F11" s="262"/>
      <c r="G11" s="262"/>
    </row>
    <row r="12" spans="1:7" x14ac:dyDescent="0.25">
      <c r="A12" s="2"/>
      <c r="B12" s="2" t="s">
        <v>306</v>
      </c>
      <c r="C12" s="262" t="s">
        <v>88</v>
      </c>
      <c r="D12" s="235"/>
      <c r="E12" s="262"/>
      <c r="F12" s="262"/>
      <c r="G12" s="262"/>
    </row>
    <row r="13" spans="1:7" x14ac:dyDescent="0.25">
      <c r="A13" s="2"/>
      <c r="B13" s="2"/>
      <c r="C13" s="262"/>
      <c r="D13" s="235"/>
      <c r="E13" s="262"/>
      <c r="F13" s="262"/>
      <c r="G13" s="262"/>
    </row>
    <row r="14" spans="1:7" hidden="1" x14ac:dyDescent="0.25">
      <c r="A14" s="2"/>
      <c r="B14" s="2" t="s">
        <v>21</v>
      </c>
      <c r="C14" s="558"/>
      <c r="D14" s="558"/>
      <c r="E14" s="558"/>
      <c r="F14" s="558"/>
      <c r="G14" s="558"/>
    </row>
    <row r="15" spans="1:7" s="146" customFormat="1" x14ac:dyDescent="0.25">
      <c r="A15" s="3"/>
      <c r="B15" s="3" t="s">
        <v>879</v>
      </c>
      <c r="C15" s="3"/>
      <c r="D15" s="236"/>
      <c r="E15" s="3"/>
      <c r="F15" s="3"/>
      <c r="G15" s="3"/>
    </row>
    <row r="16" spans="1:7" x14ac:dyDescent="0.25">
      <c r="A16" s="2"/>
      <c r="B16" s="2" t="s">
        <v>880</v>
      </c>
      <c r="C16" s="558" t="s">
        <v>410</v>
      </c>
      <c r="D16" s="558"/>
      <c r="E16" s="558"/>
      <c r="F16" s="558"/>
      <c r="G16" s="558"/>
    </row>
    <row r="17" spans="1:7" hidden="1" x14ac:dyDescent="0.25">
      <c r="A17" s="2"/>
      <c r="B17" s="2" t="s">
        <v>20</v>
      </c>
      <c r="C17" s="262"/>
      <c r="D17" s="235"/>
      <c r="E17" s="262"/>
      <c r="F17" s="262"/>
      <c r="G17" s="262"/>
    </row>
    <row r="18" spans="1:7" x14ac:dyDescent="0.25">
      <c r="A18" s="2"/>
      <c r="B18" s="2" t="s">
        <v>881</v>
      </c>
      <c r="C18" s="558" t="s">
        <v>334</v>
      </c>
      <c r="D18" s="558"/>
      <c r="E18" s="558"/>
      <c r="F18" s="558"/>
      <c r="G18" s="558"/>
    </row>
    <row r="19" spans="1:7" hidden="1" x14ac:dyDescent="0.25">
      <c r="A19" s="2"/>
      <c r="B19" s="2" t="s">
        <v>20</v>
      </c>
      <c r="C19" s="558"/>
      <c r="D19" s="558"/>
      <c r="E19" s="558"/>
      <c r="F19" s="558"/>
      <c r="G19" s="558"/>
    </row>
    <row r="20" spans="1:7" hidden="1" x14ac:dyDescent="0.25">
      <c r="A20" s="2"/>
      <c r="B20" s="2" t="s">
        <v>21</v>
      </c>
      <c r="C20" s="558"/>
      <c r="D20" s="558"/>
      <c r="E20" s="558"/>
      <c r="F20" s="558"/>
      <c r="G20" s="558"/>
    </row>
    <row r="21" spans="1:7" hidden="1" x14ac:dyDescent="0.25">
      <c r="A21" s="2"/>
      <c r="B21" s="2" t="s">
        <v>21</v>
      </c>
      <c r="C21" s="558"/>
      <c r="D21" s="558"/>
      <c r="E21" s="558"/>
      <c r="F21" s="558"/>
      <c r="G21" s="558"/>
    </row>
    <row r="22" spans="1:7" hidden="1" x14ac:dyDescent="0.25">
      <c r="A22" s="2"/>
      <c r="B22" s="2" t="s">
        <v>21</v>
      </c>
      <c r="C22" s="558"/>
      <c r="D22" s="558"/>
      <c r="E22" s="558"/>
      <c r="F22" s="558"/>
      <c r="G22" s="558"/>
    </row>
    <row r="23" spans="1:7" ht="39.75" customHeight="1" x14ac:dyDescent="0.25">
      <c r="A23" s="2"/>
      <c r="B23" s="556" t="s">
        <v>460</v>
      </c>
      <c r="C23" s="556"/>
      <c r="D23" s="556"/>
      <c r="E23" s="556"/>
      <c r="F23" s="556"/>
      <c r="G23" s="556"/>
    </row>
    <row r="24" spans="1:7" x14ac:dyDescent="0.25">
      <c r="A24" s="4"/>
      <c r="G24" s="4" t="s">
        <v>61</v>
      </c>
    </row>
    <row r="25" spans="1:7" s="146" customFormat="1" ht="39" customHeight="1" x14ac:dyDescent="0.25">
      <c r="A25" s="551" t="s">
        <v>62</v>
      </c>
      <c r="B25" s="551" t="s">
        <v>2</v>
      </c>
      <c r="C25" s="551" t="s">
        <v>743</v>
      </c>
      <c r="D25" s="551"/>
      <c r="E25" s="551" t="s">
        <v>8</v>
      </c>
      <c r="F25" s="551" t="s">
        <v>9</v>
      </c>
      <c r="G25" s="551" t="s">
        <v>461</v>
      </c>
    </row>
    <row r="26" spans="1:7" s="146" customFormat="1" ht="93.75" x14ac:dyDescent="0.25">
      <c r="A26" s="551"/>
      <c r="B26" s="551"/>
      <c r="C26" s="263" t="s">
        <v>887</v>
      </c>
      <c r="D26" s="238" t="s">
        <v>888</v>
      </c>
      <c r="E26" s="551"/>
      <c r="F26" s="551"/>
      <c r="G26" s="551"/>
    </row>
    <row r="27" spans="1:7" x14ac:dyDescent="0.25">
      <c r="A27" s="5" t="s">
        <v>6</v>
      </c>
      <c r="B27" s="5" t="s">
        <v>7</v>
      </c>
      <c r="C27" s="5">
        <v>1</v>
      </c>
      <c r="D27" s="239">
        <v>2</v>
      </c>
      <c r="E27" s="5">
        <v>3</v>
      </c>
      <c r="F27" s="5">
        <v>4</v>
      </c>
      <c r="G27" s="5">
        <v>5</v>
      </c>
    </row>
    <row r="28" spans="1:7" s="146" customFormat="1" x14ac:dyDescent="0.25">
      <c r="A28" s="263"/>
      <c r="B28" s="263" t="s">
        <v>900</v>
      </c>
      <c r="C28" s="32"/>
      <c r="D28" s="240"/>
      <c r="E28" s="32">
        <f>E36</f>
        <v>15950</v>
      </c>
      <c r="F28" s="32">
        <f>F36</f>
        <v>7832.5</v>
      </c>
      <c r="G28" s="32">
        <f>G36</f>
        <v>3392.5</v>
      </c>
    </row>
    <row r="29" spans="1:7" s="50" customFormat="1" ht="37.5" x14ac:dyDescent="0.25">
      <c r="A29" s="9" t="s">
        <v>6</v>
      </c>
      <c r="B29" s="10" t="s">
        <v>886</v>
      </c>
      <c r="C29" s="20"/>
      <c r="D29" s="241"/>
      <c r="E29" s="20">
        <f>SUM(E30:E32)</f>
        <v>4866</v>
      </c>
      <c r="F29" s="20">
        <f>SUM(F30:F32)</f>
        <v>4866</v>
      </c>
      <c r="G29" s="20">
        <f>SUM(G30:G32)</f>
        <v>4866</v>
      </c>
    </row>
    <row r="30" spans="1:7" s="50" customFormat="1" x14ac:dyDescent="0.25">
      <c r="A30" s="11" t="s">
        <v>99</v>
      </c>
      <c r="B30" s="12" t="s">
        <v>882</v>
      </c>
      <c r="C30" s="21"/>
      <c r="D30" s="242"/>
      <c r="E30" s="21">
        <v>2779</v>
      </c>
      <c r="F30" s="21">
        <f t="shared" ref="F30:G35" si="0">E30</f>
        <v>2779</v>
      </c>
      <c r="G30" s="21">
        <f t="shared" si="0"/>
        <v>2779</v>
      </c>
    </row>
    <row r="31" spans="1:7" s="50" customFormat="1" ht="56.25" x14ac:dyDescent="0.25">
      <c r="A31" s="11" t="s">
        <v>99</v>
      </c>
      <c r="B31" s="12" t="s">
        <v>896</v>
      </c>
      <c r="C31" s="21"/>
      <c r="D31" s="242"/>
      <c r="E31" s="21">
        <v>1784</v>
      </c>
      <c r="F31" s="21">
        <f t="shared" si="0"/>
        <v>1784</v>
      </c>
      <c r="G31" s="21">
        <f t="shared" si="0"/>
        <v>1784</v>
      </c>
    </row>
    <row r="32" spans="1:7" s="50" customFormat="1" x14ac:dyDescent="0.25">
      <c r="A32" s="11" t="s">
        <v>99</v>
      </c>
      <c r="B32" s="12" t="s">
        <v>883</v>
      </c>
      <c r="C32" s="21"/>
      <c r="D32" s="242"/>
      <c r="E32" s="21">
        <v>303</v>
      </c>
      <c r="F32" s="21">
        <f t="shared" si="0"/>
        <v>303</v>
      </c>
      <c r="G32" s="21">
        <f t="shared" si="0"/>
        <v>303</v>
      </c>
    </row>
    <row r="33" spans="1:7" s="50" customFormat="1" ht="37.5" x14ac:dyDescent="0.25">
      <c r="A33" s="11" t="s">
        <v>99</v>
      </c>
      <c r="B33" s="231" t="s">
        <v>884</v>
      </c>
      <c r="C33" s="21"/>
      <c r="D33" s="242"/>
      <c r="E33" s="21">
        <f>(E30+500)*0.4</f>
        <v>1311.6000000000001</v>
      </c>
      <c r="F33" s="21">
        <f t="shared" si="0"/>
        <v>1311.6000000000001</v>
      </c>
      <c r="G33" s="21">
        <f t="shared" si="0"/>
        <v>1311.6000000000001</v>
      </c>
    </row>
    <row r="34" spans="1:7" s="50" customFormat="1" ht="37.5" hidden="1" x14ac:dyDescent="0.25">
      <c r="A34" s="11">
        <v>5</v>
      </c>
      <c r="B34" s="12" t="s">
        <v>186</v>
      </c>
      <c r="C34" s="21"/>
      <c r="D34" s="242"/>
      <c r="E34" s="21"/>
      <c r="F34" s="21">
        <f t="shared" si="0"/>
        <v>0</v>
      </c>
      <c r="G34" s="21">
        <f t="shared" si="0"/>
        <v>0</v>
      </c>
    </row>
    <row r="35" spans="1:7" s="50" customFormat="1" hidden="1" x14ac:dyDescent="0.25">
      <c r="A35" s="11">
        <v>5</v>
      </c>
      <c r="B35" s="12" t="s">
        <v>65</v>
      </c>
      <c r="C35" s="21"/>
      <c r="D35" s="242"/>
      <c r="E35" s="21"/>
      <c r="F35" s="21">
        <f t="shared" si="0"/>
        <v>0</v>
      </c>
      <c r="G35" s="21">
        <f t="shared" si="0"/>
        <v>0</v>
      </c>
    </row>
    <row r="36" spans="1:7" s="146" customFormat="1" ht="21" customHeight="1" x14ac:dyDescent="0.25">
      <c r="A36" s="13" t="s">
        <v>7</v>
      </c>
      <c r="B36" s="14" t="s">
        <v>58</v>
      </c>
      <c r="C36" s="22"/>
      <c r="D36" s="249"/>
      <c r="E36" s="22">
        <f>E37+E48</f>
        <v>15950</v>
      </c>
      <c r="F36" s="22">
        <f>F37+F48</f>
        <v>7832.5</v>
      </c>
      <c r="G36" s="22">
        <f>G37+G48</f>
        <v>3392.5</v>
      </c>
    </row>
    <row r="37" spans="1:7" s="146" customFormat="1" x14ac:dyDescent="0.25">
      <c r="A37" s="13" t="s">
        <v>51</v>
      </c>
      <c r="B37" s="14" t="s">
        <v>893</v>
      </c>
      <c r="C37" s="22"/>
      <c r="D37" s="249"/>
      <c r="E37" s="22">
        <f>E38+E45</f>
        <v>12500</v>
      </c>
      <c r="F37" s="22">
        <f>F38+F45</f>
        <v>7832.5</v>
      </c>
      <c r="G37" s="22">
        <f>G38+G45</f>
        <v>3392.5</v>
      </c>
    </row>
    <row r="38" spans="1:7" ht="19.5" x14ac:dyDescent="0.25">
      <c r="A38" s="201">
        <v>1</v>
      </c>
      <c r="B38" s="202" t="s">
        <v>717</v>
      </c>
      <c r="C38" s="203"/>
      <c r="D38" s="243"/>
      <c r="E38" s="203">
        <f>SUM(E39:E44)</f>
        <v>11407.5</v>
      </c>
      <c r="F38" s="203">
        <f>SUM(F39:F44)</f>
        <v>6740</v>
      </c>
      <c r="G38" s="203">
        <f>SUM(G39:G44)</f>
        <v>2300</v>
      </c>
    </row>
    <row r="39" spans="1:7" x14ac:dyDescent="0.25">
      <c r="A39" s="204" t="s">
        <v>510</v>
      </c>
      <c r="B39" s="12" t="s">
        <v>889</v>
      </c>
      <c r="C39" s="21">
        <v>227</v>
      </c>
      <c r="D39" s="247">
        <v>5</v>
      </c>
      <c r="E39" s="21">
        <f t="shared" ref="E39:E44" si="1">C39*D39</f>
        <v>1135</v>
      </c>
      <c r="F39" s="21"/>
      <c r="G39" s="21"/>
    </row>
    <row r="40" spans="1:7" x14ac:dyDescent="0.25">
      <c r="A40" s="204" t="s">
        <v>510</v>
      </c>
      <c r="B40" s="12" t="s">
        <v>890</v>
      </c>
      <c r="C40" s="21">
        <v>231</v>
      </c>
      <c r="D40" s="242">
        <v>4.5</v>
      </c>
      <c r="E40" s="21">
        <f t="shared" si="1"/>
        <v>1039.5</v>
      </c>
      <c r="F40" s="21"/>
      <c r="G40" s="21"/>
    </row>
    <row r="41" spans="1:7" x14ac:dyDescent="0.25">
      <c r="A41" s="204" t="s">
        <v>510</v>
      </c>
      <c r="B41" s="12" t="s">
        <v>891</v>
      </c>
      <c r="C41" s="21">
        <v>474</v>
      </c>
      <c r="D41" s="247">
        <v>5</v>
      </c>
      <c r="E41" s="21">
        <f t="shared" si="1"/>
        <v>2370</v>
      </c>
      <c r="F41" s="21">
        <f>E41</f>
        <v>2370</v>
      </c>
      <c r="G41" s="21"/>
    </row>
    <row r="42" spans="1:7" x14ac:dyDescent="0.25">
      <c r="A42" s="204" t="s">
        <v>510</v>
      </c>
      <c r="B42" s="12" t="s">
        <v>898</v>
      </c>
      <c r="C42" s="21">
        <v>554</v>
      </c>
      <c r="D42" s="242">
        <v>4.5</v>
      </c>
      <c r="E42" s="21">
        <f t="shared" si="1"/>
        <v>2493</v>
      </c>
      <c r="F42" s="21"/>
      <c r="G42" s="21"/>
    </row>
    <row r="43" spans="1:7" x14ac:dyDescent="0.25">
      <c r="A43" s="204" t="s">
        <v>510</v>
      </c>
      <c r="B43" s="12" t="s">
        <v>892</v>
      </c>
      <c r="C43" s="21">
        <v>460</v>
      </c>
      <c r="D43" s="248">
        <v>5</v>
      </c>
      <c r="E43" s="21">
        <f t="shared" si="1"/>
        <v>2300</v>
      </c>
      <c r="F43" s="21">
        <f>E43</f>
        <v>2300</v>
      </c>
      <c r="G43" s="21">
        <f>F43</f>
        <v>2300</v>
      </c>
    </row>
    <row r="44" spans="1:7" x14ac:dyDescent="0.25">
      <c r="A44" s="204" t="s">
        <v>510</v>
      </c>
      <c r="B44" s="12" t="s">
        <v>899</v>
      </c>
      <c r="C44" s="21">
        <v>460</v>
      </c>
      <c r="D44" s="244">
        <v>4.5</v>
      </c>
      <c r="E44" s="21">
        <f t="shared" si="1"/>
        <v>2070</v>
      </c>
      <c r="F44" s="21">
        <f>E44</f>
        <v>2070</v>
      </c>
      <c r="G44" s="21"/>
    </row>
    <row r="45" spans="1:7" ht="39" x14ac:dyDescent="0.25">
      <c r="A45" s="201">
        <v>2</v>
      </c>
      <c r="B45" s="202" t="s">
        <v>897</v>
      </c>
      <c r="C45" s="203"/>
      <c r="D45" s="243"/>
      <c r="E45" s="203">
        <f>SUM(E46:E47)</f>
        <v>1092.5</v>
      </c>
      <c r="F45" s="203">
        <f>SUM(F46:F47)</f>
        <v>1092.5</v>
      </c>
      <c r="G45" s="203">
        <f>SUM(G46:G47)</f>
        <v>1092.5</v>
      </c>
    </row>
    <row r="46" spans="1:7" x14ac:dyDescent="0.25">
      <c r="A46" s="204" t="s">
        <v>510</v>
      </c>
      <c r="B46" s="12" t="s">
        <v>894</v>
      </c>
      <c r="C46" s="21">
        <v>460</v>
      </c>
      <c r="D46" s="248">
        <v>5</v>
      </c>
      <c r="E46" s="21">
        <f>(C46*D46)/12*3</f>
        <v>575</v>
      </c>
      <c r="F46" s="21">
        <f>E46</f>
        <v>575</v>
      </c>
      <c r="G46" s="21">
        <f>F46</f>
        <v>575</v>
      </c>
    </row>
    <row r="47" spans="1:7" x14ac:dyDescent="0.25">
      <c r="A47" s="204" t="s">
        <v>510</v>
      </c>
      <c r="B47" s="12" t="s">
        <v>895</v>
      </c>
      <c r="C47" s="21">
        <v>460</v>
      </c>
      <c r="D47" s="244">
        <v>4.5</v>
      </c>
      <c r="E47" s="21">
        <f>(C47*D47)/12*3</f>
        <v>517.5</v>
      </c>
      <c r="F47" s="21">
        <f>E47</f>
        <v>517.5</v>
      </c>
      <c r="G47" s="21">
        <f>F47</f>
        <v>517.5</v>
      </c>
    </row>
    <row r="48" spans="1:7" s="50" customFormat="1" x14ac:dyDescent="0.25">
      <c r="A48" s="62" t="s">
        <v>52</v>
      </c>
      <c r="B48" s="63" t="s">
        <v>350</v>
      </c>
      <c r="C48" s="64"/>
      <c r="D48" s="245"/>
      <c r="E48" s="64">
        <f>SUM(E49:E52)</f>
        <v>3450</v>
      </c>
      <c r="F48" s="64">
        <f>SUM(F49:F52)</f>
        <v>0</v>
      </c>
      <c r="G48" s="64">
        <f>SUM(G49:G52)</f>
        <v>0</v>
      </c>
    </row>
    <row r="49" spans="1:7" s="49" customFormat="1" ht="37.5" x14ac:dyDescent="0.25">
      <c r="A49" s="58" t="s">
        <v>99</v>
      </c>
      <c r="B49" s="59" t="s">
        <v>973</v>
      </c>
      <c r="C49" s="60"/>
      <c r="D49" s="246"/>
      <c r="E49" s="60">
        <v>500</v>
      </c>
      <c r="F49" s="60"/>
      <c r="G49" s="60"/>
    </row>
    <row r="50" spans="1:7" s="49" customFormat="1" hidden="1" x14ac:dyDescent="0.3">
      <c r="A50" s="58" t="s">
        <v>99</v>
      </c>
      <c r="B50" s="65"/>
      <c r="C50" s="60"/>
      <c r="D50" s="246"/>
      <c r="E50" s="60"/>
      <c r="F50" s="60"/>
      <c r="G50" s="60"/>
    </row>
    <row r="51" spans="1:7" s="49" customFormat="1" ht="37.5" x14ac:dyDescent="0.25">
      <c r="A51" s="58" t="s">
        <v>99</v>
      </c>
      <c r="B51" s="59" t="s">
        <v>974</v>
      </c>
      <c r="C51" s="60"/>
      <c r="D51" s="246"/>
      <c r="E51" s="60">
        <v>500</v>
      </c>
      <c r="F51" s="60"/>
      <c r="G51" s="60"/>
    </row>
    <row r="52" spans="1:7" s="49" customFormat="1" ht="37.5" x14ac:dyDescent="0.25">
      <c r="A52" s="58" t="s">
        <v>99</v>
      </c>
      <c r="B52" s="12" t="s">
        <v>902</v>
      </c>
      <c r="C52" s="60"/>
      <c r="D52" s="246"/>
      <c r="E52" s="60">
        <v>2450</v>
      </c>
      <c r="F52" s="60"/>
      <c r="G52" s="60"/>
    </row>
    <row r="53" spans="1:7" s="49" customFormat="1" x14ac:dyDescent="0.25">
      <c r="A53" s="67"/>
      <c r="B53" s="68"/>
      <c r="C53" s="69"/>
      <c r="D53" s="250"/>
      <c r="E53" s="69"/>
      <c r="F53" s="69"/>
      <c r="G53" s="69"/>
    </row>
    <row r="54" spans="1:7" s="49" customFormat="1" ht="40.5" customHeight="1" x14ac:dyDescent="0.25">
      <c r="A54" s="70"/>
      <c r="B54" s="584" t="s">
        <v>905</v>
      </c>
      <c r="C54" s="584"/>
      <c r="D54" s="584"/>
      <c r="E54" s="584"/>
      <c r="F54" s="584"/>
      <c r="G54" s="584"/>
    </row>
    <row r="55" spans="1:7" x14ac:dyDescent="0.25">
      <c r="A55" s="2"/>
      <c r="B55" s="7" t="s">
        <v>904</v>
      </c>
    </row>
    <row r="56" spans="1:7" x14ac:dyDescent="0.25">
      <c r="A56" s="2"/>
    </row>
    <row r="57" spans="1:7" x14ac:dyDescent="0.25">
      <c r="A57" s="550" t="s">
        <v>36</v>
      </c>
      <c r="B57" s="550"/>
      <c r="D57" s="550" t="s">
        <v>37</v>
      </c>
      <c r="E57" s="550"/>
      <c r="F57" s="550"/>
      <c r="G57" s="550"/>
    </row>
  </sheetData>
  <mergeCells count="24">
    <mergeCell ref="B54:G54"/>
    <mergeCell ref="A57:B57"/>
    <mergeCell ref="D57:G57"/>
    <mergeCell ref="C21:G21"/>
    <mergeCell ref="C22:G22"/>
    <mergeCell ref="B23:G23"/>
    <mergeCell ref="A25:A26"/>
    <mergeCell ref="B25:B26"/>
    <mergeCell ref="C25:D25"/>
    <mergeCell ref="E25:E26"/>
    <mergeCell ref="F25:F26"/>
    <mergeCell ref="G25:G26"/>
    <mergeCell ref="C20:G20"/>
    <mergeCell ref="A1:G1"/>
    <mergeCell ref="B3:G3"/>
    <mergeCell ref="C6:G6"/>
    <mergeCell ref="C7:G7"/>
    <mergeCell ref="C8:G8"/>
    <mergeCell ref="C9:G9"/>
    <mergeCell ref="C10:G10"/>
    <mergeCell ref="C14:G14"/>
    <mergeCell ref="C16:G16"/>
    <mergeCell ref="C18:G18"/>
    <mergeCell ref="C19:G19"/>
  </mergeCells>
  <pageMargins left="0.25" right="0.23622047244094499" top="0.53" bottom="0.21" header="0.31496062992126" footer="0.31496062992126"/>
  <pageSetup scale="95" orientation="portrait" r:id="rId1"/>
  <legacyDrawing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1"/>
  <sheetViews>
    <sheetView zoomScaleNormal="100" workbookViewId="0">
      <pane xSplit="7155" ySplit="2550" topLeftCell="E19" activePane="topRight"/>
      <selection activeCell="E19" sqref="E19"/>
      <selection pane="topRight" activeCell="E19" sqref="E19"/>
      <selection pane="bottomLeft" activeCell="E19" sqref="E19"/>
      <selection pane="bottomRight" activeCell="E19" sqref="E19"/>
    </sheetView>
  </sheetViews>
  <sheetFormatPr defaultColWidth="9.140625" defaultRowHeight="18.75" x14ac:dyDescent="0.25"/>
  <cols>
    <col min="1" max="1" width="7.85546875" style="7" customWidth="1"/>
    <col min="2" max="2" width="40.85546875" style="7" customWidth="1"/>
    <col min="3" max="4" width="7.85546875" style="7" customWidth="1"/>
    <col min="5" max="5" width="14.42578125" style="7" customWidth="1"/>
    <col min="6" max="7" width="12.5703125" style="7" customWidth="1"/>
    <col min="8" max="8" width="24.85546875" style="7" customWidth="1"/>
    <col min="9" max="16384" width="9.140625" style="7"/>
  </cols>
  <sheetData>
    <row r="1" spans="1:8" ht="20.25" x14ac:dyDescent="0.25">
      <c r="A1" s="555" t="s">
        <v>24</v>
      </c>
      <c r="B1" s="555"/>
      <c r="C1" s="555"/>
      <c r="D1" s="555"/>
      <c r="E1" s="555"/>
      <c r="F1" s="555"/>
      <c r="G1" s="555"/>
      <c r="H1" s="555"/>
    </row>
    <row r="2" spans="1:8" x14ac:dyDescent="0.25">
      <c r="A2" s="6"/>
      <c r="B2" s="6"/>
      <c r="C2" s="6"/>
      <c r="D2" s="1"/>
      <c r="E2" s="1"/>
      <c r="F2" s="1"/>
      <c r="G2" s="1"/>
      <c r="H2" s="1"/>
    </row>
    <row r="3" spans="1:8" ht="39.75" customHeight="1" x14ac:dyDescent="0.25">
      <c r="B3" s="556" t="s">
        <v>48</v>
      </c>
      <c r="C3" s="556"/>
      <c r="D3" s="556"/>
      <c r="E3" s="556"/>
      <c r="F3" s="556"/>
      <c r="G3" s="556"/>
      <c r="H3" s="556"/>
    </row>
    <row r="4" spans="1:8" x14ac:dyDescent="0.25">
      <c r="B4" s="7" t="s">
        <v>39</v>
      </c>
      <c r="D4" s="8"/>
      <c r="E4" s="8"/>
      <c r="F4" s="8"/>
      <c r="G4" s="8"/>
      <c r="H4" s="8"/>
    </row>
    <row r="5" spans="1:8" s="6" customFormat="1" x14ac:dyDescent="0.25">
      <c r="B5" s="3" t="s">
        <v>18</v>
      </c>
    </row>
    <row r="6" spans="1:8" x14ac:dyDescent="0.25">
      <c r="B6" s="2" t="s">
        <v>23</v>
      </c>
      <c r="C6" s="558" t="s">
        <v>49</v>
      </c>
      <c r="D6" s="558"/>
      <c r="E6" s="558"/>
      <c r="F6" s="558"/>
      <c r="G6" s="558"/>
    </row>
    <row r="7" spans="1:8" x14ac:dyDescent="0.25">
      <c r="A7" s="2"/>
      <c r="B7" s="2" t="s">
        <v>19</v>
      </c>
      <c r="C7" s="558" t="s">
        <v>50</v>
      </c>
      <c r="D7" s="558"/>
      <c r="E7" s="558"/>
      <c r="F7" s="558"/>
      <c r="G7" s="558"/>
      <c r="H7" s="2"/>
    </row>
    <row r="8" spans="1:8" x14ac:dyDescent="0.25">
      <c r="A8" s="2"/>
      <c r="B8" s="2" t="s">
        <v>59</v>
      </c>
      <c r="C8" s="558" t="s">
        <v>60</v>
      </c>
      <c r="D8" s="558"/>
      <c r="E8" s="558"/>
      <c r="F8" s="558"/>
      <c r="G8" s="558"/>
      <c r="H8" s="2"/>
    </row>
    <row r="9" spans="1:8" x14ac:dyDescent="0.25">
      <c r="A9" s="2"/>
      <c r="B9" s="2" t="s">
        <v>20</v>
      </c>
      <c r="C9" s="558"/>
      <c r="D9" s="558"/>
      <c r="E9" s="558"/>
      <c r="F9" s="558"/>
      <c r="G9" s="558"/>
      <c r="H9" s="2"/>
    </row>
    <row r="10" spans="1:8" x14ac:dyDescent="0.25">
      <c r="A10" s="2"/>
      <c r="B10" s="2" t="s">
        <v>21</v>
      </c>
      <c r="C10" s="558"/>
      <c r="D10" s="558"/>
      <c r="E10" s="558"/>
      <c r="F10" s="558"/>
      <c r="G10" s="558"/>
      <c r="H10" s="2"/>
    </row>
    <row r="11" spans="1:8" s="6" customFormat="1" x14ac:dyDescent="0.25">
      <c r="A11" s="3"/>
      <c r="B11" s="3" t="s">
        <v>22</v>
      </c>
      <c r="C11" s="3"/>
      <c r="D11" s="3"/>
      <c r="E11" s="3"/>
      <c r="F11" s="3"/>
      <c r="G11" s="3"/>
      <c r="H11" s="3"/>
    </row>
    <row r="12" spans="1:8" x14ac:dyDescent="0.25">
      <c r="A12" s="2"/>
      <c r="B12" s="2" t="s">
        <v>20</v>
      </c>
      <c r="C12" s="558"/>
      <c r="D12" s="558"/>
      <c r="E12" s="558"/>
      <c r="F12" s="558"/>
      <c r="G12" s="558"/>
      <c r="H12" s="2"/>
    </row>
    <row r="13" spans="1:8" x14ac:dyDescent="0.25">
      <c r="A13" s="2"/>
      <c r="B13" s="2" t="s">
        <v>20</v>
      </c>
      <c r="C13" s="558"/>
      <c r="D13" s="558"/>
      <c r="E13" s="558"/>
      <c r="F13" s="558"/>
      <c r="G13" s="558"/>
      <c r="H13" s="2"/>
    </row>
    <row r="14" spans="1:8" x14ac:dyDescent="0.25">
      <c r="A14" s="2"/>
      <c r="B14" s="2" t="s">
        <v>20</v>
      </c>
      <c r="C14" s="558"/>
      <c r="D14" s="558"/>
      <c r="E14" s="558"/>
      <c r="F14" s="558"/>
      <c r="G14" s="558"/>
      <c r="H14" s="2"/>
    </row>
    <row r="15" spans="1:8" x14ac:dyDescent="0.25">
      <c r="A15" s="2"/>
      <c r="B15" s="2" t="s">
        <v>21</v>
      </c>
      <c r="C15" s="558"/>
      <c r="D15" s="558"/>
      <c r="E15" s="558"/>
      <c r="F15" s="558"/>
      <c r="G15" s="558"/>
      <c r="H15" s="2"/>
    </row>
    <row r="16" spans="1:8" x14ac:dyDescent="0.25">
      <c r="A16" s="2"/>
      <c r="B16" s="2" t="s">
        <v>21</v>
      </c>
      <c r="C16" s="558"/>
      <c r="D16" s="558"/>
      <c r="E16" s="558"/>
      <c r="F16" s="558"/>
      <c r="G16" s="558"/>
      <c r="H16" s="2"/>
    </row>
    <row r="17" spans="1:8" x14ac:dyDescent="0.25">
      <c r="A17" s="2"/>
      <c r="B17" s="2" t="s">
        <v>21</v>
      </c>
      <c r="C17" s="558"/>
      <c r="D17" s="558"/>
      <c r="E17" s="558"/>
      <c r="F17" s="558"/>
      <c r="G17" s="558"/>
      <c r="H17" s="2"/>
    </row>
    <row r="18" spans="1:8" x14ac:dyDescent="0.25">
      <c r="A18" s="2"/>
      <c r="B18" s="2" t="s">
        <v>38</v>
      </c>
      <c r="C18" s="2"/>
      <c r="D18" s="2"/>
      <c r="E18" s="2"/>
      <c r="F18" s="2"/>
      <c r="G18" s="2"/>
      <c r="H18" s="2"/>
    </row>
    <row r="19" spans="1:8" x14ac:dyDescent="0.25">
      <c r="A19" s="4"/>
      <c r="H19" s="4" t="s">
        <v>0</v>
      </c>
    </row>
    <row r="20" spans="1:8" s="6" customFormat="1" x14ac:dyDescent="0.25">
      <c r="A20" s="551" t="s">
        <v>1</v>
      </c>
      <c r="B20" s="551" t="s">
        <v>2</v>
      </c>
      <c r="C20" s="551" t="s">
        <v>25</v>
      </c>
      <c r="D20" s="551"/>
      <c r="E20" s="551" t="s">
        <v>4</v>
      </c>
      <c r="F20" s="552" t="s">
        <v>8</v>
      </c>
      <c r="G20" s="552" t="s">
        <v>9</v>
      </c>
      <c r="H20" s="551" t="s">
        <v>3</v>
      </c>
    </row>
    <row r="21" spans="1:8" s="6" customFormat="1" ht="78" customHeight="1" x14ac:dyDescent="0.25">
      <c r="A21" s="551"/>
      <c r="B21" s="551"/>
      <c r="C21" s="18" t="s">
        <v>17</v>
      </c>
      <c r="D21" s="18" t="s">
        <v>5</v>
      </c>
      <c r="E21" s="551"/>
      <c r="F21" s="557"/>
      <c r="G21" s="557"/>
      <c r="H21" s="551"/>
    </row>
    <row r="22" spans="1:8" x14ac:dyDescent="0.25">
      <c r="A22" s="5" t="s">
        <v>6</v>
      </c>
      <c r="B22" s="5" t="s">
        <v>7</v>
      </c>
      <c r="C22" s="5">
        <v>1</v>
      </c>
      <c r="D22" s="5">
        <v>2</v>
      </c>
      <c r="E22" s="5">
        <v>3</v>
      </c>
      <c r="F22" s="5">
        <v>4</v>
      </c>
      <c r="G22" s="5">
        <v>5</v>
      </c>
      <c r="H22" s="5">
        <v>6</v>
      </c>
    </row>
    <row r="23" spans="1:8" ht="37.5" x14ac:dyDescent="0.25">
      <c r="A23" s="9" t="s">
        <v>6</v>
      </c>
      <c r="B23" s="10" t="s">
        <v>12</v>
      </c>
      <c r="C23" s="10"/>
      <c r="D23" s="10"/>
      <c r="E23" s="10"/>
      <c r="F23" s="10"/>
      <c r="G23" s="10"/>
      <c r="H23" s="10"/>
    </row>
    <row r="24" spans="1:8" x14ac:dyDescent="0.25">
      <c r="A24" s="11">
        <v>1</v>
      </c>
      <c r="B24" s="12" t="s">
        <v>46</v>
      </c>
      <c r="C24" s="12"/>
      <c r="D24" s="12"/>
      <c r="E24" s="12"/>
      <c r="F24" s="12"/>
      <c r="G24" s="12"/>
      <c r="H24" s="12"/>
    </row>
    <row r="25" spans="1:8" x14ac:dyDescent="0.25">
      <c r="A25" s="11">
        <v>2</v>
      </c>
      <c r="B25" s="12" t="s">
        <v>13</v>
      </c>
      <c r="C25" s="12"/>
      <c r="D25" s="12"/>
      <c r="E25" s="12"/>
      <c r="F25" s="12"/>
      <c r="G25" s="12"/>
      <c r="H25" s="12"/>
    </row>
    <row r="26" spans="1:8" x14ac:dyDescent="0.25">
      <c r="A26" s="11">
        <v>3</v>
      </c>
      <c r="B26" s="12" t="s">
        <v>14</v>
      </c>
      <c r="C26" s="12"/>
      <c r="D26" s="12"/>
      <c r="E26" s="12">
        <f>+E24-E25</f>
        <v>0</v>
      </c>
      <c r="F26" s="12">
        <f>+F24-F25</f>
        <v>0</v>
      </c>
      <c r="G26" s="12">
        <f>+G24-G25</f>
        <v>0</v>
      </c>
      <c r="H26" s="12"/>
    </row>
    <row r="27" spans="1:8" s="6" customFormat="1" x14ac:dyDescent="0.25">
      <c r="A27" s="13" t="s">
        <v>7</v>
      </c>
      <c r="B27" s="14" t="s">
        <v>10</v>
      </c>
      <c r="C27" s="14"/>
      <c r="D27" s="14"/>
      <c r="E27" s="14">
        <f>+E28+E31</f>
        <v>0</v>
      </c>
      <c r="F27" s="14">
        <f>+F28+F31</f>
        <v>0</v>
      </c>
      <c r="G27" s="14">
        <f>+G28+G31</f>
        <v>0</v>
      </c>
      <c r="H27" s="12"/>
    </row>
    <row r="28" spans="1:8" s="6" customFormat="1" x14ac:dyDescent="0.25">
      <c r="A28" s="13">
        <v>1</v>
      </c>
      <c r="B28" s="14" t="s">
        <v>42</v>
      </c>
      <c r="C28" s="14"/>
      <c r="D28" s="14"/>
      <c r="E28" s="14">
        <f>+E29-E30</f>
        <v>0</v>
      </c>
      <c r="F28" s="14">
        <f>+F29-F30</f>
        <v>0</v>
      </c>
      <c r="G28" s="14">
        <f>+G29-G30</f>
        <v>0</v>
      </c>
      <c r="H28" s="12"/>
    </row>
    <row r="29" spans="1:8" ht="56.25" x14ac:dyDescent="0.25">
      <c r="A29" s="11"/>
      <c r="B29" s="12" t="s">
        <v>40</v>
      </c>
      <c r="C29" s="12"/>
      <c r="D29" s="12"/>
      <c r="E29" s="12"/>
      <c r="F29" s="12"/>
      <c r="G29" s="12"/>
      <c r="H29" s="12" t="s">
        <v>41</v>
      </c>
    </row>
    <row r="30" spans="1:8" ht="56.25" x14ac:dyDescent="0.25">
      <c r="A30" s="11"/>
      <c r="B30" s="12" t="s">
        <v>47</v>
      </c>
      <c r="C30" s="12"/>
      <c r="D30" s="12"/>
      <c r="E30" s="12">
        <f>ROUND(E26*0.4,0)</f>
        <v>0</v>
      </c>
      <c r="F30" s="12">
        <f>ROUND(F26*0.4,0)</f>
        <v>0</v>
      </c>
      <c r="G30" s="12">
        <f>ROUND(G26*0.4,0)</f>
        <v>0</v>
      </c>
      <c r="H30" s="12"/>
    </row>
    <row r="31" spans="1:8" s="6" customFormat="1" x14ac:dyDescent="0.25">
      <c r="A31" s="13">
        <v>2</v>
      </c>
      <c r="B31" s="14" t="s">
        <v>43</v>
      </c>
      <c r="C31" s="14"/>
      <c r="D31" s="14"/>
      <c r="E31" s="14">
        <f>+E32-E33-E34</f>
        <v>0</v>
      </c>
      <c r="F31" s="14">
        <f>+F32-F33-F34</f>
        <v>0</v>
      </c>
      <c r="G31" s="14">
        <f>+G32-G33-G34</f>
        <v>0</v>
      </c>
      <c r="H31" s="14"/>
    </row>
    <row r="32" spans="1:8" x14ac:dyDescent="0.25">
      <c r="A32" s="11"/>
      <c r="B32" s="12" t="s">
        <v>15</v>
      </c>
      <c r="C32" s="12"/>
      <c r="D32" s="12"/>
      <c r="E32" s="12"/>
      <c r="F32" s="12"/>
      <c r="G32" s="12"/>
      <c r="H32" s="12"/>
    </row>
    <row r="33" spans="1:8" ht="56.25" x14ac:dyDescent="0.25">
      <c r="A33" s="11"/>
      <c r="B33" s="12" t="s">
        <v>44</v>
      </c>
      <c r="C33" s="12"/>
      <c r="D33" s="12"/>
      <c r="E33" s="12"/>
      <c r="F33" s="12"/>
      <c r="G33" s="12"/>
      <c r="H33" s="12"/>
    </row>
    <row r="34" spans="1:8" ht="37.5" x14ac:dyDescent="0.25">
      <c r="A34" s="11"/>
      <c r="B34" s="12" t="s">
        <v>45</v>
      </c>
      <c r="C34" s="12"/>
      <c r="D34" s="12"/>
      <c r="E34" s="12"/>
      <c r="F34" s="12"/>
      <c r="G34" s="12"/>
      <c r="H34" s="12"/>
    </row>
    <row r="35" spans="1:8" s="6" customFormat="1" x14ac:dyDescent="0.25">
      <c r="A35" s="13" t="s">
        <v>16</v>
      </c>
      <c r="B35" s="14" t="s">
        <v>11</v>
      </c>
      <c r="C35" s="14"/>
      <c r="D35" s="14"/>
      <c r="E35" s="14">
        <f>SUM(E36:E88)/2</f>
        <v>0</v>
      </c>
      <c r="F35" s="14">
        <f>SUM(F36:F88)/2</f>
        <v>0</v>
      </c>
      <c r="G35" s="14">
        <f>SUM(G36:G88)/2</f>
        <v>0</v>
      </c>
      <c r="H35" s="14"/>
    </row>
    <row r="36" spans="1:8" x14ac:dyDescent="0.25">
      <c r="A36" s="11"/>
      <c r="B36" s="12" t="s">
        <v>27</v>
      </c>
      <c r="C36" s="12"/>
      <c r="D36" s="12"/>
      <c r="E36" s="12"/>
      <c r="F36" s="12"/>
      <c r="G36" s="12"/>
      <c r="H36" s="12"/>
    </row>
    <row r="37" spans="1:8" x14ac:dyDescent="0.25">
      <c r="A37" s="11"/>
      <c r="B37" s="12"/>
      <c r="C37" s="12"/>
      <c r="D37" s="12"/>
      <c r="E37" s="12"/>
      <c r="F37" s="12"/>
      <c r="G37" s="12"/>
      <c r="H37" s="12"/>
    </row>
    <row r="38" spans="1:8" x14ac:dyDescent="0.25">
      <c r="A38" s="11"/>
      <c r="B38" s="12"/>
      <c r="C38" s="12"/>
      <c r="D38" s="12"/>
      <c r="E38" s="12"/>
      <c r="F38" s="12"/>
      <c r="G38" s="12"/>
      <c r="H38" s="12"/>
    </row>
    <row r="39" spans="1:8" x14ac:dyDescent="0.25">
      <c r="A39" s="11"/>
      <c r="B39" s="12"/>
      <c r="C39" s="12"/>
      <c r="D39" s="12"/>
      <c r="E39" s="12"/>
      <c r="F39" s="12"/>
      <c r="G39" s="12"/>
      <c r="H39" s="12"/>
    </row>
    <row r="40" spans="1:8" x14ac:dyDescent="0.25">
      <c r="A40" s="11"/>
      <c r="B40" s="12"/>
      <c r="C40" s="12"/>
      <c r="D40" s="12"/>
      <c r="E40" s="12"/>
      <c r="F40" s="12"/>
      <c r="G40" s="12"/>
      <c r="H40" s="12"/>
    </row>
    <row r="41" spans="1:8" x14ac:dyDescent="0.25">
      <c r="A41" s="11"/>
      <c r="B41" s="12"/>
      <c r="C41" s="12"/>
      <c r="D41" s="12"/>
      <c r="E41" s="12"/>
      <c r="F41" s="12"/>
      <c r="G41" s="12"/>
      <c r="H41" s="12"/>
    </row>
    <row r="42" spans="1:8" x14ac:dyDescent="0.25">
      <c r="A42" s="11"/>
      <c r="B42" s="12"/>
      <c r="C42" s="12"/>
      <c r="D42" s="12"/>
      <c r="E42" s="12"/>
      <c r="F42" s="12"/>
      <c r="G42" s="12"/>
      <c r="H42" s="12"/>
    </row>
    <row r="43" spans="1:8" x14ac:dyDescent="0.25">
      <c r="A43" s="11"/>
      <c r="B43" s="12"/>
      <c r="C43" s="12"/>
      <c r="D43" s="12"/>
      <c r="E43" s="12"/>
      <c r="F43" s="12"/>
      <c r="G43" s="12"/>
      <c r="H43" s="12"/>
    </row>
    <row r="44" spans="1:8" x14ac:dyDescent="0.25">
      <c r="A44" s="11"/>
      <c r="B44" s="12"/>
      <c r="C44" s="12"/>
      <c r="D44" s="12"/>
      <c r="E44" s="12"/>
      <c r="F44" s="12"/>
      <c r="G44" s="12"/>
      <c r="H44" s="12"/>
    </row>
    <row r="45" spans="1:8" x14ac:dyDescent="0.25">
      <c r="A45" s="11"/>
      <c r="B45" s="12"/>
      <c r="C45" s="12"/>
      <c r="D45" s="12"/>
      <c r="E45" s="12"/>
      <c r="F45" s="12"/>
      <c r="G45" s="12"/>
      <c r="H45" s="12"/>
    </row>
    <row r="46" spans="1:8" x14ac:dyDescent="0.25">
      <c r="A46" s="11"/>
      <c r="B46" s="12"/>
      <c r="C46" s="12"/>
      <c r="D46" s="12"/>
      <c r="E46" s="12"/>
      <c r="F46" s="12"/>
      <c r="G46" s="12"/>
      <c r="H46" s="12"/>
    </row>
    <row r="47" spans="1:8" x14ac:dyDescent="0.25">
      <c r="A47" s="11"/>
      <c r="B47" s="12" t="s">
        <v>29</v>
      </c>
      <c r="C47" s="12"/>
      <c r="D47" s="12"/>
      <c r="E47" s="12"/>
      <c r="F47" s="12"/>
      <c r="G47" s="12"/>
      <c r="H47" s="12"/>
    </row>
    <row r="48" spans="1:8" x14ac:dyDescent="0.25">
      <c r="A48" s="11"/>
      <c r="B48" s="12"/>
      <c r="C48" s="12"/>
      <c r="D48" s="12"/>
      <c r="E48" s="12"/>
      <c r="F48" s="12"/>
      <c r="G48" s="12"/>
      <c r="H48" s="12"/>
    </row>
    <row r="49" spans="1:8" x14ac:dyDescent="0.25">
      <c r="A49" s="11"/>
      <c r="B49" s="12"/>
      <c r="C49" s="12"/>
      <c r="D49" s="12"/>
      <c r="E49" s="12"/>
      <c r="F49" s="12"/>
      <c r="G49" s="12"/>
      <c r="H49" s="12"/>
    </row>
    <row r="50" spans="1:8" x14ac:dyDescent="0.25">
      <c r="A50" s="11"/>
      <c r="B50" s="12" t="s">
        <v>30</v>
      </c>
      <c r="C50" s="12"/>
      <c r="D50" s="12"/>
      <c r="E50" s="12"/>
      <c r="F50" s="12"/>
      <c r="G50" s="12"/>
      <c r="H50" s="12"/>
    </row>
    <row r="51" spans="1:8" x14ac:dyDescent="0.25">
      <c r="A51" s="11"/>
      <c r="B51" s="12"/>
      <c r="C51" s="12"/>
      <c r="D51" s="12"/>
      <c r="E51" s="12"/>
      <c r="F51" s="12"/>
      <c r="G51" s="12"/>
      <c r="H51" s="12"/>
    </row>
    <row r="52" spans="1:8" x14ac:dyDescent="0.25">
      <c r="A52" s="11"/>
      <c r="B52" s="12"/>
      <c r="C52" s="12"/>
      <c r="D52" s="12"/>
      <c r="E52" s="12"/>
      <c r="F52" s="12"/>
      <c r="G52" s="12"/>
      <c r="H52" s="12"/>
    </row>
    <row r="53" spans="1:8" x14ac:dyDescent="0.25">
      <c r="A53" s="11"/>
      <c r="B53" s="12" t="s">
        <v>31</v>
      </c>
      <c r="C53" s="12"/>
      <c r="D53" s="12"/>
      <c r="E53" s="12"/>
      <c r="F53" s="12"/>
      <c r="G53" s="12"/>
      <c r="H53" s="12"/>
    </row>
    <row r="54" spans="1:8" x14ac:dyDescent="0.25">
      <c r="A54" s="11"/>
      <c r="B54" s="12"/>
      <c r="C54" s="12"/>
      <c r="D54" s="12"/>
      <c r="E54" s="12"/>
      <c r="F54" s="12"/>
      <c r="G54" s="12"/>
      <c r="H54" s="12"/>
    </row>
    <row r="55" spans="1:8" x14ac:dyDescent="0.25">
      <c r="A55" s="11"/>
      <c r="B55" s="12"/>
      <c r="C55" s="12"/>
      <c r="D55" s="12"/>
      <c r="E55" s="12"/>
      <c r="F55" s="12"/>
      <c r="G55" s="12"/>
      <c r="H55" s="12"/>
    </row>
    <row r="56" spans="1:8" x14ac:dyDescent="0.25">
      <c r="A56" s="11"/>
      <c r="B56" s="12"/>
      <c r="C56" s="12"/>
      <c r="D56" s="12"/>
      <c r="E56" s="12"/>
      <c r="F56" s="12"/>
      <c r="G56" s="12"/>
      <c r="H56" s="12"/>
    </row>
    <row r="57" spans="1:8" x14ac:dyDescent="0.25">
      <c r="A57" s="11"/>
      <c r="B57" s="12"/>
      <c r="C57" s="12"/>
      <c r="D57" s="12"/>
      <c r="E57" s="12"/>
      <c r="F57" s="12"/>
      <c r="G57" s="12"/>
      <c r="H57" s="12"/>
    </row>
    <row r="58" spans="1:8" x14ac:dyDescent="0.25">
      <c r="A58" s="11"/>
      <c r="B58" s="12"/>
      <c r="C58" s="12"/>
      <c r="D58" s="12"/>
      <c r="E58" s="12"/>
      <c r="F58" s="12"/>
      <c r="G58" s="12"/>
      <c r="H58" s="12"/>
    </row>
    <row r="59" spans="1:8" x14ac:dyDescent="0.25">
      <c r="A59" s="11"/>
      <c r="B59" s="12"/>
      <c r="C59" s="12"/>
      <c r="D59" s="12"/>
      <c r="E59" s="12"/>
      <c r="F59" s="12"/>
      <c r="G59" s="12"/>
      <c r="H59" s="12"/>
    </row>
    <row r="60" spans="1:8" x14ac:dyDescent="0.25">
      <c r="A60" s="11"/>
      <c r="B60" s="12"/>
      <c r="C60" s="12"/>
      <c r="D60" s="12"/>
      <c r="E60" s="12"/>
      <c r="F60" s="12"/>
      <c r="G60" s="12"/>
      <c r="H60" s="12"/>
    </row>
    <row r="61" spans="1:8" x14ac:dyDescent="0.25">
      <c r="A61" s="11"/>
      <c r="B61" s="12"/>
      <c r="C61" s="12"/>
      <c r="D61" s="12"/>
      <c r="E61" s="12"/>
      <c r="F61" s="12"/>
      <c r="G61" s="12"/>
      <c r="H61" s="12"/>
    </row>
    <row r="62" spans="1:8" x14ac:dyDescent="0.25">
      <c r="A62" s="11"/>
      <c r="B62" s="12"/>
      <c r="C62" s="12"/>
      <c r="D62" s="12"/>
      <c r="E62" s="12"/>
      <c r="F62" s="12"/>
      <c r="G62" s="12"/>
      <c r="H62" s="12"/>
    </row>
    <row r="63" spans="1:8" x14ac:dyDescent="0.25">
      <c r="A63" s="11"/>
      <c r="B63" s="12"/>
      <c r="C63" s="12"/>
      <c r="D63" s="12"/>
      <c r="E63" s="12"/>
      <c r="F63" s="12"/>
      <c r="G63" s="12"/>
      <c r="H63" s="12"/>
    </row>
    <row r="64" spans="1:8" x14ac:dyDescent="0.25">
      <c r="A64" s="11"/>
      <c r="B64" s="12"/>
      <c r="C64" s="12"/>
      <c r="D64" s="12"/>
      <c r="E64" s="12"/>
      <c r="F64" s="12"/>
      <c r="G64" s="12"/>
      <c r="H64" s="12"/>
    </row>
    <row r="65" spans="1:8" x14ac:dyDescent="0.25">
      <c r="A65" s="11"/>
      <c r="B65" s="12" t="s">
        <v>32</v>
      </c>
      <c r="C65" s="12"/>
      <c r="D65" s="12"/>
      <c r="E65" s="12"/>
      <c r="F65" s="12"/>
      <c r="G65" s="12"/>
      <c r="H65" s="12"/>
    </row>
    <row r="66" spans="1:8" x14ac:dyDescent="0.25">
      <c r="A66" s="11"/>
      <c r="B66" s="12"/>
      <c r="C66" s="12"/>
      <c r="D66" s="12"/>
      <c r="E66" s="12"/>
      <c r="F66" s="12"/>
      <c r="G66" s="12"/>
      <c r="H66" s="12"/>
    </row>
    <row r="67" spans="1:8" x14ac:dyDescent="0.25">
      <c r="A67" s="11"/>
      <c r="B67" s="12"/>
      <c r="C67" s="12"/>
      <c r="D67" s="12"/>
      <c r="E67" s="12"/>
      <c r="F67" s="12"/>
      <c r="G67" s="12"/>
      <c r="H67" s="12"/>
    </row>
    <row r="68" spans="1:8" x14ac:dyDescent="0.25">
      <c r="A68" s="11"/>
      <c r="B68" s="12" t="s">
        <v>33</v>
      </c>
      <c r="C68" s="12"/>
      <c r="D68" s="12"/>
      <c r="E68" s="12"/>
      <c r="F68" s="12"/>
      <c r="G68" s="12"/>
      <c r="H68" s="12"/>
    </row>
    <row r="69" spans="1:8" x14ac:dyDescent="0.25">
      <c r="A69" s="11"/>
      <c r="B69" s="12"/>
      <c r="C69" s="12"/>
      <c r="D69" s="12"/>
      <c r="E69" s="12"/>
      <c r="F69" s="12"/>
      <c r="G69" s="12"/>
      <c r="H69" s="12"/>
    </row>
    <row r="70" spans="1:8" x14ac:dyDescent="0.25">
      <c r="A70" s="11"/>
      <c r="B70" s="12"/>
      <c r="C70" s="12"/>
      <c r="D70" s="12"/>
      <c r="E70" s="12"/>
      <c r="F70" s="12"/>
      <c r="G70" s="12"/>
      <c r="H70" s="12"/>
    </row>
    <row r="71" spans="1:8" x14ac:dyDescent="0.25">
      <c r="A71" s="11"/>
      <c r="B71" s="12" t="s">
        <v>34</v>
      </c>
      <c r="C71" s="12"/>
      <c r="D71" s="12"/>
      <c r="E71" s="12"/>
      <c r="F71" s="12"/>
      <c r="G71" s="12"/>
      <c r="H71" s="12"/>
    </row>
    <row r="72" spans="1:8" x14ac:dyDescent="0.25">
      <c r="A72" s="11"/>
      <c r="B72" s="12"/>
      <c r="C72" s="12"/>
      <c r="D72" s="12"/>
      <c r="E72" s="12"/>
      <c r="F72" s="12"/>
      <c r="G72" s="12"/>
      <c r="H72" s="12"/>
    </row>
    <row r="73" spans="1:8" x14ac:dyDescent="0.25">
      <c r="A73" s="11"/>
      <c r="B73" s="12"/>
      <c r="C73" s="12"/>
      <c r="D73" s="12"/>
      <c r="E73" s="12"/>
      <c r="F73" s="12"/>
      <c r="G73" s="12"/>
      <c r="H73" s="12"/>
    </row>
    <row r="74" spans="1:8" x14ac:dyDescent="0.25">
      <c r="A74" s="11"/>
      <c r="B74" s="12" t="s">
        <v>28</v>
      </c>
      <c r="C74" s="12"/>
      <c r="D74" s="12"/>
      <c r="E74" s="12"/>
      <c r="F74" s="12"/>
      <c r="G74" s="12"/>
      <c r="H74" s="12"/>
    </row>
    <row r="75" spans="1:8" x14ac:dyDescent="0.25">
      <c r="A75" s="11"/>
      <c r="B75" s="12"/>
      <c r="C75" s="12"/>
      <c r="D75" s="12"/>
      <c r="E75" s="12"/>
      <c r="F75" s="12"/>
      <c r="G75" s="12"/>
      <c r="H75" s="12"/>
    </row>
    <row r="76" spans="1:8" x14ac:dyDescent="0.25">
      <c r="A76" s="11"/>
      <c r="B76" s="12"/>
      <c r="C76" s="12"/>
      <c r="D76" s="12"/>
      <c r="E76" s="12"/>
      <c r="F76" s="12"/>
      <c r="G76" s="12"/>
      <c r="H76" s="12"/>
    </row>
    <row r="77" spans="1:8" x14ac:dyDescent="0.25">
      <c r="A77" s="11"/>
      <c r="B77" s="12" t="s">
        <v>26</v>
      </c>
      <c r="C77" s="12"/>
      <c r="D77" s="12"/>
      <c r="E77" s="12"/>
      <c r="F77" s="12"/>
      <c r="G77" s="12"/>
      <c r="H77" s="12"/>
    </row>
    <row r="78" spans="1:8" x14ac:dyDescent="0.25">
      <c r="A78" s="11"/>
      <c r="B78" s="12"/>
      <c r="C78" s="12"/>
      <c r="D78" s="12"/>
      <c r="E78" s="12"/>
      <c r="F78" s="12"/>
      <c r="G78" s="12"/>
      <c r="H78" s="12"/>
    </row>
    <row r="79" spans="1:8" x14ac:dyDescent="0.25">
      <c r="A79" s="11"/>
      <c r="B79" s="12"/>
      <c r="C79" s="12"/>
      <c r="D79" s="12"/>
      <c r="E79" s="12"/>
      <c r="F79" s="12"/>
      <c r="G79" s="12"/>
      <c r="H79" s="12"/>
    </row>
    <row r="80" spans="1:8" x14ac:dyDescent="0.25">
      <c r="A80" s="11"/>
      <c r="B80" s="12"/>
      <c r="C80" s="12"/>
      <c r="D80" s="12"/>
      <c r="E80" s="12"/>
      <c r="F80" s="12"/>
      <c r="G80" s="12"/>
      <c r="H80" s="12"/>
    </row>
    <row r="81" spans="1:8" x14ac:dyDescent="0.25">
      <c r="A81" s="11"/>
      <c r="B81" s="12"/>
      <c r="C81" s="12"/>
      <c r="D81" s="12"/>
      <c r="E81" s="12"/>
      <c r="F81" s="12"/>
      <c r="G81" s="12"/>
      <c r="H81" s="12"/>
    </row>
    <row r="82" spans="1:8" x14ac:dyDescent="0.25">
      <c r="A82" s="11"/>
      <c r="B82" s="12"/>
      <c r="C82" s="12"/>
      <c r="D82" s="12"/>
      <c r="E82" s="12"/>
      <c r="F82" s="12"/>
      <c r="G82" s="12"/>
      <c r="H82" s="12"/>
    </row>
    <row r="83" spans="1:8" x14ac:dyDescent="0.25">
      <c r="A83" s="11"/>
      <c r="B83" s="12"/>
      <c r="C83" s="12"/>
      <c r="D83" s="12"/>
      <c r="E83" s="12"/>
      <c r="F83" s="12"/>
      <c r="G83" s="12"/>
      <c r="H83" s="12"/>
    </row>
    <row r="84" spans="1:8" x14ac:dyDescent="0.25">
      <c r="A84" s="11"/>
      <c r="B84" s="12"/>
      <c r="C84" s="12"/>
      <c r="D84" s="12"/>
      <c r="E84" s="12"/>
      <c r="F84" s="12"/>
      <c r="G84" s="12"/>
      <c r="H84" s="12"/>
    </row>
    <row r="85" spans="1:8" x14ac:dyDescent="0.25">
      <c r="A85" s="11"/>
      <c r="B85" s="12"/>
      <c r="C85" s="12"/>
      <c r="D85" s="12"/>
      <c r="E85" s="12"/>
      <c r="F85" s="12"/>
      <c r="G85" s="12"/>
      <c r="H85" s="12"/>
    </row>
    <row r="86" spans="1:8" x14ac:dyDescent="0.25">
      <c r="A86" s="11"/>
      <c r="B86" s="12" t="s">
        <v>35</v>
      </c>
      <c r="C86" s="12"/>
      <c r="D86" s="12"/>
      <c r="E86" s="12"/>
      <c r="F86" s="12"/>
      <c r="G86" s="12"/>
      <c r="H86" s="12"/>
    </row>
    <row r="87" spans="1:8" x14ac:dyDescent="0.25">
      <c r="A87" s="11"/>
      <c r="B87" s="12"/>
      <c r="C87" s="12"/>
      <c r="D87" s="12"/>
      <c r="E87" s="12"/>
      <c r="F87" s="12"/>
      <c r="G87" s="12"/>
      <c r="H87" s="12"/>
    </row>
    <row r="88" spans="1:8" x14ac:dyDescent="0.25">
      <c r="A88" s="11"/>
      <c r="B88" s="12"/>
      <c r="C88" s="12"/>
      <c r="D88" s="12"/>
      <c r="E88" s="12"/>
      <c r="F88" s="12"/>
      <c r="G88" s="12"/>
      <c r="H88" s="12"/>
    </row>
    <row r="89" spans="1:8" x14ac:dyDescent="0.25">
      <c r="A89" s="15"/>
      <c r="B89" s="16"/>
      <c r="C89" s="16"/>
      <c r="D89" s="16"/>
      <c r="E89" s="16"/>
      <c r="F89" s="16"/>
      <c r="G89" s="16"/>
      <c r="H89" s="16"/>
    </row>
    <row r="90" spans="1:8" x14ac:dyDescent="0.25">
      <c r="A90" s="2"/>
    </row>
    <row r="91" spans="1:8" x14ac:dyDescent="0.25">
      <c r="B91" s="17" t="s">
        <v>36</v>
      </c>
      <c r="F91" s="550" t="s">
        <v>37</v>
      </c>
      <c r="G91" s="550"/>
      <c r="H91" s="550"/>
    </row>
  </sheetData>
  <mergeCells count="21">
    <mergeCell ref="C16:G16"/>
    <mergeCell ref="A1:H1"/>
    <mergeCell ref="B3:H3"/>
    <mergeCell ref="C6:G6"/>
    <mergeCell ref="C7:G7"/>
    <mergeCell ref="C8:G8"/>
    <mergeCell ref="C9:G9"/>
    <mergeCell ref="C10:G10"/>
    <mergeCell ref="C12:G12"/>
    <mergeCell ref="C13:G13"/>
    <mergeCell ref="C14:G14"/>
    <mergeCell ref="C15:G15"/>
    <mergeCell ref="H20:H21"/>
    <mergeCell ref="F91:H91"/>
    <mergeCell ref="C17:G17"/>
    <mergeCell ref="A20:A21"/>
    <mergeCell ref="B20:B21"/>
    <mergeCell ref="C20:D20"/>
    <mergeCell ref="E20:E21"/>
    <mergeCell ref="F20:F21"/>
    <mergeCell ref="G20:G21"/>
  </mergeCells>
  <printOptions horizontalCentered="1"/>
  <pageMargins left="0.19685039370078741" right="0.19685039370078741" top="0.59055118110236227" bottom="0.59055118110236227" header="0.31496062992125984" footer="0.31496062992125984"/>
  <pageSetup paperSize="9" scale="76" orientation="portrait" r:id="rId1"/>
  <headerFooter>
    <oddFooter>&amp;C&amp;P/&amp;N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6"/>
  <sheetViews>
    <sheetView workbookViewId="0">
      <selection activeCell="O5" sqref="O5:O14"/>
    </sheetView>
  </sheetViews>
  <sheetFormatPr defaultRowHeight="18.75" x14ac:dyDescent="0.3"/>
  <cols>
    <col min="1" max="1" width="4.7109375" style="39" bestFit="1" customWidth="1"/>
    <col min="2" max="2" width="44.85546875" style="39" customWidth="1"/>
    <col min="3" max="3" width="10.42578125" style="39" bestFit="1" customWidth="1"/>
    <col min="4" max="4" width="8.42578125" style="39" bestFit="1" customWidth="1"/>
    <col min="5" max="5" width="10.42578125" style="39" bestFit="1" customWidth="1"/>
    <col min="6" max="6" width="8.7109375" style="39" hidden="1" customWidth="1"/>
    <col min="7" max="7" width="8.42578125" style="39" bestFit="1" customWidth="1"/>
    <col min="8" max="8" width="8.7109375" style="39" hidden="1" customWidth="1"/>
    <col min="9" max="10" width="8.7109375" style="39" customWidth="1"/>
    <col min="11" max="11" width="10.42578125" style="39" bestFit="1" customWidth="1"/>
    <col min="12" max="12" width="8.7109375" style="39" bestFit="1" customWidth="1"/>
    <col min="13" max="13" width="8.7109375" style="39" customWidth="1"/>
    <col min="14" max="14" width="8.42578125" style="39" bestFit="1" customWidth="1"/>
    <col min="15" max="15" width="8.7109375" style="39" bestFit="1" customWidth="1"/>
    <col min="16" max="16384" width="9.140625" style="39"/>
  </cols>
  <sheetData>
    <row r="1" spans="1:16" x14ac:dyDescent="0.3">
      <c r="A1" s="559" t="s">
        <v>547</v>
      </c>
      <c r="B1" s="559"/>
      <c r="C1" s="559"/>
      <c r="D1" s="559"/>
      <c r="E1" s="559"/>
      <c r="F1" s="559"/>
      <c r="G1" s="559"/>
      <c r="H1" s="559"/>
      <c r="I1" s="559"/>
      <c r="J1" s="559"/>
      <c r="K1" s="559"/>
      <c r="L1" s="559"/>
      <c r="M1" s="559"/>
      <c r="N1" s="559"/>
      <c r="O1" s="559"/>
      <c r="P1" s="559"/>
    </row>
    <row r="2" spans="1:16" x14ac:dyDescent="0.3">
      <c r="A2" s="39" t="s">
        <v>553</v>
      </c>
    </row>
    <row r="3" spans="1:16" x14ac:dyDescent="0.3">
      <c r="A3" s="563" t="s">
        <v>62</v>
      </c>
      <c r="B3" s="563" t="s">
        <v>134</v>
      </c>
      <c r="C3" s="564" t="s">
        <v>548</v>
      </c>
      <c r="D3" s="564"/>
      <c r="E3" s="564" t="s">
        <v>550</v>
      </c>
      <c r="F3" s="564"/>
      <c r="G3" s="564"/>
      <c r="H3" s="564"/>
      <c r="I3" s="179"/>
      <c r="J3" s="179"/>
      <c r="K3" s="560" t="s">
        <v>558</v>
      </c>
      <c r="L3" s="561"/>
      <c r="M3" s="561"/>
      <c r="N3" s="561"/>
      <c r="O3" s="561"/>
      <c r="P3" s="562"/>
    </row>
    <row r="4" spans="1:16" s="41" customFormat="1" x14ac:dyDescent="0.3">
      <c r="A4" s="563"/>
      <c r="B4" s="563"/>
      <c r="C4" s="181" t="s">
        <v>551</v>
      </c>
      <c r="D4" s="181" t="s">
        <v>549</v>
      </c>
      <c r="E4" s="180" t="s">
        <v>551</v>
      </c>
      <c r="F4" s="180" t="s">
        <v>552</v>
      </c>
      <c r="G4" s="180" t="s">
        <v>549</v>
      </c>
      <c r="H4" s="180" t="s">
        <v>552</v>
      </c>
      <c r="I4" s="180"/>
      <c r="J4" s="180"/>
      <c r="K4" s="180" t="s">
        <v>551</v>
      </c>
      <c r="L4" s="180" t="s">
        <v>552</v>
      </c>
      <c r="M4" s="180" t="s">
        <v>458</v>
      </c>
      <c r="N4" s="180" t="s">
        <v>549</v>
      </c>
      <c r="O4" s="180" t="s">
        <v>552</v>
      </c>
      <c r="P4" s="180"/>
    </row>
    <row r="5" spans="1:16" x14ac:dyDescent="0.3">
      <c r="B5" s="39" t="s">
        <v>554</v>
      </c>
      <c r="C5" s="39">
        <v>66</v>
      </c>
      <c r="D5" s="39">
        <v>26</v>
      </c>
      <c r="E5" s="39">
        <v>58</v>
      </c>
      <c r="F5" s="39">
        <f>6961-L5</f>
        <v>6577</v>
      </c>
      <c r="G5" s="39">
        <v>24</v>
      </c>
      <c r="K5" s="39">
        <f>C5-E5</f>
        <v>8</v>
      </c>
      <c r="L5" s="39">
        <f>K5*48</f>
        <v>384</v>
      </c>
      <c r="M5" s="39">
        <f>K5*25</f>
        <v>200</v>
      </c>
      <c r="N5" s="39">
        <f>D5-G5</f>
        <v>2</v>
      </c>
      <c r="O5" s="39">
        <f>ROUND(1.39*12*1.235*N5,0)</f>
        <v>41</v>
      </c>
      <c r="P5" s="39">
        <f>ROUND(L5+M5*0.9+O5,0)</f>
        <v>605</v>
      </c>
    </row>
    <row r="6" spans="1:16" x14ac:dyDescent="0.3">
      <c r="B6" s="39" t="s">
        <v>555</v>
      </c>
      <c r="C6" s="39">
        <v>12</v>
      </c>
      <c r="E6" s="39">
        <v>12</v>
      </c>
      <c r="F6" s="39">
        <v>719</v>
      </c>
      <c r="K6" s="39">
        <f t="shared" ref="K6:K69" si="0">C6-E6</f>
        <v>0</v>
      </c>
      <c r="L6" s="39">
        <f t="shared" ref="L6:L69" si="1">K6*48</f>
        <v>0</v>
      </c>
      <c r="N6" s="39">
        <f t="shared" ref="N6:N69" si="2">D6-G6</f>
        <v>0</v>
      </c>
      <c r="O6" s="39">
        <f t="shared" ref="O6:O69" si="3">ROUND(1.39*12*1.235*N6,0)</f>
        <v>0</v>
      </c>
      <c r="P6" s="39">
        <f t="shared" ref="P6:P69" si="4">ROUND(L6+M6*0.9+O6,0)</f>
        <v>0</v>
      </c>
    </row>
    <row r="7" spans="1:16" x14ac:dyDescent="0.3">
      <c r="B7" s="39" t="s">
        <v>476</v>
      </c>
      <c r="C7" s="39">
        <v>40</v>
      </c>
      <c r="D7" s="39">
        <v>6</v>
      </c>
      <c r="E7" s="39">
        <v>37</v>
      </c>
      <c r="G7" s="39">
        <v>5</v>
      </c>
      <c r="K7" s="39">
        <f t="shared" si="0"/>
        <v>3</v>
      </c>
      <c r="L7" s="39">
        <f t="shared" si="1"/>
        <v>144</v>
      </c>
      <c r="M7" s="39">
        <f>K7*20</f>
        <v>60</v>
      </c>
      <c r="N7" s="39">
        <f t="shared" si="2"/>
        <v>1</v>
      </c>
      <c r="O7" s="39">
        <f t="shared" si="3"/>
        <v>21</v>
      </c>
      <c r="P7" s="39">
        <f t="shared" si="4"/>
        <v>219</v>
      </c>
    </row>
    <row r="8" spans="1:16" x14ac:dyDescent="0.3">
      <c r="B8" s="39" t="s">
        <v>556</v>
      </c>
      <c r="C8" s="39">
        <v>15</v>
      </c>
      <c r="D8" s="39">
        <v>2</v>
      </c>
      <c r="E8" s="39">
        <v>10</v>
      </c>
      <c r="G8" s="39">
        <v>2</v>
      </c>
      <c r="K8" s="39">
        <f t="shared" si="0"/>
        <v>5</v>
      </c>
      <c r="L8" s="39">
        <f t="shared" si="1"/>
        <v>240</v>
      </c>
      <c r="N8" s="39">
        <f t="shared" si="2"/>
        <v>0</v>
      </c>
      <c r="O8" s="39">
        <f t="shared" si="3"/>
        <v>0</v>
      </c>
      <c r="P8" s="39">
        <f t="shared" si="4"/>
        <v>240</v>
      </c>
    </row>
    <row r="9" spans="1:16" x14ac:dyDescent="0.3">
      <c r="B9" s="39" t="s">
        <v>557</v>
      </c>
      <c r="C9" s="39">
        <v>65</v>
      </c>
      <c r="D9" s="39">
        <v>17</v>
      </c>
      <c r="E9" s="39">
        <v>57</v>
      </c>
      <c r="G9" s="39">
        <v>11</v>
      </c>
      <c r="K9" s="39">
        <f t="shared" si="0"/>
        <v>8</v>
      </c>
      <c r="L9" s="39">
        <f t="shared" si="1"/>
        <v>384</v>
      </c>
      <c r="N9" s="39">
        <f t="shared" si="2"/>
        <v>6</v>
      </c>
      <c r="O9" s="39">
        <f t="shared" si="3"/>
        <v>124</v>
      </c>
      <c r="P9" s="39">
        <f t="shared" si="4"/>
        <v>508</v>
      </c>
    </row>
    <row r="10" spans="1:16" x14ac:dyDescent="0.3">
      <c r="B10" s="39" t="s">
        <v>498</v>
      </c>
      <c r="C10" s="39">
        <v>10</v>
      </c>
      <c r="E10" s="39">
        <v>9</v>
      </c>
      <c r="K10" s="39">
        <f t="shared" si="0"/>
        <v>1</v>
      </c>
      <c r="L10" s="39">
        <f t="shared" si="1"/>
        <v>48</v>
      </c>
      <c r="N10" s="39">
        <f t="shared" si="2"/>
        <v>0</v>
      </c>
      <c r="O10" s="39">
        <f t="shared" si="3"/>
        <v>0</v>
      </c>
      <c r="P10" s="39">
        <f t="shared" si="4"/>
        <v>48</v>
      </c>
    </row>
    <row r="11" spans="1:16" x14ac:dyDescent="0.3">
      <c r="K11" s="39">
        <f t="shared" si="0"/>
        <v>0</v>
      </c>
      <c r="L11" s="39">
        <f t="shared" si="1"/>
        <v>0</v>
      </c>
      <c r="N11" s="39">
        <f t="shared" si="2"/>
        <v>0</v>
      </c>
      <c r="O11" s="39">
        <f t="shared" si="3"/>
        <v>0</v>
      </c>
      <c r="P11" s="39">
        <f t="shared" si="4"/>
        <v>0</v>
      </c>
    </row>
    <row r="12" spans="1:16" x14ac:dyDescent="0.3">
      <c r="K12" s="39">
        <f t="shared" si="0"/>
        <v>0</v>
      </c>
      <c r="L12" s="39">
        <f t="shared" si="1"/>
        <v>0</v>
      </c>
      <c r="N12" s="39">
        <f t="shared" si="2"/>
        <v>0</v>
      </c>
      <c r="O12" s="39">
        <f t="shared" si="3"/>
        <v>0</v>
      </c>
      <c r="P12" s="39">
        <f t="shared" si="4"/>
        <v>0</v>
      </c>
    </row>
    <row r="13" spans="1:16" x14ac:dyDescent="0.3">
      <c r="K13" s="39">
        <f t="shared" si="0"/>
        <v>0</v>
      </c>
      <c r="L13" s="39">
        <f t="shared" si="1"/>
        <v>0</v>
      </c>
      <c r="N13" s="39">
        <f t="shared" si="2"/>
        <v>0</v>
      </c>
      <c r="O13" s="39">
        <f t="shared" si="3"/>
        <v>0</v>
      </c>
      <c r="P13" s="39">
        <f t="shared" si="4"/>
        <v>0</v>
      </c>
    </row>
    <row r="14" spans="1:16" x14ac:dyDescent="0.3">
      <c r="K14" s="39">
        <f t="shared" si="0"/>
        <v>0</v>
      </c>
      <c r="L14" s="39">
        <f t="shared" si="1"/>
        <v>0</v>
      </c>
      <c r="N14" s="39">
        <f t="shared" si="2"/>
        <v>0</v>
      </c>
      <c r="O14" s="39">
        <f t="shared" si="3"/>
        <v>0</v>
      </c>
      <c r="P14" s="39">
        <f t="shared" si="4"/>
        <v>0</v>
      </c>
    </row>
    <row r="15" spans="1:16" x14ac:dyDescent="0.3">
      <c r="K15" s="39">
        <f t="shared" si="0"/>
        <v>0</v>
      </c>
      <c r="L15" s="39">
        <f t="shared" si="1"/>
        <v>0</v>
      </c>
      <c r="N15" s="39">
        <f t="shared" si="2"/>
        <v>0</v>
      </c>
      <c r="O15" s="39">
        <f t="shared" si="3"/>
        <v>0</v>
      </c>
      <c r="P15" s="39">
        <f t="shared" si="4"/>
        <v>0</v>
      </c>
    </row>
    <row r="16" spans="1:16" x14ac:dyDescent="0.3">
      <c r="K16" s="39">
        <f t="shared" si="0"/>
        <v>0</v>
      </c>
      <c r="L16" s="39">
        <f t="shared" si="1"/>
        <v>0</v>
      </c>
      <c r="N16" s="39">
        <f t="shared" si="2"/>
        <v>0</v>
      </c>
      <c r="O16" s="39">
        <f t="shared" si="3"/>
        <v>0</v>
      </c>
      <c r="P16" s="39">
        <f t="shared" si="4"/>
        <v>0</v>
      </c>
    </row>
    <row r="17" spans="11:16" x14ac:dyDescent="0.3">
      <c r="K17" s="39">
        <f t="shared" si="0"/>
        <v>0</v>
      </c>
      <c r="L17" s="39">
        <f t="shared" si="1"/>
        <v>0</v>
      </c>
      <c r="N17" s="39">
        <f t="shared" si="2"/>
        <v>0</v>
      </c>
      <c r="O17" s="39">
        <f t="shared" si="3"/>
        <v>0</v>
      </c>
      <c r="P17" s="39">
        <f t="shared" si="4"/>
        <v>0</v>
      </c>
    </row>
    <row r="18" spans="11:16" x14ac:dyDescent="0.3">
      <c r="K18" s="39">
        <f t="shared" si="0"/>
        <v>0</v>
      </c>
      <c r="L18" s="39">
        <f t="shared" si="1"/>
        <v>0</v>
      </c>
      <c r="N18" s="39">
        <f t="shared" si="2"/>
        <v>0</v>
      </c>
      <c r="O18" s="39">
        <f t="shared" si="3"/>
        <v>0</v>
      </c>
      <c r="P18" s="39">
        <f t="shared" si="4"/>
        <v>0</v>
      </c>
    </row>
    <row r="19" spans="11:16" x14ac:dyDescent="0.3">
      <c r="K19" s="39">
        <f t="shared" si="0"/>
        <v>0</v>
      </c>
      <c r="L19" s="39">
        <f t="shared" si="1"/>
        <v>0</v>
      </c>
      <c r="N19" s="39">
        <f t="shared" si="2"/>
        <v>0</v>
      </c>
      <c r="O19" s="39">
        <f t="shared" si="3"/>
        <v>0</v>
      </c>
      <c r="P19" s="39">
        <f t="shared" si="4"/>
        <v>0</v>
      </c>
    </row>
    <row r="20" spans="11:16" x14ac:dyDescent="0.3">
      <c r="K20" s="39">
        <f t="shared" si="0"/>
        <v>0</v>
      </c>
      <c r="L20" s="39">
        <f t="shared" si="1"/>
        <v>0</v>
      </c>
      <c r="N20" s="39">
        <f t="shared" si="2"/>
        <v>0</v>
      </c>
      <c r="O20" s="39">
        <f t="shared" si="3"/>
        <v>0</v>
      </c>
      <c r="P20" s="39">
        <f t="shared" si="4"/>
        <v>0</v>
      </c>
    </row>
    <row r="21" spans="11:16" x14ac:dyDescent="0.3">
      <c r="K21" s="39">
        <f t="shared" si="0"/>
        <v>0</v>
      </c>
      <c r="L21" s="39">
        <f t="shared" si="1"/>
        <v>0</v>
      </c>
      <c r="N21" s="39">
        <f t="shared" si="2"/>
        <v>0</v>
      </c>
      <c r="O21" s="39">
        <f t="shared" si="3"/>
        <v>0</v>
      </c>
      <c r="P21" s="39">
        <f t="shared" si="4"/>
        <v>0</v>
      </c>
    </row>
    <row r="22" spans="11:16" x14ac:dyDescent="0.3">
      <c r="K22" s="39">
        <f t="shared" si="0"/>
        <v>0</v>
      </c>
      <c r="L22" s="39">
        <f t="shared" si="1"/>
        <v>0</v>
      </c>
      <c r="N22" s="39">
        <f t="shared" si="2"/>
        <v>0</v>
      </c>
      <c r="O22" s="39">
        <f t="shared" si="3"/>
        <v>0</v>
      </c>
      <c r="P22" s="39">
        <f t="shared" si="4"/>
        <v>0</v>
      </c>
    </row>
    <row r="23" spans="11:16" x14ac:dyDescent="0.3">
      <c r="K23" s="39">
        <f t="shared" si="0"/>
        <v>0</v>
      </c>
      <c r="L23" s="39">
        <f t="shared" si="1"/>
        <v>0</v>
      </c>
      <c r="N23" s="39">
        <f t="shared" si="2"/>
        <v>0</v>
      </c>
      <c r="O23" s="39">
        <f t="shared" si="3"/>
        <v>0</v>
      </c>
      <c r="P23" s="39">
        <f t="shared" si="4"/>
        <v>0</v>
      </c>
    </row>
    <row r="24" spans="11:16" x14ac:dyDescent="0.3">
      <c r="K24" s="39">
        <f t="shared" si="0"/>
        <v>0</v>
      </c>
      <c r="L24" s="39">
        <f t="shared" si="1"/>
        <v>0</v>
      </c>
      <c r="N24" s="39">
        <f t="shared" si="2"/>
        <v>0</v>
      </c>
      <c r="O24" s="39">
        <f t="shared" si="3"/>
        <v>0</v>
      </c>
      <c r="P24" s="39">
        <f t="shared" si="4"/>
        <v>0</v>
      </c>
    </row>
    <row r="25" spans="11:16" x14ac:dyDescent="0.3">
      <c r="K25" s="39">
        <f t="shared" si="0"/>
        <v>0</v>
      </c>
      <c r="L25" s="39">
        <f t="shared" si="1"/>
        <v>0</v>
      </c>
      <c r="N25" s="39">
        <f t="shared" si="2"/>
        <v>0</v>
      </c>
      <c r="O25" s="39">
        <f t="shared" si="3"/>
        <v>0</v>
      </c>
      <c r="P25" s="39">
        <f t="shared" si="4"/>
        <v>0</v>
      </c>
    </row>
    <row r="26" spans="11:16" x14ac:dyDescent="0.3">
      <c r="K26" s="39">
        <f t="shared" si="0"/>
        <v>0</v>
      </c>
      <c r="L26" s="39">
        <f t="shared" si="1"/>
        <v>0</v>
      </c>
      <c r="N26" s="39">
        <f t="shared" si="2"/>
        <v>0</v>
      </c>
      <c r="O26" s="39">
        <f t="shared" si="3"/>
        <v>0</v>
      </c>
      <c r="P26" s="39">
        <f t="shared" si="4"/>
        <v>0</v>
      </c>
    </row>
    <row r="27" spans="11:16" x14ac:dyDescent="0.3">
      <c r="K27" s="39">
        <f t="shared" si="0"/>
        <v>0</v>
      </c>
      <c r="L27" s="39">
        <f t="shared" si="1"/>
        <v>0</v>
      </c>
      <c r="N27" s="39">
        <f t="shared" si="2"/>
        <v>0</v>
      </c>
      <c r="O27" s="39">
        <f t="shared" si="3"/>
        <v>0</v>
      </c>
      <c r="P27" s="39">
        <f t="shared" si="4"/>
        <v>0</v>
      </c>
    </row>
    <row r="28" spans="11:16" x14ac:dyDescent="0.3">
      <c r="K28" s="39">
        <f t="shared" si="0"/>
        <v>0</v>
      </c>
      <c r="L28" s="39">
        <f t="shared" si="1"/>
        <v>0</v>
      </c>
      <c r="N28" s="39">
        <f t="shared" si="2"/>
        <v>0</v>
      </c>
      <c r="O28" s="39">
        <f t="shared" si="3"/>
        <v>0</v>
      </c>
      <c r="P28" s="39">
        <f t="shared" si="4"/>
        <v>0</v>
      </c>
    </row>
    <row r="29" spans="11:16" x14ac:dyDescent="0.3">
      <c r="K29" s="39">
        <f t="shared" si="0"/>
        <v>0</v>
      </c>
      <c r="L29" s="39">
        <f t="shared" si="1"/>
        <v>0</v>
      </c>
      <c r="N29" s="39">
        <f t="shared" si="2"/>
        <v>0</v>
      </c>
      <c r="O29" s="39">
        <f t="shared" si="3"/>
        <v>0</v>
      </c>
      <c r="P29" s="39">
        <f t="shared" si="4"/>
        <v>0</v>
      </c>
    </row>
    <row r="30" spans="11:16" x14ac:dyDescent="0.3">
      <c r="K30" s="39">
        <f t="shared" si="0"/>
        <v>0</v>
      </c>
      <c r="L30" s="39">
        <f t="shared" si="1"/>
        <v>0</v>
      </c>
      <c r="N30" s="39">
        <f t="shared" si="2"/>
        <v>0</v>
      </c>
      <c r="O30" s="39">
        <f t="shared" si="3"/>
        <v>0</v>
      </c>
      <c r="P30" s="39">
        <f t="shared" si="4"/>
        <v>0</v>
      </c>
    </row>
    <row r="31" spans="11:16" x14ac:dyDescent="0.3">
      <c r="K31" s="39">
        <f t="shared" si="0"/>
        <v>0</v>
      </c>
      <c r="L31" s="39">
        <f t="shared" si="1"/>
        <v>0</v>
      </c>
      <c r="N31" s="39">
        <f t="shared" si="2"/>
        <v>0</v>
      </c>
      <c r="O31" s="39">
        <f t="shared" si="3"/>
        <v>0</v>
      </c>
      <c r="P31" s="39">
        <f t="shared" si="4"/>
        <v>0</v>
      </c>
    </row>
    <row r="32" spans="11:16" x14ac:dyDescent="0.3">
      <c r="K32" s="39">
        <f t="shared" si="0"/>
        <v>0</v>
      </c>
      <c r="L32" s="39">
        <f t="shared" si="1"/>
        <v>0</v>
      </c>
      <c r="N32" s="39">
        <f t="shared" si="2"/>
        <v>0</v>
      </c>
      <c r="O32" s="39">
        <f t="shared" si="3"/>
        <v>0</v>
      </c>
      <c r="P32" s="39">
        <f t="shared" si="4"/>
        <v>0</v>
      </c>
    </row>
    <row r="33" spans="11:16" x14ac:dyDescent="0.3">
      <c r="K33" s="39">
        <f t="shared" si="0"/>
        <v>0</v>
      </c>
      <c r="L33" s="39">
        <f t="shared" si="1"/>
        <v>0</v>
      </c>
      <c r="N33" s="39">
        <f t="shared" si="2"/>
        <v>0</v>
      </c>
      <c r="O33" s="39">
        <f t="shared" si="3"/>
        <v>0</v>
      </c>
      <c r="P33" s="39">
        <f t="shared" si="4"/>
        <v>0</v>
      </c>
    </row>
    <row r="34" spans="11:16" x14ac:dyDescent="0.3">
      <c r="K34" s="39">
        <f t="shared" si="0"/>
        <v>0</v>
      </c>
      <c r="L34" s="39">
        <f t="shared" si="1"/>
        <v>0</v>
      </c>
      <c r="N34" s="39">
        <f t="shared" si="2"/>
        <v>0</v>
      </c>
      <c r="O34" s="39">
        <f t="shared" si="3"/>
        <v>0</v>
      </c>
      <c r="P34" s="39">
        <f t="shared" si="4"/>
        <v>0</v>
      </c>
    </row>
    <row r="35" spans="11:16" x14ac:dyDescent="0.3">
      <c r="K35" s="39">
        <f t="shared" si="0"/>
        <v>0</v>
      </c>
      <c r="L35" s="39">
        <f t="shared" si="1"/>
        <v>0</v>
      </c>
      <c r="N35" s="39">
        <f t="shared" si="2"/>
        <v>0</v>
      </c>
      <c r="O35" s="39">
        <f t="shared" si="3"/>
        <v>0</v>
      </c>
      <c r="P35" s="39">
        <f t="shared" si="4"/>
        <v>0</v>
      </c>
    </row>
    <row r="36" spans="11:16" x14ac:dyDescent="0.3">
      <c r="K36" s="39">
        <f t="shared" si="0"/>
        <v>0</v>
      </c>
      <c r="L36" s="39">
        <f t="shared" si="1"/>
        <v>0</v>
      </c>
      <c r="N36" s="39">
        <f t="shared" si="2"/>
        <v>0</v>
      </c>
      <c r="O36" s="39">
        <f t="shared" si="3"/>
        <v>0</v>
      </c>
      <c r="P36" s="39">
        <f t="shared" si="4"/>
        <v>0</v>
      </c>
    </row>
    <row r="37" spans="11:16" x14ac:dyDescent="0.3">
      <c r="K37" s="39">
        <f t="shared" si="0"/>
        <v>0</v>
      </c>
      <c r="L37" s="39">
        <f t="shared" si="1"/>
        <v>0</v>
      </c>
      <c r="N37" s="39">
        <f t="shared" si="2"/>
        <v>0</v>
      </c>
      <c r="O37" s="39">
        <f t="shared" si="3"/>
        <v>0</v>
      </c>
      <c r="P37" s="39">
        <f t="shared" si="4"/>
        <v>0</v>
      </c>
    </row>
    <row r="38" spans="11:16" x14ac:dyDescent="0.3">
      <c r="K38" s="39">
        <f t="shared" si="0"/>
        <v>0</v>
      </c>
      <c r="L38" s="39">
        <f t="shared" si="1"/>
        <v>0</v>
      </c>
      <c r="N38" s="39">
        <f t="shared" si="2"/>
        <v>0</v>
      </c>
      <c r="O38" s="39">
        <f t="shared" si="3"/>
        <v>0</v>
      </c>
      <c r="P38" s="39">
        <f t="shared" si="4"/>
        <v>0</v>
      </c>
    </row>
    <row r="39" spans="11:16" x14ac:dyDescent="0.3">
      <c r="K39" s="39">
        <f t="shared" si="0"/>
        <v>0</v>
      </c>
      <c r="L39" s="39">
        <f t="shared" si="1"/>
        <v>0</v>
      </c>
      <c r="N39" s="39">
        <f t="shared" si="2"/>
        <v>0</v>
      </c>
      <c r="O39" s="39">
        <f t="shared" si="3"/>
        <v>0</v>
      </c>
      <c r="P39" s="39">
        <f t="shared" si="4"/>
        <v>0</v>
      </c>
    </row>
    <row r="40" spans="11:16" x14ac:dyDescent="0.3">
      <c r="K40" s="39">
        <f t="shared" si="0"/>
        <v>0</v>
      </c>
      <c r="L40" s="39">
        <f t="shared" si="1"/>
        <v>0</v>
      </c>
      <c r="N40" s="39">
        <f t="shared" si="2"/>
        <v>0</v>
      </c>
      <c r="O40" s="39">
        <f t="shared" si="3"/>
        <v>0</v>
      </c>
      <c r="P40" s="39">
        <f t="shared" si="4"/>
        <v>0</v>
      </c>
    </row>
    <row r="41" spans="11:16" x14ac:dyDescent="0.3">
      <c r="K41" s="39">
        <f t="shared" si="0"/>
        <v>0</v>
      </c>
      <c r="L41" s="39">
        <f t="shared" si="1"/>
        <v>0</v>
      </c>
      <c r="N41" s="39">
        <f t="shared" si="2"/>
        <v>0</v>
      </c>
      <c r="O41" s="39">
        <f t="shared" si="3"/>
        <v>0</v>
      </c>
      <c r="P41" s="39">
        <f t="shared" si="4"/>
        <v>0</v>
      </c>
    </row>
    <row r="42" spans="11:16" x14ac:dyDescent="0.3">
      <c r="K42" s="39">
        <f t="shared" si="0"/>
        <v>0</v>
      </c>
      <c r="L42" s="39">
        <f t="shared" si="1"/>
        <v>0</v>
      </c>
      <c r="N42" s="39">
        <f t="shared" si="2"/>
        <v>0</v>
      </c>
      <c r="O42" s="39">
        <f t="shared" si="3"/>
        <v>0</v>
      </c>
      <c r="P42" s="39">
        <f t="shared" si="4"/>
        <v>0</v>
      </c>
    </row>
    <row r="43" spans="11:16" x14ac:dyDescent="0.3">
      <c r="K43" s="39">
        <f t="shared" si="0"/>
        <v>0</v>
      </c>
      <c r="L43" s="39">
        <f t="shared" si="1"/>
        <v>0</v>
      </c>
      <c r="N43" s="39">
        <f t="shared" si="2"/>
        <v>0</v>
      </c>
      <c r="O43" s="39">
        <f t="shared" si="3"/>
        <v>0</v>
      </c>
      <c r="P43" s="39">
        <f t="shared" si="4"/>
        <v>0</v>
      </c>
    </row>
    <row r="44" spans="11:16" x14ac:dyDescent="0.3">
      <c r="K44" s="39">
        <f t="shared" si="0"/>
        <v>0</v>
      </c>
      <c r="L44" s="39">
        <f t="shared" si="1"/>
        <v>0</v>
      </c>
      <c r="N44" s="39">
        <f t="shared" si="2"/>
        <v>0</v>
      </c>
      <c r="O44" s="39">
        <f t="shared" si="3"/>
        <v>0</v>
      </c>
      <c r="P44" s="39">
        <f t="shared" si="4"/>
        <v>0</v>
      </c>
    </row>
    <row r="45" spans="11:16" x14ac:dyDescent="0.3">
      <c r="K45" s="39">
        <f t="shared" si="0"/>
        <v>0</v>
      </c>
      <c r="L45" s="39">
        <f t="shared" si="1"/>
        <v>0</v>
      </c>
      <c r="N45" s="39">
        <f t="shared" si="2"/>
        <v>0</v>
      </c>
      <c r="O45" s="39">
        <f t="shared" si="3"/>
        <v>0</v>
      </c>
      <c r="P45" s="39">
        <f t="shared" si="4"/>
        <v>0</v>
      </c>
    </row>
    <row r="46" spans="11:16" x14ac:dyDescent="0.3">
      <c r="K46" s="39">
        <f t="shared" si="0"/>
        <v>0</v>
      </c>
      <c r="L46" s="39">
        <f t="shared" si="1"/>
        <v>0</v>
      </c>
      <c r="N46" s="39">
        <f t="shared" si="2"/>
        <v>0</v>
      </c>
      <c r="O46" s="39">
        <f t="shared" si="3"/>
        <v>0</v>
      </c>
      <c r="P46" s="39">
        <f t="shared" si="4"/>
        <v>0</v>
      </c>
    </row>
    <row r="47" spans="11:16" x14ac:dyDescent="0.3">
      <c r="K47" s="39">
        <f t="shared" si="0"/>
        <v>0</v>
      </c>
      <c r="L47" s="39">
        <f t="shared" si="1"/>
        <v>0</v>
      </c>
      <c r="N47" s="39">
        <f t="shared" si="2"/>
        <v>0</v>
      </c>
      <c r="O47" s="39">
        <f t="shared" si="3"/>
        <v>0</v>
      </c>
      <c r="P47" s="39">
        <f t="shared" si="4"/>
        <v>0</v>
      </c>
    </row>
    <row r="48" spans="11:16" x14ac:dyDescent="0.3">
      <c r="K48" s="39">
        <f t="shared" si="0"/>
        <v>0</v>
      </c>
      <c r="L48" s="39">
        <f t="shared" si="1"/>
        <v>0</v>
      </c>
      <c r="N48" s="39">
        <f t="shared" si="2"/>
        <v>0</v>
      </c>
      <c r="O48" s="39">
        <f t="shared" si="3"/>
        <v>0</v>
      </c>
      <c r="P48" s="39">
        <f t="shared" si="4"/>
        <v>0</v>
      </c>
    </row>
    <row r="49" spans="11:16" x14ac:dyDescent="0.3">
      <c r="K49" s="39">
        <f t="shared" si="0"/>
        <v>0</v>
      </c>
      <c r="L49" s="39">
        <f t="shared" si="1"/>
        <v>0</v>
      </c>
      <c r="N49" s="39">
        <f t="shared" si="2"/>
        <v>0</v>
      </c>
      <c r="O49" s="39">
        <f t="shared" si="3"/>
        <v>0</v>
      </c>
      <c r="P49" s="39">
        <f t="shared" si="4"/>
        <v>0</v>
      </c>
    </row>
    <row r="50" spans="11:16" x14ac:dyDescent="0.3">
      <c r="K50" s="39">
        <f t="shared" si="0"/>
        <v>0</v>
      </c>
      <c r="L50" s="39">
        <f t="shared" si="1"/>
        <v>0</v>
      </c>
      <c r="N50" s="39">
        <f t="shared" si="2"/>
        <v>0</v>
      </c>
      <c r="O50" s="39">
        <f t="shared" si="3"/>
        <v>0</v>
      </c>
      <c r="P50" s="39">
        <f t="shared" si="4"/>
        <v>0</v>
      </c>
    </row>
    <row r="51" spans="11:16" x14ac:dyDescent="0.3">
      <c r="K51" s="39">
        <f t="shared" si="0"/>
        <v>0</v>
      </c>
      <c r="L51" s="39">
        <f t="shared" si="1"/>
        <v>0</v>
      </c>
      <c r="N51" s="39">
        <f t="shared" si="2"/>
        <v>0</v>
      </c>
      <c r="O51" s="39">
        <f t="shared" si="3"/>
        <v>0</v>
      </c>
      <c r="P51" s="39">
        <f t="shared" si="4"/>
        <v>0</v>
      </c>
    </row>
    <row r="52" spans="11:16" x14ac:dyDescent="0.3">
      <c r="K52" s="39">
        <f t="shared" si="0"/>
        <v>0</v>
      </c>
      <c r="L52" s="39">
        <f t="shared" si="1"/>
        <v>0</v>
      </c>
      <c r="N52" s="39">
        <f t="shared" si="2"/>
        <v>0</v>
      </c>
      <c r="O52" s="39">
        <f t="shared" si="3"/>
        <v>0</v>
      </c>
      <c r="P52" s="39">
        <f t="shared" si="4"/>
        <v>0</v>
      </c>
    </row>
    <row r="53" spans="11:16" x14ac:dyDescent="0.3">
      <c r="K53" s="39">
        <f t="shared" si="0"/>
        <v>0</v>
      </c>
      <c r="L53" s="39">
        <f t="shared" si="1"/>
        <v>0</v>
      </c>
      <c r="N53" s="39">
        <f t="shared" si="2"/>
        <v>0</v>
      </c>
      <c r="O53" s="39">
        <f t="shared" si="3"/>
        <v>0</v>
      </c>
      <c r="P53" s="39">
        <f t="shared" si="4"/>
        <v>0</v>
      </c>
    </row>
    <row r="54" spans="11:16" x14ac:dyDescent="0.3">
      <c r="K54" s="39">
        <f t="shared" si="0"/>
        <v>0</v>
      </c>
      <c r="L54" s="39">
        <f t="shared" si="1"/>
        <v>0</v>
      </c>
      <c r="N54" s="39">
        <f t="shared" si="2"/>
        <v>0</v>
      </c>
      <c r="O54" s="39">
        <f t="shared" si="3"/>
        <v>0</v>
      </c>
      <c r="P54" s="39">
        <f t="shared" si="4"/>
        <v>0</v>
      </c>
    </row>
    <row r="55" spans="11:16" x14ac:dyDescent="0.3">
      <c r="K55" s="39">
        <f t="shared" si="0"/>
        <v>0</v>
      </c>
      <c r="L55" s="39">
        <f t="shared" si="1"/>
        <v>0</v>
      </c>
      <c r="N55" s="39">
        <f t="shared" si="2"/>
        <v>0</v>
      </c>
      <c r="O55" s="39">
        <f t="shared" si="3"/>
        <v>0</v>
      </c>
      <c r="P55" s="39">
        <f t="shared" si="4"/>
        <v>0</v>
      </c>
    </row>
    <row r="56" spans="11:16" x14ac:dyDescent="0.3">
      <c r="K56" s="39">
        <f t="shared" si="0"/>
        <v>0</v>
      </c>
      <c r="L56" s="39">
        <f t="shared" si="1"/>
        <v>0</v>
      </c>
      <c r="N56" s="39">
        <f t="shared" si="2"/>
        <v>0</v>
      </c>
      <c r="O56" s="39">
        <f t="shared" si="3"/>
        <v>0</v>
      </c>
      <c r="P56" s="39">
        <f t="shared" si="4"/>
        <v>0</v>
      </c>
    </row>
    <row r="57" spans="11:16" x14ac:dyDescent="0.3">
      <c r="K57" s="39">
        <f t="shared" si="0"/>
        <v>0</v>
      </c>
      <c r="L57" s="39">
        <f t="shared" si="1"/>
        <v>0</v>
      </c>
      <c r="N57" s="39">
        <f t="shared" si="2"/>
        <v>0</v>
      </c>
      <c r="O57" s="39">
        <f t="shared" si="3"/>
        <v>0</v>
      </c>
      <c r="P57" s="39">
        <f t="shared" si="4"/>
        <v>0</v>
      </c>
    </row>
    <row r="58" spans="11:16" x14ac:dyDescent="0.3">
      <c r="K58" s="39">
        <f t="shared" si="0"/>
        <v>0</v>
      </c>
      <c r="L58" s="39">
        <f t="shared" si="1"/>
        <v>0</v>
      </c>
      <c r="N58" s="39">
        <f t="shared" si="2"/>
        <v>0</v>
      </c>
      <c r="O58" s="39">
        <f t="shared" si="3"/>
        <v>0</v>
      </c>
      <c r="P58" s="39">
        <f t="shared" si="4"/>
        <v>0</v>
      </c>
    </row>
    <row r="59" spans="11:16" x14ac:dyDescent="0.3">
      <c r="K59" s="39">
        <f t="shared" si="0"/>
        <v>0</v>
      </c>
      <c r="L59" s="39">
        <f t="shared" si="1"/>
        <v>0</v>
      </c>
      <c r="N59" s="39">
        <f t="shared" si="2"/>
        <v>0</v>
      </c>
      <c r="O59" s="39">
        <f t="shared" si="3"/>
        <v>0</v>
      </c>
      <c r="P59" s="39">
        <f t="shared" si="4"/>
        <v>0</v>
      </c>
    </row>
    <row r="60" spans="11:16" x14ac:dyDescent="0.3">
      <c r="K60" s="39">
        <f t="shared" si="0"/>
        <v>0</v>
      </c>
      <c r="L60" s="39">
        <f t="shared" si="1"/>
        <v>0</v>
      </c>
      <c r="N60" s="39">
        <f t="shared" si="2"/>
        <v>0</v>
      </c>
      <c r="O60" s="39">
        <f t="shared" si="3"/>
        <v>0</v>
      </c>
      <c r="P60" s="39">
        <f t="shared" si="4"/>
        <v>0</v>
      </c>
    </row>
    <row r="61" spans="11:16" x14ac:dyDescent="0.3">
      <c r="K61" s="39">
        <f t="shared" si="0"/>
        <v>0</v>
      </c>
      <c r="L61" s="39">
        <f t="shared" si="1"/>
        <v>0</v>
      </c>
      <c r="N61" s="39">
        <f t="shared" si="2"/>
        <v>0</v>
      </c>
      <c r="O61" s="39">
        <f t="shared" si="3"/>
        <v>0</v>
      </c>
      <c r="P61" s="39">
        <f t="shared" si="4"/>
        <v>0</v>
      </c>
    </row>
    <row r="62" spans="11:16" x14ac:dyDescent="0.3">
      <c r="K62" s="39">
        <f t="shared" si="0"/>
        <v>0</v>
      </c>
      <c r="L62" s="39">
        <f t="shared" si="1"/>
        <v>0</v>
      </c>
      <c r="N62" s="39">
        <f t="shared" si="2"/>
        <v>0</v>
      </c>
      <c r="O62" s="39">
        <f t="shared" si="3"/>
        <v>0</v>
      </c>
      <c r="P62" s="39">
        <f t="shared" si="4"/>
        <v>0</v>
      </c>
    </row>
    <row r="63" spans="11:16" x14ac:dyDescent="0.3">
      <c r="K63" s="39">
        <f t="shared" si="0"/>
        <v>0</v>
      </c>
      <c r="L63" s="39">
        <f t="shared" si="1"/>
        <v>0</v>
      </c>
      <c r="N63" s="39">
        <f t="shared" si="2"/>
        <v>0</v>
      </c>
      <c r="O63" s="39">
        <f t="shared" si="3"/>
        <v>0</v>
      </c>
      <c r="P63" s="39">
        <f t="shared" si="4"/>
        <v>0</v>
      </c>
    </row>
    <row r="64" spans="11:16" x14ac:dyDescent="0.3">
      <c r="K64" s="39">
        <f t="shared" si="0"/>
        <v>0</v>
      </c>
      <c r="L64" s="39">
        <f t="shared" si="1"/>
        <v>0</v>
      </c>
      <c r="N64" s="39">
        <f t="shared" si="2"/>
        <v>0</v>
      </c>
      <c r="O64" s="39">
        <f t="shared" si="3"/>
        <v>0</v>
      </c>
      <c r="P64" s="39">
        <f t="shared" si="4"/>
        <v>0</v>
      </c>
    </row>
    <row r="65" spans="11:16" x14ac:dyDescent="0.3">
      <c r="K65" s="39">
        <f t="shared" si="0"/>
        <v>0</v>
      </c>
      <c r="L65" s="39">
        <f t="shared" si="1"/>
        <v>0</v>
      </c>
      <c r="N65" s="39">
        <f t="shared" si="2"/>
        <v>0</v>
      </c>
      <c r="O65" s="39">
        <f t="shared" si="3"/>
        <v>0</v>
      </c>
      <c r="P65" s="39">
        <f t="shared" si="4"/>
        <v>0</v>
      </c>
    </row>
    <row r="66" spans="11:16" x14ac:dyDescent="0.3">
      <c r="K66" s="39">
        <f t="shared" si="0"/>
        <v>0</v>
      </c>
      <c r="L66" s="39">
        <f t="shared" si="1"/>
        <v>0</v>
      </c>
      <c r="N66" s="39">
        <f t="shared" si="2"/>
        <v>0</v>
      </c>
      <c r="O66" s="39">
        <f t="shared" si="3"/>
        <v>0</v>
      </c>
      <c r="P66" s="39">
        <f t="shared" si="4"/>
        <v>0</v>
      </c>
    </row>
    <row r="67" spans="11:16" x14ac:dyDescent="0.3">
      <c r="K67" s="39">
        <f t="shared" si="0"/>
        <v>0</v>
      </c>
      <c r="L67" s="39">
        <f t="shared" si="1"/>
        <v>0</v>
      </c>
      <c r="N67" s="39">
        <f t="shared" si="2"/>
        <v>0</v>
      </c>
      <c r="O67" s="39">
        <f t="shared" si="3"/>
        <v>0</v>
      </c>
      <c r="P67" s="39">
        <f t="shared" si="4"/>
        <v>0</v>
      </c>
    </row>
    <row r="68" spans="11:16" x14ac:dyDescent="0.3">
      <c r="K68" s="39">
        <f t="shared" si="0"/>
        <v>0</v>
      </c>
      <c r="L68" s="39">
        <f t="shared" si="1"/>
        <v>0</v>
      </c>
      <c r="N68" s="39">
        <f t="shared" si="2"/>
        <v>0</v>
      </c>
      <c r="O68" s="39">
        <f t="shared" si="3"/>
        <v>0</v>
      </c>
      <c r="P68" s="39">
        <f t="shared" si="4"/>
        <v>0</v>
      </c>
    </row>
    <row r="69" spans="11:16" x14ac:dyDescent="0.3">
      <c r="K69" s="39">
        <f t="shared" si="0"/>
        <v>0</v>
      </c>
      <c r="L69" s="39">
        <f t="shared" si="1"/>
        <v>0</v>
      </c>
      <c r="N69" s="39">
        <f t="shared" si="2"/>
        <v>0</v>
      </c>
      <c r="O69" s="39">
        <f t="shared" si="3"/>
        <v>0</v>
      </c>
      <c r="P69" s="39">
        <f t="shared" si="4"/>
        <v>0</v>
      </c>
    </row>
    <row r="70" spans="11:16" x14ac:dyDescent="0.3">
      <c r="K70" s="39">
        <f t="shared" ref="K70:K96" si="5">C70-E70</f>
        <v>0</v>
      </c>
      <c r="L70" s="39">
        <f t="shared" ref="L70:L96" si="6">K70*48</f>
        <v>0</v>
      </c>
      <c r="N70" s="39">
        <f t="shared" ref="N70:N96" si="7">D70-G70</f>
        <v>0</v>
      </c>
      <c r="O70" s="39">
        <f t="shared" ref="O70:O95" si="8">ROUND(1.39*12*1.235*N70,0)</f>
        <v>0</v>
      </c>
      <c r="P70" s="39">
        <f t="shared" ref="P70:P96" si="9">ROUND(L70+M70*0.9+O70,0)</f>
        <v>0</v>
      </c>
    </row>
    <row r="71" spans="11:16" x14ac:dyDescent="0.3">
      <c r="K71" s="39">
        <f t="shared" si="5"/>
        <v>0</v>
      </c>
      <c r="L71" s="39">
        <f t="shared" si="6"/>
        <v>0</v>
      </c>
      <c r="N71" s="39">
        <f t="shared" si="7"/>
        <v>0</v>
      </c>
      <c r="O71" s="39">
        <f t="shared" si="8"/>
        <v>0</v>
      </c>
      <c r="P71" s="39">
        <f t="shared" si="9"/>
        <v>0</v>
      </c>
    </row>
    <row r="72" spans="11:16" x14ac:dyDescent="0.3">
      <c r="K72" s="39">
        <f t="shared" si="5"/>
        <v>0</v>
      </c>
      <c r="L72" s="39">
        <f t="shared" si="6"/>
        <v>0</v>
      </c>
      <c r="N72" s="39">
        <f t="shared" si="7"/>
        <v>0</v>
      </c>
      <c r="O72" s="39">
        <f t="shared" si="8"/>
        <v>0</v>
      </c>
      <c r="P72" s="39">
        <f t="shared" si="9"/>
        <v>0</v>
      </c>
    </row>
    <row r="73" spans="11:16" x14ac:dyDescent="0.3">
      <c r="K73" s="39">
        <f t="shared" si="5"/>
        <v>0</v>
      </c>
      <c r="L73" s="39">
        <f t="shared" si="6"/>
        <v>0</v>
      </c>
      <c r="N73" s="39">
        <f t="shared" si="7"/>
        <v>0</v>
      </c>
      <c r="O73" s="39">
        <f t="shared" si="8"/>
        <v>0</v>
      </c>
      <c r="P73" s="39">
        <f t="shared" si="9"/>
        <v>0</v>
      </c>
    </row>
    <row r="74" spans="11:16" x14ac:dyDescent="0.3">
      <c r="K74" s="39">
        <f t="shared" si="5"/>
        <v>0</v>
      </c>
      <c r="L74" s="39">
        <f t="shared" si="6"/>
        <v>0</v>
      </c>
      <c r="N74" s="39">
        <f t="shared" si="7"/>
        <v>0</v>
      </c>
      <c r="O74" s="39">
        <f t="shared" si="8"/>
        <v>0</v>
      </c>
      <c r="P74" s="39">
        <f t="shared" si="9"/>
        <v>0</v>
      </c>
    </row>
    <row r="75" spans="11:16" x14ac:dyDescent="0.3">
      <c r="K75" s="39">
        <f t="shared" si="5"/>
        <v>0</v>
      </c>
      <c r="L75" s="39">
        <f t="shared" si="6"/>
        <v>0</v>
      </c>
      <c r="N75" s="39">
        <f t="shared" si="7"/>
        <v>0</v>
      </c>
      <c r="O75" s="39">
        <f t="shared" si="8"/>
        <v>0</v>
      </c>
      <c r="P75" s="39">
        <f t="shared" si="9"/>
        <v>0</v>
      </c>
    </row>
    <row r="76" spans="11:16" x14ac:dyDescent="0.3">
      <c r="K76" s="39">
        <f t="shared" si="5"/>
        <v>0</v>
      </c>
      <c r="L76" s="39">
        <f t="shared" si="6"/>
        <v>0</v>
      </c>
      <c r="N76" s="39">
        <f t="shared" si="7"/>
        <v>0</v>
      </c>
      <c r="O76" s="39">
        <f t="shared" si="8"/>
        <v>0</v>
      </c>
      <c r="P76" s="39">
        <f t="shared" si="9"/>
        <v>0</v>
      </c>
    </row>
    <row r="77" spans="11:16" x14ac:dyDescent="0.3">
      <c r="K77" s="39">
        <f t="shared" si="5"/>
        <v>0</v>
      </c>
      <c r="L77" s="39">
        <f t="shared" si="6"/>
        <v>0</v>
      </c>
      <c r="N77" s="39">
        <f t="shared" si="7"/>
        <v>0</v>
      </c>
      <c r="O77" s="39">
        <f t="shared" si="8"/>
        <v>0</v>
      </c>
      <c r="P77" s="39">
        <f t="shared" si="9"/>
        <v>0</v>
      </c>
    </row>
    <row r="78" spans="11:16" x14ac:dyDescent="0.3">
      <c r="K78" s="39">
        <f t="shared" si="5"/>
        <v>0</v>
      </c>
      <c r="L78" s="39">
        <f t="shared" si="6"/>
        <v>0</v>
      </c>
      <c r="N78" s="39">
        <f t="shared" si="7"/>
        <v>0</v>
      </c>
      <c r="O78" s="39">
        <f t="shared" si="8"/>
        <v>0</v>
      </c>
      <c r="P78" s="39">
        <f t="shared" si="9"/>
        <v>0</v>
      </c>
    </row>
    <row r="79" spans="11:16" x14ac:dyDescent="0.3">
      <c r="K79" s="39">
        <f t="shared" si="5"/>
        <v>0</v>
      </c>
      <c r="L79" s="39">
        <f t="shared" si="6"/>
        <v>0</v>
      </c>
      <c r="N79" s="39">
        <f t="shared" si="7"/>
        <v>0</v>
      </c>
      <c r="O79" s="39">
        <f t="shared" si="8"/>
        <v>0</v>
      </c>
      <c r="P79" s="39">
        <f t="shared" si="9"/>
        <v>0</v>
      </c>
    </row>
    <row r="80" spans="11:16" x14ac:dyDescent="0.3">
      <c r="K80" s="39">
        <f t="shared" si="5"/>
        <v>0</v>
      </c>
      <c r="L80" s="39">
        <f t="shared" si="6"/>
        <v>0</v>
      </c>
      <c r="N80" s="39">
        <f t="shared" si="7"/>
        <v>0</v>
      </c>
      <c r="O80" s="39">
        <f t="shared" si="8"/>
        <v>0</v>
      </c>
      <c r="P80" s="39">
        <f t="shared" si="9"/>
        <v>0</v>
      </c>
    </row>
    <row r="81" spans="11:16" x14ac:dyDescent="0.3">
      <c r="K81" s="39">
        <f t="shared" si="5"/>
        <v>0</v>
      </c>
      <c r="L81" s="39">
        <f t="shared" si="6"/>
        <v>0</v>
      </c>
      <c r="N81" s="39">
        <f t="shared" si="7"/>
        <v>0</v>
      </c>
      <c r="O81" s="39">
        <f t="shared" si="8"/>
        <v>0</v>
      </c>
      <c r="P81" s="39">
        <f t="shared" si="9"/>
        <v>0</v>
      </c>
    </row>
    <row r="82" spans="11:16" x14ac:dyDescent="0.3">
      <c r="K82" s="39">
        <f t="shared" si="5"/>
        <v>0</v>
      </c>
      <c r="L82" s="39">
        <f t="shared" si="6"/>
        <v>0</v>
      </c>
      <c r="N82" s="39">
        <f t="shared" si="7"/>
        <v>0</v>
      </c>
      <c r="O82" s="39">
        <f t="shared" si="8"/>
        <v>0</v>
      </c>
      <c r="P82" s="39">
        <f t="shared" si="9"/>
        <v>0</v>
      </c>
    </row>
    <row r="83" spans="11:16" x14ac:dyDescent="0.3">
      <c r="K83" s="39">
        <f t="shared" si="5"/>
        <v>0</v>
      </c>
      <c r="L83" s="39">
        <f t="shared" si="6"/>
        <v>0</v>
      </c>
      <c r="N83" s="39">
        <f t="shared" si="7"/>
        <v>0</v>
      </c>
      <c r="O83" s="39">
        <f t="shared" si="8"/>
        <v>0</v>
      </c>
      <c r="P83" s="39">
        <f t="shared" si="9"/>
        <v>0</v>
      </c>
    </row>
    <row r="84" spans="11:16" x14ac:dyDescent="0.3">
      <c r="K84" s="39">
        <f t="shared" si="5"/>
        <v>0</v>
      </c>
      <c r="L84" s="39">
        <f t="shared" si="6"/>
        <v>0</v>
      </c>
      <c r="N84" s="39">
        <f t="shared" si="7"/>
        <v>0</v>
      </c>
      <c r="O84" s="39">
        <f t="shared" si="8"/>
        <v>0</v>
      </c>
      <c r="P84" s="39">
        <f t="shared" si="9"/>
        <v>0</v>
      </c>
    </row>
    <row r="85" spans="11:16" x14ac:dyDescent="0.3">
      <c r="K85" s="39">
        <f t="shared" si="5"/>
        <v>0</v>
      </c>
      <c r="L85" s="39">
        <f t="shared" si="6"/>
        <v>0</v>
      </c>
      <c r="N85" s="39">
        <f t="shared" si="7"/>
        <v>0</v>
      </c>
      <c r="O85" s="39">
        <f t="shared" si="8"/>
        <v>0</v>
      </c>
      <c r="P85" s="39">
        <f t="shared" si="9"/>
        <v>0</v>
      </c>
    </row>
    <row r="86" spans="11:16" x14ac:dyDescent="0.3">
      <c r="K86" s="39">
        <f t="shared" si="5"/>
        <v>0</v>
      </c>
      <c r="L86" s="39">
        <f t="shared" si="6"/>
        <v>0</v>
      </c>
      <c r="N86" s="39">
        <f t="shared" si="7"/>
        <v>0</v>
      </c>
      <c r="O86" s="39">
        <f t="shared" si="8"/>
        <v>0</v>
      </c>
      <c r="P86" s="39">
        <f t="shared" si="9"/>
        <v>0</v>
      </c>
    </row>
    <row r="87" spans="11:16" x14ac:dyDescent="0.3">
      <c r="K87" s="39">
        <f t="shared" si="5"/>
        <v>0</v>
      </c>
      <c r="L87" s="39">
        <f t="shared" si="6"/>
        <v>0</v>
      </c>
      <c r="N87" s="39">
        <f t="shared" si="7"/>
        <v>0</v>
      </c>
      <c r="O87" s="39">
        <f t="shared" si="8"/>
        <v>0</v>
      </c>
      <c r="P87" s="39">
        <f t="shared" si="9"/>
        <v>0</v>
      </c>
    </row>
    <row r="88" spans="11:16" x14ac:dyDescent="0.3">
      <c r="K88" s="39">
        <f t="shared" si="5"/>
        <v>0</v>
      </c>
      <c r="L88" s="39">
        <f t="shared" si="6"/>
        <v>0</v>
      </c>
      <c r="N88" s="39">
        <f t="shared" si="7"/>
        <v>0</v>
      </c>
      <c r="O88" s="39">
        <f t="shared" si="8"/>
        <v>0</v>
      </c>
      <c r="P88" s="39">
        <f t="shared" si="9"/>
        <v>0</v>
      </c>
    </row>
    <row r="89" spans="11:16" x14ac:dyDescent="0.3">
      <c r="K89" s="39">
        <f t="shared" si="5"/>
        <v>0</v>
      </c>
      <c r="L89" s="39">
        <f t="shared" si="6"/>
        <v>0</v>
      </c>
      <c r="N89" s="39">
        <f t="shared" si="7"/>
        <v>0</v>
      </c>
      <c r="O89" s="39">
        <f t="shared" si="8"/>
        <v>0</v>
      </c>
      <c r="P89" s="39">
        <f t="shared" si="9"/>
        <v>0</v>
      </c>
    </row>
    <row r="90" spans="11:16" x14ac:dyDescent="0.3">
      <c r="K90" s="39">
        <f t="shared" si="5"/>
        <v>0</v>
      </c>
      <c r="L90" s="39">
        <f t="shared" si="6"/>
        <v>0</v>
      </c>
      <c r="N90" s="39">
        <f t="shared" si="7"/>
        <v>0</v>
      </c>
      <c r="O90" s="39">
        <f t="shared" si="8"/>
        <v>0</v>
      </c>
      <c r="P90" s="39">
        <f t="shared" si="9"/>
        <v>0</v>
      </c>
    </row>
    <row r="91" spans="11:16" x14ac:dyDescent="0.3">
      <c r="K91" s="39">
        <f t="shared" si="5"/>
        <v>0</v>
      </c>
      <c r="L91" s="39">
        <f t="shared" si="6"/>
        <v>0</v>
      </c>
      <c r="N91" s="39">
        <f t="shared" si="7"/>
        <v>0</v>
      </c>
      <c r="O91" s="39">
        <f t="shared" si="8"/>
        <v>0</v>
      </c>
      <c r="P91" s="39">
        <f t="shared" si="9"/>
        <v>0</v>
      </c>
    </row>
    <row r="92" spans="11:16" x14ac:dyDescent="0.3">
      <c r="K92" s="39">
        <f t="shared" si="5"/>
        <v>0</v>
      </c>
      <c r="L92" s="39">
        <f t="shared" si="6"/>
        <v>0</v>
      </c>
      <c r="N92" s="39">
        <f t="shared" si="7"/>
        <v>0</v>
      </c>
      <c r="O92" s="39">
        <f t="shared" si="8"/>
        <v>0</v>
      </c>
      <c r="P92" s="39">
        <f t="shared" si="9"/>
        <v>0</v>
      </c>
    </row>
    <row r="93" spans="11:16" x14ac:dyDescent="0.3">
      <c r="K93" s="39">
        <f t="shared" si="5"/>
        <v>0</v>
      </c>
      <c r="L93" s="39">
        <f t="shared" si="6"/>
        <v>0</v>
      </c>
      <c r="N93" s="39">
        <f t="shared" si="7"/>
        <v>0</v>
      </c>
      <c r="O93" s="39">
        <f t="shared" si="8"/>
        <v>0</v>
      </c>
      <c r="P93" s="39">
        <f t="shared" si="9"/>
        <v>0</v>
      </c>
    </row>
    <row r="94" spans="11:16" x14ac:dyDescent="0.3">
      <c r="K94" s="39">
        <f t="shared" si="5"/>
        <v>0</v>
      </c>
      <c r="L94" s="39">
        <f t="shared" si="6"/>
        <v>0</v>
      </c>
      <c r="N94" s="39">
        <f t="shared" si="7"/>
        <v>0</v>
      </c>
      <c r="O94" s="39">
        <f t="shared" si="8"/>
        <v>0</v>
      </c>
      <c r="P94" s="39">
        <f t="shared" si="9"/>
        <v>0</v>
      </c>
    </row>
    <row r="95" spans="11:16" x14ac:dyDescent="0.3">
      <c r="K95" s="39">
        <f t="shared" si="5"/>
        <v>0</v>
      </c>
      <c r="L95" s="39">
        <f t="shared" si="6"/>
        <v>0</v>
      </c>
      <c r="N95" s="39">
        <f t="shared" si="7"/>
        <v>0</v>
      </c>
      <c r="O95" s="39">
        <f t="shared" si="8"/>
        <v>0</v>
      </c>
      <c r="P95" s="39">
        <f t="shared" si="9"/>
        <v>0</v>
      </c>
    </row>
    <row r="96" spans="11:16" x14ac:dyDescent="0.3">
      <c r="K96" s="39">
        <f t="shared" si="5"/>
        <v>0</v>
      </c>
      <c r="L96" s="39">
        <f t="shared" si="6"/>
        <v>0</v>
      </c>
      <c r="N96" s="39">
        <f t="shared" si="7"/>
        <v>0</v>
      </c>
      <c r="O96" s="39">
        <f>ROUND(1.39*12*1.235*N96,0)</f>
        <v>0</v>
      </c>
      <c r="P96" s="39">
        <f t="shared" si="9"/>
        <v>0</v>
      </c>
    </row>
  </sheetData>
  <mergeCells count="6">
    <mergeCell ref="A1:P1"/>
    <mergeCell ref="K3:P3"/>
    <mergeCell ref="A3:A4"/>
    <mergeCell ref="B3:B4"/>
    <mergeCell ref="E3:H3"/>
    <mergeCell ref="C3:D3"/>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69"/>
  <sheetViews>
    <sheetView topLeftCell="A62" zoomScaleNormal="100" workbookViewId="0">
      <selection activeCell="B63" sqref="B63"/>
    </sheetView>
  </sheetViews>
  <sheetFormatPr defaultColWidth="9.140625" defaultRowHeight="18.75" x14ac:dyDescent="0.25"/>
  <cols>
    <col min="1" max="1" width="4.85546875" style="7" customWidth="1"/>
    <col min="2" max="2" width="50.7109375" style="7" customWidth="1"/>
    <col min="3" max="4" width="7.85546875" style="7" customWidth="1"/>
    <col min="5" max="8" width="11.7109375" style="7" customWidth="1"/>
    <col min="9" max="16384" width="9.140625" style="7"/>
  </cols>
  <sheetData>
    <row r="1" spans="1:8" ht="41.25" customHeight="1" x14ac:dyDescent="0.25">
      <c r="A1" s="549" t="s">
        <v>1074</v>
      </c>
      <c r="B1" s="555"/>
      <c r="C1" s="555"/>
      <c r="D1" s="555"/>
      <c r="E1" s="555"/>
      <c r="F1" s="555"/>
      <c r="G1" s="555"/>
      <c r="H1" s="555"/>
    </row>
    <row r="2" spans="1:8" x14ac:dyDescent="0.25">
      <c r="A2" s="6"/>
      <c r="B2" s="6"/>
      <c r="C2" s="6"/>
      <c r="D2" s="1"/>
      <c r="E2" s="1"/>
      <c r="F2" s="1"/>
      <c r="G2" s="1"/>
      <c r="H2" s="1"/>
    </row>
    <row r="3" spans="1:8" ht="40.5" customHeight="1" x14ac:dyDescent="0.25">
      <c r="B3" s="565" t="s">
        <v>1125</v>
      </c>
      <c r="C3" s="565"/>
      <c r="D3" s="565"/>
      <c r="E3" s="565"/>
      <c r="F3" s="565"/>
      <c r="G3" s="565"/>
      <c r="H3" s="565"/>
    </row>
    <row r="4" spans="1:8" x14ac:dyDescent="0.25">
      <c r="B4" s="7" t="s">
        <v>39</v>
      </c>
      <c r="D4" s="8"/>
      <c r="E4" s="8"/>
      <c r="F4" s="8"/>
      <c r="G4" s="8"/>
      <c r="H4" s="8"/>
    </row>
    <row r="5" spans="1:8" s="6" customFormat="1" x14ac:dyDescent="0.25">
      <c r="B5" s="3" t="s">
        <v>18</v>
      </c>
      <c r="F5" s="146"/>
    </row>
    <row r="6" spans="1:8" x14ac:dyDescent="0.25">
      <c r="B6" s="2" t="s">
        <v>23</v>
      </c>
      <c r="C6" s="558" t="s">
        <v>49</v>
      </c>
      <c r="D6" s="558"/>
      <c r="E6" s="558"/>
      <c r="F6" s="558"/>
      <c r="G6" s="558"/>
      <c r="H6" s="558"/>
    </row>
    <row r="7" spans="1:8" x14ac:dyDescent="0.25">
      <c r="A7" s="2"/>
      <c r="B7" s="2" t="s">
        <v>19</v>
      </c>
      <c r="C7" s="558" t="s">
        <v>50</v>
      </c>
      <c r="D7" s="558"/>
      <c r="E7" s="558"/>
      <c r="F7" s="558"/>
      <c r="G7" s="558"/>
      <c r="H7" s="558"/>
    </row>
    <row r="8" spans="1:8" hidden="1" x14ac:dyDescent="0.25">
      <c r="A8" s="2"/>
      <c r="B8" s="2" t="s">
        <v>90</v>
      </c>
      <c r="C8" s="558" t="s">
        <v>60</v>
      </c>
      <c r="D8" s="558"/>
      <c r="E8" s="558"/>
      <c r="F8" s="558"/>
      <c r="G8" s="558"/>
      <c r="H8" s="558"/>
    </row>
    <row r="9" spans="1:8" x14ac:dyDescent="0.25">
      <c r="A9" s="2"/>
      <c r="B9" s="2" t="s">
        <v>59</v>
      </c>
      <c r="C9" s="558" t="s">
        <v>60</v>
      </c>
      <c r="D9" s="558"/>
      <c r="E9" s="558"/>
      <c r="F9" s="558"/>
      <c r="G9" s="558"/>
      <c r="H9" s="558"/>
    </row>
    <row r="10" spans="1:8" hidden="1" x14ac:dyDescent="0.25">
      <c r="A10" s="2"/>
      <c r="B10" s="2" t="s">
        <v>20</v>
      </c>
      <c r="C10" s="558" t="s">
        <v>86</v>
      </c>
      <c r="D10" s="558"/>
      <c r="E10" s="558"/>
      <c r="F10" s="558"/>
      <c r="G10" s="558"/>
      <c r="H10" s="558"/>
    </row>
    <row r="11" spans="1:8" hidden="1" x14ac:dyDescent="0.25">
      <c r="A11" s="2"/>
      <c r="B11" s="2" t="s">
        <v>21</v>
      </c>
      <c r="C11" s="29" t="s">
        <v>87</v>
      </c>
      <c r="D11" s="29"/>
      <c r="E11" s="29"/>
      <c r="F11" s="333"/>
      <c r="G11" s="29"/>
      <c r="H11" s="29"/>
    </row>
    <row r="12" spans="1:8" s="49" customFormat="1" x14ac:dyDescent="0.25">
      <c r="B12" s="49" t="s">
        <v>94</v>
      </c>
      <c r="C12" s="156" t="s">
        <v>95</v>
      </c>
      <c r="D12" s="156"/>
      <c r="E12" s="156"/>
      <c r="F12" s="334"/>
      <c r="G12" s="156"/>
      <c r="H12" s="156"/>
    </row>
    <row r="13" spans="1:8" x14ac:dyDescent="0.25">
      <c r="A13" s="2"/>
      <c r="B13" s="2"/>
      <c r="C13" s="29"/>
      <c r="D13" s="29"/>
      <c r="E13" s="29"/>
      <c r="F13" s="333"/>
      <c r="G13" s="29"/>
      <c r="H13" s="29"/>
    </row>
    <row r="14" spans="1:8" hidden="1" x14ac:dyDescent="0.25">
      <c r="A14" s="2"/>
      <c r="B14" s="2" t="s">
        <v>21</v>
      </c>
      <c r="C14" s="558"/>
      <c r="D14" s="558"/>
      <c r="E14" s="558"/>
      <c r="F14" s="558"/>
      <c r="G14" s="558"/>
      <c r="H14" s="558"/>
    </row>
    <row r="15" spans="1:8" s="6" customFormat="1" x14ac:dyDescent="0.25">
      <c r="A15" s="3"/>
      <c r="B15" s="3" t="s">
        <v>101</v>
      </c>
      <c r="C15" s="3"/>
      <c r="D15" s="3"/>
      <c r="E15" s="3"/>
      <c r="F15" s="3"/>
      <c r="G15" s="3"/>
      <c r="H15" s="3"/>
    </row>
    <row r="16" spans="1:8" x14ac:dyDescent="0.25">
      <c r="A16" s="2"/>
      <c r="B16" s="2" t="s">
        <v>1124</v>
      </c>
      <c r="C16" s="558" t="s">
        <v>377</v>
      </c>
      <c r="D16" s="558"/>
      <c r="E16" s="558"/>
      <c r="F16" s="558"/>
      <c r="G16" s="558"/>
      <c r="H16" s="558"/>
    </row>
    <row r="17" spans="1:8" x14ac:dyDescent="0.25">
      <c r="A17" s="2"/>
      <c r="B17" s="2" t="s">
        <v>85</v>
      </c>
      <c r="C17" s="566" t="s">
        <v>1142</v>
      </c>
      <c r="D17" s="566"/>
      <c r="E17" s="566"/>
      <c r="F17" s="566"/>
      <c r="G17" s="566"/>
      <c r="H17" s="566"/>
    </row>
    <row r="18" spans="1:8" hidden="1" x14ac:dyDescent="0.25">
      <c r="A18" s="2"/>
      <c r="B18" s="2" t="s">
        <v>20</v>
      </c>
      <c r="C18" s="558" t="s">
        <v>92</v>
      </c>
      <c r="D18" s="558"/>
      <c r="E18" s="558"/>
      <c r="F18" s="558"/>
      <c r="G18" s="558"/>
      <c r="H18" s="558"/>
    </row>
    <row r="19" spans="1:8" hidden="1" x14ac:dyDescent="0.25">
      <c r="A19" s="2"/>
      <c r="B19" s="2" t="s">
        <v>21</v>
      </c>
      <c r="C19" s="558"/>
      <c r="D19" s="558"/>
      <c r="E19" s="558"/>
      <c r="F19" s="558"/>
      <c r="G19" s="558"/>
      <c r="H19" s="558"/>
    </row>
    <row r="20" spans="1:8" hidden="1" x14ac:dyDescent="0.25">
      <c r="A20" s="2"/>
      <c r="B20" s="2" t="s">
        <v>21</v>
      </c>
      <c r="C20" s="558"/>
      <c r="D20" s="558"/>
      <c r="E20" s="558"/>
      <c r="F20" s="558"/>
      <c r="G20" s="558"/>
      <c r="H20" s="558"/>
    </row>
    <row r="21" spans="1:8" hidden="1" x14ac:dyDescent="0.25">
      <c r="A21" s="2"/>
      <c r="B21" s="2" t="s">
        <v>21</v>
      </c>
      <c r="C21" s="558"/>
      <c r="D21" s="558"/>
      <c r="E21" s="558"/>
      <c r="F21" s="558"/>
      <c r="G21" s="558"/>
      <c r="H21" s="558"/>
    </row>
    <row r="22" spans="1:8" ht="39.75" customHeight="1" x14ac:dyDescent="0.25">
      <c r="A22" s="2"/>
      <c r="B22" s="556" t="s">
        <v>1073</v>
      </c>
      <c r="C22" s="556"/>
      <c r="D22" s="556"/>
      <c r="E22" s="556"/>
      <c r="F22" s="556"/>
      <c r="G22" s="556"/>
      <c r="H22" s="556"/>
    </row>
    <row r="23" spans="1:8" x14ac:dyDescent="0.25">
      <c r="A23" s="4"/>
      <c r="H23" s="4" t="s">
        <v>61</v>
      </c>
    </row>
    <row r="24" spans="1:8" s="311" customFormat="1" ht="75" x14ac:dyDescent="0.25">
      <c r="A24" s="313" t="s">
        <v>62</v>
      </c>
      <c r="B24" s="313" t="s">
        <v>2</v>
      </c>
      <c r="C24" s="312" t="s">
        <v>17</v>
      </c>
      <c r="D24" s="315" t="s">
        <v>464</v>
      </c>
      <c r="E24" s="332" t="s">
        <v>1099</v>
      </c>
      <c r="F24" s="332" t="s">
        <v>9</v>
      </c>
      <c r="G24" s="313" t="s">
        <v>461</v>
      </c>
      <c r="H24" s="313" t="s">
        <v>1046</v>
      </c>
    </row>
    <row r="25" spans="1:8" s="6" customFormat="1" x14ac:dyDescent="0.25">
      <c r="A25" s="28"/>
      <c r="B25" s="28" t="s">
        <v>365</v>
      </c>
      <c r="C25" s="32"/>
      <c r="D25" s="32"/>
      <c r="E25" s="32">
        <f>+E26+E48</f>
        <v>21751</v>
      </c>
      <c r="F25" s="32">
        <f>+F26+F48</f>
        <v>20950</v>
      </c>
      <c r="G25" s="32">
        <f>+G26+G48</f>
        <v>21069.100000000002</v>
      </c>
      <c r="H25" s="32">
        <f>+H26+H48</f>
        <v>21346.2</v>
      </c>
    </row>
    <row r="26" spans="1:8" s="6" customFormat="1" ht="21" customHeight="1" x14ac:dyDescent="0.25">
      <c r="A26" s="9" t="s">
        <v>6</v>
      </c>
      <c r="B26" s="10" t="s">
        <v>1129</v>
      </c>
      <c r="C26" s="20"/>
      <c r="D26" s="20"/>
      <c r="E26" s="20">
        <f>E27+E35</f>
        <v>19369</v>
      </c>
      <c r="F26" s="20">
        <f t="shared" ref="F26:H26" si="0">F27+F35</f>
        <v>19000</v>
      </c>
      <c r="G26" s="20">
        <f t="shared" si="0"/>
        <v>19255.2</v>
      </c>
      <c r="H26" s="20">
        <f t="shared" si="0"/>
        <v>19510.400000000001</v>
      </c>
    </row>
    <row r="27" spans="1:8" s="6" customFormat="1" x14ac:dyDescent="0.25">
      <c r="A27" s="13" t="s">
        <v>51</v>
      </c>
      <c r="B27" s="14" t="s">
        <v>1078</v>
      </c>
      <c r="C27" s="22"/>
      <c r="D27" s="22"/>
      <c r="E27" s="22">
        <f>+E28+E33-E34</f>
        <v>9369</v>
      </c>
      <c r="F27" s="22">
        <f>+F28+F33-F34</f>
        <v>10000</v>
      </c>
      <c r="G27" s="22">
        <f>+G28+G33-G34</f>
        <v>10255.200000000001</v>
      </c>
      <c r="H27" s="22">
        <f>+H28+H33-H34</f>
        <v>10510.400000000001</v>
      </c>
    </row>
    <row r="28" spans="1:8" ht="56.25" x14ac:dyDescent="0.25">
      <c r="A28" s="11">
        <v>1</v>
      </c>
      <c r="B28" s="12" t="s">
        <v>1128</v>
      </c>
      <c r="C28" s="21"/>
      <c r="D28" s="21"/>
      <c r="E28" s="21">
        <v>7929</v>
      </c>
      <c r="F28" s="21">
        <f>SUM(F29:F32)</f>
        <v>8560</v>
      </c>
      <c r="G28" s="21">
        <f>SUM(G29:G32)</f>
        <v>8815.2000000000007</v>
      </c>
      <c r="H28" s="21">
        <f>SUM(H29:H32)</f>
        <v>9070.4000000000015</v>
      </c>
    </row>
    <row r="29" spans="1:8" x14ac:dyDescent="0.25">
      <c r="A29" s="11"/>
      <c r="B29" s="12" t="s">
        <v>1097</v>
      </c>
      <c r="C29" s="21">
        <v>64</v>
      </c>
      <c r="D29" s="21">
        <v>54</v>
      </c>
      <c r="E29" s="21"/>
      <c r="F29" s="21">
        <v>6649</v>
      </c>
      <c r="G29" s="21">
        <f>F29+8.8*21</f>
        <v>6833.8</v>
      </c>
      <c r="H29" s="21">
        <f>G29+8.8*21</f>
        <v>7018.6</v>
      </c>
    </row>
    <row r="30" spans="1:8" x14ac:dyDescent="0.25">
      <c r="A30" s="11"/>
      <c r="B30" s="12" t="s">
        <v>1098</v>
      </c>
      <c r="C30" s="21"/>
      <c r="D30" s="21"/>
      <c r="E30" s="21"/>
      <c r="F30" s="21">
        <f>ROUND(2.34*1.49*12*1.235*10,0)</f>
        <v>517</v>
      </c>
      <c r="G30" s="21">
        <f>+F30</f>
        <v>517</v>
      </c>
      <c r="H30" s="21">
        <f>+G30</f>
        <v>517</v>
      </c>
    </row>
    <row r="31" spans="1:8" ht="37.5" x14ac:dyDescent="0.25">
      <c r="A31" s="11"/>
      <c r="B31" s="12" t="s">
        <v>1126</v>
      </c>
      <c r="C31" s="21">
        <v>26</v>
      </c>
      <c r="D31" s="21">
        <v>21</v>
      </c>
      <c r="E31" s="21"/>
      <c r="F31" s="21">
        <v>1228</v>
      </c>
      <c r="G31" s="21">
        <f>F31+8.8*8</f>
        <v>1298.4000000000001</v>
      </c>
      <c r="H31" s="21">
        <f>G31+8.8*8</f>
        <v>1368.8000000000002</v>
      </c>
    </row>
    <row r="32" spans="1:8" ht="37.5" x14ac:dyDescent="0.25">
      <c r="A32" s="11"/>
      <c r="B32" s="12" t="s">
        <v>1127</v>
      </c>
      <c r="C32" s="21"/>
      <c r="D32" s="21"/>
      <c r="E32" s="21"/>
      <c r="F32" s="21">
        <v>166</v>
      </c>
      <c r="G32" s="21">
        <f>+F32</f>
        <v>166</v>
      </c>
      <c r="H32" s="21">
        <f>+G32</f>
        <v>166</v>
      </c>
    </row>
    <row r="33" spans="1:9" ht="37.5" x14ac:dyDescent="0.25">
      <c r="A33" s="11">
        <v>2</v>
      </c>
      <c r="B33" s="12" t="s">
        <v>84</v>
      </c>
      <c r="C33" s="21">
        <v>64</v>
      </c>
      <c r="D33" s="21"/>
      <c r="E33" s="21">
        <f>+C33*25</f>
        <v>1600</v>
      </c>
      <c r="F33" s="21">
        <f>+C33*25</f>
        <v>1600</v>
      </c>
      <c r="G33" s="21">
        <f>+E33</f>
        <v>1600</v>
      </c>
      <c r="H33" s="21">
        <f>+G33</f>
        <v>1600</v>
      </c>
      <c r="I33" s="324"/>
    </row>
    <row r="34" spans="1:9" ht="37.5" x14ac:dyDescent="0.25">
      <c r="A34" s="11">
        <v>3</v>
      </c>
      <c r="B34" s="12" t="s">
        <v>465</v>
      </c>
      <c r="C34" s="21"/>
      <c r="D34" s="21"/>
      <c r="E34" s="21">
        <v>160</v>
      </c>
      <c r="F34" s="21">
        <v>160</v>
      </c>
      <c r="G34" s="21">
        <f>+E34</f>
        <v>160</v>
      </c>
      <c r="H34" s="21">
        <f>+G34</f>
        <v>160</v>
      </c>
    </row>
    <row r="35" spans="1:9" s="6" customFormat="1" x14ac:dyDescent="0.25">
      <c r="A35" s="13" t="s">
        <v>52</v>
      </c>
      <c r="B35" s="14" t="s">
        <v>11</v>
      </c>
      <c r="C35" s="22"/>
      <c r="D35" s="22"/>
      <c r="E35" s="22">
        <v>10000</v>
      </c>
      <c r="F35" s="22">
        <f>SUM(F36:F47)</f>
        <v>9000</v>
      </c>
      <c r="G35" s="22">
        <f>F35</f>
        <v>9000</v>
      </c>
      <c r="H35" s="22">
        <f>G35</f>
        <v>9000</v>
      </c>
    </row>
    <row r="36" spans="1:9" x14ac:dyDescent="0.25">
      <c r="A36" s="11" t="s">
        <v>99</v>
      </c>
      <c r="B36" s="12" t="s">
        <v>1132</v>
      </c>
      <c r="C36" s="21"/>
      <c r="D36" s="21"/>
      <c r="E36" s="21"/>
      <c r="F36" s="21">
        <v>50</v>
      </c>
      <c r="G36" s="21"/>
      <c r="H36" s="21"/>
    </row>
    <row r="37" spans="1:9" ht="56.25" x14ac:dyDescent="0.25">
      <c r="A37" s="11" t="s">
        <v>99</v>
      </c>
      <c r="B37" s="12" t="s">
        <v>1130</v>
      </c>
      <c r="C37" s="21"/>
      <c r="D37" s="21"/>
      <c r="E37" s="21"/>
      <c r="F37" s="21">
        <v>220</v>
      </c>
      <c r="G37" s="21"/>
      <c r="H37" s="21"/>
    </row>
    <row r="38" spans="1:9" ht="56.25" x14ac:dyDescent="0.25">
      <c r="A38" s="11" t="s">
        <v>99</v>
      </c>
      <c r="B38" s="12" t="s">
        <v>1134</v>
      </c>
      <c r="C38" s="21"/>
      <c r="D38" s="21"/>
      <c r="E38" s="21"/>
      <c r="F38" s="21">
        <f>-150+1900</f>
        <v>1750</v>
      </c>
      <c r="G38" s="21"/>
      <c r="H38" s="21"/>
    </row>
    <row r="39" spans="1:9" x14ac:dyDescent="0.25">
      <c r="A39" s="11" t="s">
        <v>99</v>
      </c>
      <c r="B39" s="12" t="s">
        <v>1140</v>
      </c>
      <c r="C39" s="21"/>
      <c r="D39" s="21"/>
      <c r="E39" s="21"/>
      <c r="F39" s="21">
        <v>150</v>
      </c>
      <c r="G39" s="21"/>
      <c r="H39" s="21"/>
    </row>
    <row r="40" spans="1:9" x14ac:dyDescent="0.25">
      <c r="A40" s="11" t="s">
        <v>99</v>
      </c>
      <c r="B40" s="12" t="s">
        <v>1133</v>
      </c>
      <c r="C40" s="21"/>
      <c r="D40" s="21"/>
      <c r="E40" s="21"/>
      <c r="F40" s="21">
        <v>450</v>
      </c>
      <c r="G40" s="21"/>
      <c r="H40" s="21"/>
    </row>
    <row r="41" spans="1:9" ht="56.25" x14ac:dyDescent="0.25">
      <c r="A41" s="11" t="s">
        <v>99</v>
      </c>
      <c r="B41" s="438" t="s">
        <v>1138</v>
      </c>
      <c r="C41" s="21"/>
      <c r="D41" s="21"/>
      <c r="E41" s="21"/>
      <c r="F41" s="21">
        <v>1150</v>
      </c>
      <c r="G41" s="21"/>
      <c r="H41" s="21"/>
    </row>
    <row r="42" spans="1:9" x14ac:dyDescent="0.25">
      <c r="A42" s="11" t="s">
        <v>99</v>
      </c>
      <c r="B42" s="438" t="s">
        <v>1136</v>
      </c>
      <c r="C42" s="21"/>
      <c r="D42" s="21"/>
      <c r="E42" s="21"/>
      <c r="F42" s="21">
        <f>45+3830</f>
        <v>3875</v>
      </c>
      <c r="G42" s="21"/>
      <c r="H42" s="21"/>
    </row>
    <row r="43" spans="1:9" x14ac:dyDescent="0.25">
      <c r="A43" s="11" t="s">
        <v>99</v>
      </c>
      <c r="B43" s="438" t="s">
        <v>1137</v>
      </c>
      <c r="C43" s="21"/>
      <c r="D43" s="21"/>
      <c r="E43" s="21"/>
      <c r="F43" s="121">
        <v>200</v>
      </c>
      <c r="G43" s="21"/>
      <c r="H43" s="21"/>
    </row>
    <row r="44" spans="1:9" ht="75" x14ac:dyDescent="0.25">
      <c r="A44" s="11" t="s">
        <v>99</v>
      </c>
      <c r="B44" s="438" t="s">
        <v>1144</v>
      </c>
      <c r="C44" s="21"/>
      <c r="D44" s="21"/>
      <c r="E44" s="21"/>
      <c r="F44" s="21">
        <v>350</v>
      </c>
      <c r="G44" s="21"/>
      <c r="H44" s="21"/>
    </row>
    <row r="45" spans="1:9" ht="56.25" x14ac:dyDescent="0.25">
      <c r="A45" s="11" t="s">
        <v>99</v>
      </c>
      <c r="B45" s="438" t="s">
        <v>1131</v>
      </c>
      <c r="C45" s="21"/>
      <c r="D45" s="21"/>
      <c r="E45" s="21"/>
      <c r="F45" s="21">
        <v>240</v>
      </c>
      <c r="G45" s="21"/>
      <c r="H45" s="21"/>
    </row>
    <row r="46" spans="1:9" ht="37.5" x14ac:dyDescent="0.25">
      <c r="A46" s="11" t="s">
        <v>99</v>
      </c>
      <c r="B46" s="438" t="s">
        <v>1135</v>
      </c>
      <c r="C46" s="21"/>
      <c r="D46" s="21"/>
      <c r="E46" s="21"/>
      <c r="F46" s="21">
        <v>520</v>
      </c>
      <c r="G46" s="21"/>
      <c r="H46" s="21"/>
    </row>
    <row r="47" spans="1:9" ht="37.5" x14ac:dyDescent="0.25">
      <c r="A47" s="11" t="s">
        <v>99</v>
      </c>
      <c r="B47" s="438" t="s">
        <v>1139</v>
      </c>
      <c r="C47" s="21"/>
      <c r="D47" s="21"/>
      <c r="E47" s="21"/>
      <c r="F47" s="121">
        <v>45</v>
      </c>
      <c r="G47" s="21"/>
      <c r="H47" s="21"/>
    </row>
    <row r="48" spans="1:9" s="6" customFormat="1" ht="37.5" x14ac:dyDescent="0.25">
      <c r="A48" s="13" t="s">
        <v>7</v>
      </c>
      <c r="B48" s="14" t="s">
        <v>1141</v>
      </c>
      <c r="C48" s="22"/>
      <c r="D48" s="22"/>
      <c r="E48" s="22">
        <f>E49+E58</f>
        <v>2382</v>
      </c>
      <c r="F48" s="22">
        <f>F49+F58</f>
        <v>1950</v>
      </c>
      <c r="G48" s="22">
        <f>G49+G58</f>
        <v>1813.9</v>
      </c>
      <c r="H48" s="22">
        <f>H49+H58</f>
        <v>1835.8</v>
      </c>
    </row>
    <row r="49" spans="1:8" s="146" customFormat="1" x14ac:dyDescent="0.25">
      <c r="A49" s="13" t="s">
        <v>51</v>
      </c>
      <c r="B49" s="14" t="s">
        <v>1106</v>
      </c>
      <c r="C49" s="22"/>
      <c r="D49" s="22"/>
      <c r="E49" s="22">
        <f>E52+E53-E54-E57</f>
        <v>858</v>
      </c>
      <c r="F49" s="22">
        <f>F52+F53-F54-F57</f>
        <v>912</v>
      </c>
      <c r="G49" s="22">
        <f>G52+G53-G54-G57</f>
        <v>933.9</v>
      </c>
      <c r="H49" s="22">
        <f>H52+H53-H54-H57</f>
        <v>955.8</v>
      </c>
    </row>
    <row r="50" spans="1:8" x14ac:dyDescent="0.25">
      <c r="A50" s="11"/>
      <c r="B50" s="12" t="s">
        <v>470</v>
      </c>
      <c r="C50" s="21"/>
      <c r="D50" s="21"/>
      <c r="E50" s="21">
        <v>150</v>
      </c>
      <c r="F50" s="21">
        <v>150</v>
      </c>
      <c r="G50" s="21">
        <f>E50</f>
        <v>150</v>
      </c>
      <c r="H50" s="21">
        <f>G50</f>
        <v>150</v>
      </c>
    </row>
    <row r="51" spans="1:8" x14ac:dyDescent="0.25">
      <c r="A51" s="11"/>
      <c r="B51" s="12" t="s">
        <v>473</v>
      </c>
      <c r="C51" s="21"/>
      <c r="D51" s="21"/>
      <c r="E51" s="21">
        <f>ROUND(109*0.65,0)</f>
        <v>71</v>
      </c>
      <c r="F51" s="21">
        <f>ROUND(109*0.65,0)</f>
        <v>71</v>
      </c>
      <c r="G51" s="21">
        <f>E51</f>
        <v>71</v>
      </c>
      <c r="H51" s="21">
        <f>G51</f>
        <v>71</v>
      </c>
    </row>
    <row r="52" spans="1:8" ht="37.5" x14ac:dyDescent="0.25">
      <c r="A52" s="11">
        <v>1</v>
      </c>
      <c r="B52" s="12" t="s">
        <v>1077</v>
      </c>
      <c r="C52" s="21">
        <v>12</v>
      </c>
      <c r="D52" s="21">
        <v>12</v>
      </c>
      <c r="E52" s="21">
        <v>719</v>
      </c>
      <c r="F52" s="21">
        <v>773</v>
      </c>
      <c r="G52" s="21">
        <f>F52+7.3*3</f>
        <v>794.9</v>
      </c>
      <c r="H52" s="21">
        <f>G52+7.3*3</f>
        <v>816.8</v>
      </c>
    </row>
    <row r="53" spans="1:8" x14ac:dyDescent="0.25">
      <c r="A53" s="11">
        <v>2</v>
      </c>
      <c r="B53" s="12" t="s">
        <v>469</v>
      </c>
      <c r="C53" s="21">
        <v>12</v>
      </c>
      <c r="D53" s="21"/>
      <c r="E53" s="21">
        <f>+C53*19</f>
        <v>228</v>
      </c>
      <c r="F53" s="21">
        <f>+C53*19</f>
        <v>228</v>
      </c>
      <c r="G53" s="21">
        <f>+E53</f>
        <v>228</v>
      </c>
      <c r="H53" s="21">
        <f>+G53</f>
        <v>228</v>
      </c>
    </row>
    <row r="54" spans="1:8" x14ac:dyDescent="0.25">
      <c r="A54" s="11">
        <v>3</v>
      </c>
      <c r="B54" s="12" t="s">
        <v>1037</v>
      </c>
      <c r="C54" s="21"/>
      <c r="D54" s="21"/>
      <c r="E54" s="21">
        <f>+E55+E56</f>
        <v>46</v>
      </c>
      <c r="F54" s="21">
        <f>+F55+F56</f>
        <v>46</v>
      </c>
      <c r="G54" s="21">
        <f>+G55+G56</f>
        <v>46</v>
      </c>
      <c r="H54" s="21">
        <f>+H55+H56</f>
        <v>46</v>
      </c>
    </row>
    <row r="55" spans="1:8" x14ac:dyDescent="0.25">
      <c r="A55" s="11"/>
      <c r="B55" s="12" t="s">
        <v>969</v>
      </c>
      <c r="C55" s="21"/>
      <c r="D55" s="21"/>
      <c r="E55" s="21">
        <v>18</v>
      </c>
      <c r="F55" s="21">
        <v>18</v>
      </c>
      <c r="G55" s="21">
        <v>18</v>
      </c>
      <c r="H55" s="21">
        <v>18</v>
      </c>
    </row>
    <row r="56" spans="1:8" x14ac:dyDescent="0.25">
      <c r="A56" s="11"/>
      <c r="B56" s="12" t="s">
        <v>968</v>
      </c>
      <c r="C56" s="21"/>
      <c r="D56" s="21"/>
      <c r="E56" s="21">
        <v>28</v>
      </c>
      <c r="F56" s="21">
        <v>28</v>
      </c>
      <c r="G56" s="21">
        <f>+E56</f>
        <v>28</v>
      </c>
      <c r="H56" s="21">
        <f>+G56</f>
        <v>28</v>
      </c>
    </row>
    <row r="57" spans="1:8" x14ac:dyDescent="0.25">
      <c r="A57" s="11">
        <v>4</v>
      </c>
      <c r="B57" s="12" t="s">
        <v>1143</v>
      </c>
      <c r="C57" s="21"/>
      <c r="D57" s="21"/>
      <c r="E57" s="21">
        <v>43</v>
      </c>
      <c r="F57" s="21">
        <f>E57</f>
        <v>43</v>
      </c>
      <c r="G57" s="21">
        <f>E57</f>
        <v>43</v>
      </c>
      <c r="H57" s="21">
        <f>G57</f>
        <v>43</v>
      </c>
    </row>
    <row r="58" spans="1:8" s="146" customFormat="1" x14ac:dyDescent="0.25">
      <c r="A58" s="13" t="s">
        <v>52</v>
      </c>
      <c r="B58" s="14" t="s">
        <v>11</v>
      </c>
      <c r="C58" s="22"/>
      <c r="D58" s="22"/>
      <c r="E58" s="22">
        <f>E59+E61</f>
        <v>1524</v>
      </c>
      <c r="F58" s="22">
        <f>F59+F61</f>
        <v>1038</v>
      </c>
      <c r="G58" s="22">
        <f>G59+G61</f>
        <v>880</v>
      </c>
      <c r="H58" s="22">
        <f>H59+H61</f>
        <v>880</v>
      </c>
    </row>
    <row r="59" spans="1:8" s="146" customFormat="1" x14ac:dyDescent="0.25">
      <c r="A59" s="13">
        <v>1</v>
      </c>
      <c r="B59" s="14" t="s">
        <v>471</v>
      </c>
      <c r="C59" s="22"/>
      <c r="D59" s="22"/>
      <c r="E59" s="22">
        <f>E60</f>
        <v>880</v>
      </c>
      <c r="F59" s="22">
        <f t="shared" ref="F59:H59" si="1">F60</f>
        <v>880</v>
      </c>
      <c r="G59" s="22">
        <f t="shared" si="1"/>
        <v>880</v>
      </c>
      <c r="H59" s="22">
        <f t="shared" si="1"/>
        <v>880</v>
      </c>
    </row>
    <row r="60" spans="1:8" s="146" customFormat="1" ht="75" x14ac:dyDescent="0.25">
      <c r="A60" s="11" t="s">
        <v>99</v>
      </c>
      <c r="B60" s="12" t="s">
        <v>1145</v>
      </c>
      <c r="C60" s="22"/>
      <c r="D60" s="22"/>
      <c r="E60" s="21">
        <v>880</v>
      </c>
      <c r="F60" s="21">
        <f>E60</f>
        <v>880</v>
      </c>
      <c r="G60" s="21">
        <f>E60</f>
        <v>880</v>
      </c>
      <c r="H60" s="21">
        <f>G60</f>
        <v>880</v>
      </c>
    </row>
    <row r="61" spans="1:8" s="146" customFormat="1" x14ac:dyDescent="0.25">
      <c r="A61" s="13">
        <v>2</v>
      </c>
      <c r="B61" s="14" t="s">
        <v>82</v>
      </c>
      <c r="C61" s="22"/>
      <c r="D61" s="22"/>
      <c r="E61" s="22">
        <f>SUM(E62:E64)</f>
        <v>644</v>
      </c>
      <c r="F61" s="22">
        <f>SUM(F62:F64)</f>
        <v>158</v>
      </c>
      <c r="G61" s="22">
        <f>SUM(G62:G64)</f>
        <v>0</v>
      </c>
      <c r="H61" s="22">
        <f>SUM(H62:H64)</f>
        <v>0</v>
      </c>
    </row>
    <row r="62" spans="1:8" ht="168.75" x14ac:dyDescent="0.25">
      <c r="A62" s="11" t="s">
        <v>99</v>
      </c>
      <c r="B62" s="12" t="s">
        <v>472</v>
      </c>
      <c r="C62" s="21"/>
      <c r="D62" s="21"/>
      <c r="E62" s="21">
        <v>322</v>
      </c>
      <c r="F62" s="21"/>
      <c r="G62" s="21"/>
      <c r="H62" s="21"/>
    </row>
    <row r="63" spans="1:8" s="146" customFormat="1" ht="56.25" x14ac:dyDescent="0.25">
      <c r="A63" s="11" t="s">
        <v>99</v>
      </c>
      <c r="B63" s="12" t="s">
        <v>1146</v>
      </c>
      <c r="C63" s="22"/>
      <c r="D63" s="22"/>
      <c r="E63" s="21">
        <v>322</v>
      </c>
      <c r="F63" s="121">
        <v>38</v>
      </c>
      <c r="G63" s="21"/>
      <c r="H63" s="21"/>
    </row>
    <row r="64" spans="1:8" ht="37.5" x14ac:dyDescent="0.25">
      <c r="A64" s="11" t="s">
        <v>99</v>
      </c>
      <c r="B64" s="12" t="s">
        <v>1147</v>
      </c>
      <c r="C64" s="21"/>
      <c r="D64" s="21"/>
      <c r="E64" s="21"/>
      <c r="F64" s="21">
        <v>120</v>
      </c>
      <c r="G64" s="21"/>
      <c r="H64" s="21"/>
    </row>
    <row r="65" spans="1:8" x14ac:dyDescent="0.25">
      <c r="A65" s="15"/>
      <c r="B65" s="16"/>
      <c r="C65" s="23"/>
      <c r="D65" s="23"/>
      <c r="E65" s="23"/>
      <c r="F65" s="23"/>
      <c r="G65" s="23"/>
      <c r="H65" s="23"/>
    </row>
    <row r="66" spans="1:8" ht="40.5" customHeight="1" x14ac:dyDescent="0.25">
      <c r="A66" s="30"/>
      <c r="B66" s="567" t="s">
        <v>1148</v>
      </c>
      <c r="C66" s="567"/>
      <c r="D66" s="567"/>
      <c r="E66" s="567"/>
      <c r="F66" s="567"/>
      <c r="G66" s="567"/>
      <c r="H66" s="567"/>
    </row>
    <row r="67" spans="1:8" x14ac:dyDescent="0.25">
      <c r="A67" s="2"/>
      <c r="B67" s="7" t="s">
        <v>135</v>
      </c>
    </row>
    <row r="68" spans="1:8" x14ac:dyDescent="0.25">
      <c r="A68" s="2"/>
    </row>
    <row r="69" spans="1:8" x14ac:dyDescent="0.25">
      <c r="A69" s="550" t="s">
        <v>36</v>
      </c>
      <c r="B69" s="550"/>
      <c r="D69" s="550" t="s">
        <v>37</v>
      </c>
      <c r="E69" s="550"/>
      <c r="F69" s="550"/>
      <c r="G69" s="550"/>
      <c r="H69" s="550"/>
    </row>
  </sheetData>
  <mergeCells count="18">
    <mergeCell ref="A69:B69"/>
    <mergeCell ref="D69:H69"/>
    <mergeCell ref="C21:H21"/>
    <mergeCell ref="B66:H66"/>
    <mergeCell ref="B22:H22"/>
    <mergeCell ref="C20:H20"/>
    <mergeCell ref="A1:H1"/>
    <mergeCell ref="B3:H3"/>
    <mergeCell ref="C6:H6"/>
    <mergeCell ref="C7:H7"/>
    <mergeCell ref="C9:H9"/>
    <mergeCell ref="C10:H10"/>
    <mergeCell ref="C14:H14"/>
    <mergeCell ref="C16:H16"/>
    <mergeCell ref="C17:H17"/>
    <mergeCell ref="C18:H18"/>
    <mergeCell ref="C19:H19"/>
    <mergeCell ref="C8:H8"/>
  </mergeCells>
  <printOptions horizontalCentered="1"/>
  <pageMargins left="0.19685039370078741" right="0.19685039370078741" top="0.59055118110236227" bottom="0.59055118110236227" header="0.31496062992125984" footer="0.31496062992125984"/>
  <pageSetup paperSize="9" scale="83" orientation="portrait" r:id="rId1"/>
  <headerFooter>
    <oddFooter>&amp;C&amp;P/&amp;N</oddFooter>
  </headerFooter>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83"/>
  <sheetViews>
    <sheetView zoomScale="90" zoomScaleNormal="90" workbookViewId="0">
      <selection activeCell="F51" sqref="F51"/>
    </sheetView>
  </sheetViews>
  <sheetFormatPr defaultColWidth="9.140625" defaultRowHeight="18.75" x14ac:dyDescent="0.25"/>
  <cols>
    <col min="1" max="1" width="4.85546875" style="49" customWidth="1"/>
    <col min="2" max="2" width="43.28515625" style="49" customWidth="1"/>
    <col min="3" max="4" width="7.85546875" style="49" customWidth="1"/>
    <col min="5" max="8" width="11.85546875" style="49" customWidth="1"/>
    <col min="9" max="16384" width="9.140625" style="49"/>
  </cols>
  <sheetData>
    <row r="1" spans="1:8" ht="41.25" customHeight="1" x14ac:dyDescent="0.25">
      <c r="A1" s="569" t="s">
        <v>1074</v>
      </c>
      <c r="B1" s="570"/>
      <c r="C1" s="570"/>
      <c r="D1" s="570"/>
      <c r="E1" s="570"/>
      <c r="F1" s="570"/>
      <c r="G1" s="570"/>
      <c r="H1" s="570"/>
    </row>
    <row r="2" spans="1:8" x14ac:dyDescent="0.25">
      <c r="A2" s="50"/>
      <c r="B2" s="50"/>
      <c r="C2" s="50"/>
      <c r="D2" s="51"/>
      <c r="E2" s="51"/>
      <c r="F2" s="51"/>
      <c r="G2" s="51"/>
      <c r="H2" s="51"/>
    </row>
    <row r="3" spans="1:8" ht="40.5" customHeight="1" x14ac:dyDescent="0.25">
      <c r="B3" s="565" t="s">
        <v>1156</v>
      </c>
      <c r="C3" s="565"/>
      <c r="D3" s="565"/>
      <c r="E3" s="565"/>
      <c r="F3" s="565"/>
      <c r="G3" s="565"/>
      <c r="H3" s="565"/>
    </row>
    <row r="4" spans="1:8" x14ac:dyDescent="0.25">
      <c r="B4" s="49" t="s">
        <v>39</v>
      </c>
      <c r="D4" s="52"/>
      <c r="E4" s="52"/>
      <c r="F4" s="52"/>
      <c r="G4" s="52"/>
      <c r="H4" s="52"/>
    </row>
    <row r="5" spans="1:8" s="50" customFormat="1" x14ac:dyDescent="0.25">
      <c r="B5" s="50" t="s">
        <v>18</v>
      </c>
    </row>
    <row r="6" spans="1:8" x14ac:dyDescent="0.25">
      <c r="B6" s="49" t="s">
        <v>23</v>
      </c>
      <c r="C6" s="566" t="s">
        <v>49</v>
      </c>
      <c r="D6" s="566"/>
      <c r="E6" s="566"/>
      <c r="F6" s="566"/>
      <c r="G6" s="566"/>
      <c r="H6" s="566"/>
    </row>
    <row r="7" spans="1:8" x14ac:dyDescent="0.25">
      <c r="B7" s="49" t="s">
        <v>19</v>
      </c>
      <c r="C7" s="566" t="s">
        <v>50</v>
      </c>
      <c r="D7" s="566"/>
      <c r="E7" s="566"/>
      <c r="F7" s="566"/>
      <c r="G7" s="566"/>
      <c r="H7" s="566"/>
    </row>
    <row r="8" spans="1:8" hidden="1" x14ac:dyDescent="0.25">
      <c r="B8" s="49" t="s">
        <v>90</v>
      </c>
      <c r="C8" s="566" t="s">
        <v>60</v>
      </c>
      <c r="D8" s="566"/>
      <c r="E8" s="566"/>
      <c r="F8" s="566"/>
      <c r="G8" s="566"/>
      <c r="H8" s="566"/>
    </row>
    <row r="9" spans="1:8" x14ac:dyDescent="0.25">
      <c r="B9" s="49" t="s">
        <v>59</v>
      </c>
      <c r="C9" s="566" t="s">
        <v>60</v>
      </c>
      <c r="D9" s="566"/>
      <c r="E9" s="566"/>
      <c r="F9" s="566"/>
      <c r="G9" s="566"/>
      <c r="H9" s="566"/>
    </row>
    <row r="10" spans="1:8" hidden="1" x14ac:dyDescent="0.25">
      <c r="B10" s="49" t="s">
        <v>20</v>
      </c>
      <c r="C10" s="566" t="s">
        <v>86</v>
      </c>
      <c r="D10" s="566"/>
      <c r="E10" s="566"/>
      <c r="F10" s="566"/>
      <c r="G10" s="566"/>
      <c r="H10" s="566"/>
    </row>
    <row r="11" spans="1:8" hidden="1" x14ac:dyDescent="0.25">
      <c r="B11" s="49" t="s">
        <v>21</v>
      </c>
      <c r="C11" s="53" t="s">
        <v>87</v>
      </c>
      <c r="D11" s="53"/>
      <c r="E11" s="53"/>
      <c r="F11" s="334"/>
      <c r="G11" s="53"/>
      <c r="H11" s="53"/>
    </row>
    <row r="12" spans="1:8" x14ac:dyDescent="0.25">
      <c r="B12" s="49" t="s">
        <v>383</v>
      </c>
      <c r="C12" s="53" t="s">
        <v>88</v>
      </c>
      <c r="D12" s="53"/>
      <c r="E12" s="53"/>
      <c r="F12" s="334"/>
      <c r="G12" s="53"/>
      <c r="H12" s="53"/>
    </row>
    <row r="13" spans="1:8" x14ac:dyDescent="0.25">
      <c r="B13" s="49" t="s">
        <v>94</v>
      </c>
      <c r="C13" s="53" t="s">
        <v>95</v>
      </c>
      <c r="D13" s="53"/>
      <c r="E13" s="53"/>
      <c r="F13" s="334"/>
      <c r="G13" s="53"/>
      <c r="H13" s="53"/>
    </row>
    <row r="14" spans="1:8" x14ac:dyDescent="0.25">
      <c r="C14" s="53"/>
      <c r="D14" s="53"/>
      <c r="E14" s="53"/>
      <c r="F14" s="334"/>
      <c r="G14" s="53"/>
      <c r="H14" s="53"/>
    </row>
    <row r="15" spans="1:8" hidden="1" x14ac:dyDescent="0.25">
      <c r="B15" s="49" t="s">
        <v>21</v>
      </c>
      <c r="C15" s="566"/>
      <c r="D15" s="566"/>
      <c r="E15" s="566"/>
      <c r="F15" s="566"/>
      <c r="G15" s="566"/>
      <c r="H15" s="566"/>
    </row>
    <row r="16" spans="1:8" s="50" customFormat="1" x14ac:dyDescent="0.25">
      <c r="B16" s="50" t="s">
        <v>175</v>
      </c>
    </row>
    <row r="17" spans="1:8" x14ac:dyDescent="0.25">
      <c r="B17" s="49" t="s">
        <v>1153</v>
      </c>
      <c r="C17" s="566" t="s">
        <v>176</v>
      </c>
      <c r="D17" s="566"/>
      <c r="E17" s="566"/>
      <c r="F17" s="566"/>
      <c r="G17" s="566"/>
      <c r="H17" s="566"/>
    </row>
    <row r="18" spans="1:8" hidden="1" x14ac:dyDescent="0.25">
      <c r="B18" s="49" t="s">
        <v>20</v>
      </c>
      <c r="C18" s="53"/>
      <c r="D18" s="53"/>
      <c r="E18" s="53"/>
      <c r="F18" s="334"/>
      <c r="G18" s="53"/>
      <c r="H18" s="53"/>
    </row>
    <row r="19" spans="1:8" x14ac:dyDescent="0.25">
      <c r="B19" s="49" t="s">
        <v>1154</v>
      </c>
      <c r="C19" s="566" t="s">
        <v>80</v>
      </c>
      <c r="D19" s="566"/>
      <c r="E19" s="566"/>
      <c r="F19" s="566"/>
      <c r="G19" s="566"/>
      <c r="H19" s="566"/>
    </row>
    <row r="20" spans="1:8" hidden="1" x14ac:dyDescent="0.25">
      <c r="B20" s="49" t="s">
        <v>474</v>
      </c>
      <c r="C20" s="566" t="s">
        <v>475</v>
      </c>
      <c r="D20" s="566"/>
      <c r="E20" s="566"/>
      <c r="F20" s="566"/>
      <c r="G20" s="566"/>
      <c r="H20" s="566"/>
    </row>
    <row r="21" spans="1:8" x14ac:dyDescent="0.25">
      <c r="B21" s="49" t="s">
        <v>480</v>
      </c>
      <c r="C21" s="566" t="s">
        <v>108</v>
      </c>
      <c r="D21" s="566"/>
      <c r="E21" s="566"/>
      <c r="F21" s="566"/>
      <c r="G21" s="566"/>
      <c r="H21" s="566"/>
    </row>
    <row r="22" spans="1:8" hidden="1" x14ac:dyDescent="0.25">
      <c r="B22" s="49" t="s">
        <v>21</v>
      </c>
      <c r="C22" s="566"/>
      <c r="D22" s="566"/>
      <c r="E22" s="566"/>
      <c r="F22" s="566"/>
      <c r="G22" s="566"/>
      <c r="H22" s="566"/>
    </row>
    <row r="23" spans="1:8" hidden="1" x14ac:dyDescent="0.25">
      <c r="B23" s="49" t="s">
        <v>21</v>
      </c>
      <c r="C23" s="566"/>
      <c r="D23" s="566"/>
      <c r="E23" s="566"/>
      <c r="F23" s="566"/>
      <c r="G23" s="566"/>
      <c r="H23" s="566"/>
    </row>
    <row r="24" spans="1:8" ht="39.75" customHeight="1" x14ac:dyDescent="0.25">
      <c r="B24" s="556" t="s">
        <v>1073</v>
      </c>
      <c r="C24" s="556"/>
      <c r="D24" s="556"/>
      <c r="E24" s="556"/>
      <c r="F24" s="556"/>
      <c r="G24" s="556"/>
      <c r="H24" s="556"/>
    </row>
    <row r="25" spans="1:8" x14ac:dyDescent="0.25">
      <c r="A25" s="54"/>
      <c r="H25" s="54" t="s">
        <v>61</v>
      </c>
    </row>
    <row r="26" spans="1:8" s="314" customFormat="1" ht="87.75" customHeight="1" x14ac:dyDescent="0.25">
      <c r="A26" s="315" t="s">
        <v>62</v>
      </c>
      <c r="B26" s="315" t="s">
        <v>2</v>
      </c>
      <c r="C26" s="315" t="s">
        <v>17</v>
      </c>
      <c r="D26" s="315" t="s">
        <v>464</v>
      </c>
      <c r="E26" s="332" t="s">
        <v>1099</v>
      </c>
      <c r="F26" s="335" t="s">
        <v>9</v>
      </c>
      <c r="G26" s="316" t="s">
        <v>461</v>
      </c>
      <c r="H26" s="316" t="s">
        <v>1046</v>
      </c>
    </row>
    <row r="27" spans="1:8" s="50" customFormat="1" x14ac:dyDescent="0.25">
      <c r="A27" s="55"/>
      <c r="B27" s="55" t="s">
        <v>97</v>
      </c>
      <c r="C27" s="57"/>
      <c r="D27" s="57"/>
      <c r="E27" s="57">
        <f>E28+E54</f>
        <v>7227</v>
      </c>
      <c r="F27" s="57">
        <f>F28+F54</f>
        <v>7621</v>
      </c>
      <c r="G27" s="57">
        <f>G28+G54</f>
        <v>7334</v>
      </c>
      <c r="H27" s="57">
        <f>H28+H54</f>
        <v>7495</v>
      </c>
    </row>
    <row r="28" spans="1:8" s="48" customFormat="1" x14ac:dyDescent="0.25">
      <c r="A28" s="13" t="s">
        <v>6</v>
      </c>
      <c r="B28" s="63" t="s">
        <v>481</v>
      </c>
      <c r="C28" s="22"/>
      <c r="D28" s="22"/>
      <c r="E28" s="22">
        <f>E29+E42</f>
        <v>5528</v>
      </c>
      <c r="F28" s="22">
        <f>F29+F42</f>
        <v>5946</v>
      </c>
      <c r="G28" s="22">
        <f t="shared" ref="G28:H28" si="0">G29+G42</f>
        <v>5697</v>
      </c>
      <c r="H28" s="22">
        <f t="shared" si="0"/>
        <v>5829</v>
      </c>
    </row>
    <row r="29" spans="1:8" s="50" customFormat="1" ht="21" customHeight="1" x14ac:dyDescent="0.25">
      <c r="A29" s="62" t="s">
        <v>51</v>
      </c>
      <c r="B29" s="63" t="s">
        <v>1078</v>
      </c>
      <c r="C29" s="64"/>
      <c r="D29" s="64"/>
      <c r="E29" s="64">
        <f>+E34+E38-E39</f>
        <v>4662</v>
      </c>
      <c r="F29" s="64">
        <f t="shared" ref="F29:H29" si="1">+F34+F38-F39</f>
        <v>4876</v>
      </c>
      <c r="G29" s="64">
        <f t="shared" si="1"/>
        <v>5028</v>
      </c>
      <c r="H29" s="64">
        <f t="shared" si="1"/>
        <v>5160</v>
      </c>
    </row>
    <row r="30" spans="1:8" s="7" customFormat="1" x14ac:dyDescent="0.25">
      <c r="A30" s="11"/>
      <c r="B30" s="12" t="s">
        <v>64</v>
      </c>
      <c r="C30" s="21"/>
      <c r="D30" s="21"/>
      <c r="E30" s="21">
        <v>424</v>
      </c>
      <c r="F30" s="21"/>
      <c r="G30" s="21">
        <f>E30</f>
        <v>424</v>
      </c>
      <c r="H30" s="21">
        <f>G30</f>
        <v>424</v>
      </c>
    </row>
    <row r="31" spans="1:8" s="7" customFormat="1" hidden="1" x14ac:dyDescent="0.25">
      <c r="A31" s="11"/>
      <c r="B31" s="12" t="s">
        <v>63</v>
      </c>
      <c r="C31" s="21"/>
      <c r="D31" s="21"/>
      <c r="E31" s="21"/>
      <c r="F31" s="21"/>
      <c r="G31" s="21"/>
      <c r="H31" s="21"/>
    </row>
    <row r="32" spans="1:8" s="7" customFormat="1" ht="37.5" x14ac:dyDescent="0.25">
      <c r="A32" s="11"/>
      <c r="B32" s="12" t="s">
        <v>186</v>
      </c>
      <c r="C32" s="21"/>
      <c r="D32" s="21"/>
      <c r="E32" s="21">
        <v>305</v>
      </c>
      <c r="F32" s="21"/>
      <c r="G32" s="21">
        <f>E32</f>
        <v>305</v>
      </c>
      <c r="H32" s="21">
        <f>G32</f>
        <v>305</v>
      </c>
    </row>
    <row r="33" spans="1:8" s="7" customFormat="1" x14ac:dyDescent="0.25">
      <c r="A33" s="11"/>
      <c r="B33" s="12" t="s">
        <v>14</v>
      </c>
      <c r="C33" s="21"/>
      <c r="D33" s="21"/>
      <c r="E33" s="21">
        <v>118</v>
      </c>
      <c r="F33" s="21"/>
      <c r="G33" s="21">
        <v>118</v>
      </c>
      <c r="H33" s="21">
        <v>118</v>
      </c>
    </row>
    <row r="34" spans="1:8" s="142" customFormat="1" ht="58.5" x14ac:dyDescent="0.25">
      <c r="A34" s="139">
        <v>1</v>
      </c>
      <c r="B34" s="140" t="s">
        <v>1149</v>
      </c>
      <c r="C34" s="141"/>
      <c r="D34" s="141"/>
      <c r="E34" s="141">
        <f>SUM(E35:E37)</f>
        <v>3989</v>
      </c>
      <c r="F34" s="141">
        <f>SUM(F35:F37)</f>
        <v>4174</v>
      </c>
      <c r="G34" s="141">
        <f>SUM(G35:G37)</f>
        <v>4306</v>
      </c>
      <c r="H34" s="141">
        <f>SUM(H35:H37)</f>
        <v>4438</v>
      </c>
    </row>
    <row r="35" spans="1:8" x14ac:dyDescent="0.25">
      <c r="A35" s="58"/>
      <c r="B35" s="59" t="s">
        <v>1151</v>
      </c>
      <c r="C35" s="60">
        <v>39</v>
      </c>
      <c r="D35" s="61">
        <v>36</v>
      </c>
      <c r="E35" s="60">
        <v>3633</v>
      </c>
      <c r="F35" s="60">
        <v>3619</v>
      </c>
      <c r="G35" s="60">
        <f>ROUND(F35+13*8.8,0)</f>
        <v>3733</v>
      </c>
      <c r="H35" s="60">
        <f>ROUND(G35+13*8.8,0)</f>
        <v>3847</v>
      </c>
    </row>
    <row r="36" spans="1:8" x14ac:dyDescent="0.25">
      <c r="A36" s="58"/>
      <c r="B36" s="59" t="s">
        <v>1150</v>
      </c>
      <c r="C36" s="60"/>
      <c r="D36" s="61"/>
      <c r="E36" s="60"/>
      <c r="F36" s="60">
        <v>154</v>
      </c>
      <c r="G36" s="60">
        <f>F36</f>
        <v>154</v>
      </c>
      <c r="H36" s="60">
        <f>G36</f>
        <v>154</v>
      </c>
    </row>
    <row r="37" spans="1:8" ht="37.5" x14ac:dyDescent="0.25">
      <c r="A37" s="58"/>
      <c r="B37" s="59" t="s">
        <v>1152</v>
      </c>
      <c r="C37" s="60">
        <v>6</v>
      </c>
      <c r="D37" s="60">
        <v>5</v>
      </c>
      <c r="E37" s="60">
        <v>356</v>
      </c>
      <c r="F37" s="60">
        <v>401</v>
      </c>
      <c r="G37" s="60">
        <f>ROUND(F37+2*8.8,0)</f>
        <v>419</v>
      </c>
      <c r="H37" s="60">
        <f>ROUND(G37+2*8.8,0)</f>
        <v>437</v>
      </c>
    </row>
    <row r="38" spans="1:8" s="142" customFormat="1" ht="39" x14ac:dyDescent="0.25">
      <c r="A38" s="139">
        <v>2</v>
      </c>
      <c r="B38" s="140" t="s">
        <v>1076</v>
      </c>
      <c r="C38" s="141">
        <v>39</v>
      </c>
      <c r="D38" s="141"/>
      <c r="E38" s="141">
        <v>800</v>
      </c>
      <c r="F38" s="141">
        <f>+C38*20</f>
        <v>780</v>
      </c>
      <c r="G38" s="141">
        <f>E38</f>
        <v>800</v>
      </c>
      <c r="H38" s="141">
        <f>G38</f>
        <v>800</v>
      </c>
    </row>
    <row r="39" spans="1:8" s="142" customFormat="1" ht="39" x14ac:dyDescent="0.25">
      <c r="A39" s="139">
        <v>3</v>
      </c>
      <c r="B39" s="140" t="s">
        <v>1157</v>
      </c>
      <c r="C39" s="141"/>
      <c r="D39" s="141"/>
      <c r="E39" s="141">
        <f>SUM(E40:E41)</f>
        <v>127</v>
      </c>
      <c r="F39" s="141">
        <f t="shared" ref="F39:H39" si="2">SUM(F40:F41)</f>
        <v>78</v>
      </c>
      <c r="G39" s="141">
        <f t="shared" si="2"/>
        <v>78</v>
      </c>
      <c r="H39" s="141">
        <f t="shared" si="2"/>
        <v>78</v>
      </c>
    </row>
    <row r="40" spans="1:8" x14ac:dyDescent="0.25">
      <c r="A40" s="58"/>
      <c r="B40" s="59" t="s">
        <v>969</v>
      </c>
      <c r="C40" s="60"/>
      <c r="D40" s="60"/>
      <c r="E40" s="60">
        <v>80</v>
      </c>
      <c r="F40" s="60">
        <v>78</v>
      </c>
      <c r="G40" s="60">
        <f>F40</f>
        <v>78</v>
      </c>
      <c r="H40" s="60">
        <f>G40</f>
        <v>78</v>
      </c>
    </row>
    <row r="41" spans="1:8" x14ac:dyDescent="0.25">
      <c r="A41" s="58"/>
      <c r="B41" s="59" t="s">
        <v>968</v>
      </c>
      <c r="C41" s="60"/>
      <c r="D41" s="60"/>
      <c r="E41" s="60">
        <v>47</v>
      </c>
      <c r="F41" s="60"/>
      <c r="G41" s="60"/>
      <c r="H41" s="60"/>
    </row>
    <row r="42" spans="1:8" s="50" customFormat="1" x14ac:dyDescent="0.25">
      <c r="A42" s="62" t="s">
        <v>52</v>
      </c>
      <c r="B42" s="63" t="s">
        <v>11</v>
      </c>
      <c r="C42" s="64"/>
      <c r="D42" s="64"/>
      <c r="E42" s="64">
        <f>SUM(E43:E53)</f>
        <v>866</v>
      </c>
      <c r="F42" s="64">
        <f>SUM(F43:F53)</f>
        <v>1070</v>
      </c>
      <c r="G42" s="64">
        <f>SUM(G43:G53)</f>
        <v>669</v>
      </c>
      <c r="H42" s="64">
        <f>SUM(H43:H53)</f>
        <v>669</v>
      </c>
    </row>
    <row r="43" spans="1:8" x14ac:dyDescent="0.25">
      <c r="A43" s="58" t="s">
        <v>99</v>
      </c>
      <c r="B43" s="59" t="s">
        <v>1155</v>
      </c>
      <c r="C43" s="60"/>
      <c r="D43" s="60"/>
      <c r="E43" s="60">
        <v>14</v>
      </c>
      <c r="F43" s="60">
        <v>30</v>
      </c>
      <c r="G43" s="60">
        <f>E43</f>
        <v>14</v>
      </c>
      <c r="H43" s="60">
        <f>G43</f>
        <v>14</v>
      </c>
    </row>
    <row r="44" spans="1:8" x14ac:dyDescent="0.25">
      <c r="A44" s="58" t="s">
        <v>99</v>
      </c>
      <c r="B44" s="59" t="s">
        <v>482</v>
      </c>
      <c r="C44" s="60"/>
      <c r="D44" s="60"/>
      <c r="E44" s="60">
        <v>15</v>
      </c>
      <c r="F44" s="60">
        <v>15</v>
      </c>
      <c r="G44" s="60">
        <v>15</v>
      </c>
      <c r="H44" s="60">
        <v>15</v>
      </c>
    </row>
    <row r="45" spans="1:8" ht="37.5" x14ac:dyDescent="0.25">
      <c r="A45" s="58" t="s">
        <v>99</v>
      </c>
      <c r="B45" s="59" t="s">
        <v>181</v>
      </c>
      <c r="C45" s="60"/>
      <c r="D45" s="60"/>
      <c r="E45" s="60">
        <v>300</v>
      </c>
      <c r="F45" s="60">
        <v>300</v>
      </c>
      <c r="G45" s="60">
        <f>E45</f>
        <v>300</v>
      </c>
      <c r="H45" s="60">
        <f>G45</f>
        <v>300</v>
      </c>
    </row>
    <row r="46" spans="1:8" x14ac:dyDescent="0.25">
      <c r="A46" s="58" t="s">
        <v>99</v>
      </c>
      <c r="B46" s="59" t="s">
        <v>182</v>
      </c>
      <c r="C46" s="60"/>
      <c r="D46" s="60"/>
      <c r="E46" s="60">
        <v>50</v>
      </c>
      <c r="F46" s="60">
        <v>50</v>
      </c>
      <c r="G46" s="60">
        <f>E46</f>
        <v>50</v>
      </c>
      <c r="H46" s="60">
        <f>G46</f>
        <v>50</v>
      </c>
    </row>
    <row r="47" spans="1:8" x14ac:dyDescent="0.25">
      <c r="A47" s="58" t="s">
        <v>99</v>
      </c>
      <c r="B47" s="59" t="s">
        <v>183</v>
      </c>
      <c r="C47" s="60"/>
      <c r="D47" s="60"/>
      <c r="E47" s="60">
        <v>12</v>
      </c>
      <c r="F47" s="60">
        <v>10</v>
      </c>
      <c r="G47" s="60">
        <f>F47</f>
        <v>10</v>
      </c>
      <c r="H47" s="60">
        <f>G47</f>
        <v>10</v>
      </c>
    </row>
    <row r="48" spans="1:8" x14ac:dyDescent="0.25">
      <c r="A48" s="58" t="s">
        <v>99</v>
      </c>
      <c r="B48" s="59" t="s">
        <v>484</v>
      </c>
      <c r="C48" s="60"/>
      <c r="D48" s="60"/>
      <c r="E48" s="60">
        <v>75</v>
      </c>
      <c r="F48" s="60">
        <v>75</v>
      </c>
      <c r="G48" s="60"/>
      <c r="H48" s="60"/>
    </row>
    <row r="49" spans="1:9" x14ac:dyDescent="0.25">
      <c r="A49" s="58" t="s">
        <v>99</v>
      </c>
      <c r="B49" s="59" t="s">
        <v>184</v>
      </c>
      <c r="C49" s="60"/>
      <c r="D49" s="60"/>
      <c r="E49" s="60">
        <v>70</v>
      </c>
      <c r="F49" s="60">
        <v>50</v>
      </c>
      <c r="G49" s="60"/>
      <c r="H49" s="60"/>
    </row>
    <row r="50" spans="1:9" x14ac:dyDescent="0.25">
      <c r="A50" s="58" t="s">
        <v>99</v>
      </c>
      <c r="B50" s="59" t="s">
        <v>1158</v>
      </c>
      <c r="C50" s="60"/>
      <c r="D50" s="60"/>
      <c r="E50" s="60"/>
      <c r="F50" s="60">
        <v>10</v>
      </c>
      <c r="G50" s="60"/>
      <c r="H50" s="60"/>
    </row>
    <row r="51" spans="1:9" x14ac:dyDescent="0.25">
      <c r="A51" s="58" t="s">
        <v>99</v>
      </c>
      <c r="B51" s="59" t="s">
        <v>1159</v>
      </c>
      <c r="C51" s="60"/>
      <c r="D51" s="60"/>
      <c r="E51" s="60"/>
      <c r="F51" s="60">
        <v>250</v>
      </c>
      <c r="G51" s="60"/>
      <c r="H51" s="60"/>
    </row>
    <row r="52" spans="1:9" ht="37.5" x14ac:dyDescent="0.25">
      <c r="A52" s="58" t="s">
        <v>99</v>
      </c>
      <c r="B52" s="59" t="s">
        <v>485</v>
      </c>
      <c r="C52" s="60"/>
      <c r="D52" s="60"/>
      <c r="E52" s="60">
        <v>50</v>
      </c>
      <c r="F52" s="60"/>
      <c r="G52" s="60"/>
      <c r="H52" s="60"/>
    </row>
    <row r="53" spans="1:9" x14ac:dyDescent="0.25">
      <c r="A53" s="58" t="s">
        <v>99</v>
      </c>
      <c r="B53" s="59" t="s">
        <v>185</v>
      </c>
      <c r="C53" s="60"/>
      <c r="D53" s="60"/>
      <c r="E53" s="60">
        <v>280</v>
      </c>
      <c r="F53" s="60">
        <v>280</v>
      </c>
      <c r="G53" s="60">
        <f>E53</f>
        <v>280</v>
      </c>
      <c r="H53" s="60">
        <f>G53</f>
        <v>280</v>
      </c>
    </row>
    <row r="54" spans="1:9" s="50" customFormat="1" ht="37.5" x14ac:dyDescent="0.25">
      <c r="A54" s="62" t="s">
        <v>7</v>
      </c>
      <c r="B54" s="63" t="s">
        <v>483</v>
      </c>
      <c r="C54" s="64"/>
      <c r="D54" s="64"/>
      <c r="E54" s="64">
        <f>E55+E61</f>
        <v>1699</v>
      </c>
      <c r="F54" s="64">
        <f>F55+F61</f>
        <v>1675</v>
      </c>
      <c r="G54" s="64">
        <f>G55+G61</f>
        <v>1637</v>
      </c>
      <c r="H54" s="64">
        <f>H55+H61</f>
        <v>1666</v>
      </c>
    </row>
    <row r="55" spans="1:9" x14ac:dyDescent="0.25">
      <c r="A55" s="62" t="s">
        <v>51</v>
      </c>
      <c r="B55" s="63" t="s">
        <v>1078</v>
      </c>
      <c r="C55" s="60"/>
      <c r="D55" s="60"/>
      <c r="E55" s="64">
        <f>+E56+E59-E60</f>
        <v>899</v>
      </c>
      <c r="F55" s="64">
        <f t="shared" ref="F55:H55" si="3">+F56+F59-F60</f>
        <v>808</v>
      </c>
      <c r="G55" s="64">
        <f t="shared" si="3"/>
        <v>837</v>
      </c>
      <c r="H55" s="64">
        <f t="shared" si="3"/>
        <v>866</v>
      </c>
    </row>
    <row r="56" spans="1:9" ht="37.5" x14ac:dyDescent="0.25">
      <c r="A56" s="139">
        <v>1</v>
      </c>
      <c r="B56" s="59" t="s">
        <v>1114</v>
      </c>
      <c r="C56" s="60">
        <v>12</v>
      </c>
      <c r="D56" s="60">
        <v>10</v>
      </c>
      <c r="E56" s="60">
        <f>899-206</f>
        <v>693</v>
      </c>
      <c r="F56" s="60">
        <f t="shared" ref="F56:H56" si="4">SUM(F57:F58)</f>
        <v>602</v>
      </c>
      <c r="G56" s="60">
        <f t="shared" si="4"/>
        <v>631</v>
      </c>
      <c r="H56" s="60">
        <f t="shared" si="4"/>
        <v>660</v>
      </c>
    </row>
    <row r="57" spans="1:9" x14ac:dyDescent="0.25">
      <c r="A57" s="58"/>
      <c r="B57" s="59" t="s">
        <v>1116</v>
      </c>
      <c r="C57" s="60"/>
      <c r="D57" s="60"/>
      <c r="E57" s="60"/>
      <c r="F57" s="60">
        <v>499</v>
      </c>
      <c r="G57" s="60">
        <f>ROUND(F57+4*7.3,0)</f>
        <v>528</v>
      </c>
      <c r="H57" s="60">
        <f>ROUND(G57+4*7.3,0)</f>
        <v>557</v>
      </c>
    </row>
    <row r="58" spans="1:9" x14ac:dyDescent="0.25">
      <c r="A58" s="58"/>
      <c r="B58" s="59" t="s">
        <v>1115</v>
      </c>
      <c r="C58" s="60"/>
      <c r="D58" s="60"/>
      <c r="E58" s="60"/>
      <c r="F58" s="60">
        <v>103</v>
      </c>
      <c r="G58" s="60">
        <f>+F58</f>
        <v>103</v>
      </c>
      <c r="H58" s="60">
        <f>+G58</f>
        <v>103</v>
      </c>
    </row>
    <row r="59" spans="1:9" ht="19.5" x14ac:dyDescent="0.25">
      <c r="A59" s="139">
        <v>2</v>
      </c>
      <c r="B59" s="59" t="s">
        <v>486</v>
      </c>
      <c r="C59" s="60">
        <v>12</v>
      </c>
      <c r="E59" s="60">
        <f>C59*19</f>
        <v>228</v>
      </c>
      <c r="F59" s="60">
        <f>C59*19</f>
        <v>228</v>
      </c>
      <c r="G59" s="60">
        <f>E59</f>
        <v>228</v>
      </c>
      <c r="H59" s="60">
        <f>G59</f>
        <v>228</v>
      </c>
      <c r="I59" s="148"/>
    </row>
    <row r="60" spans="1:9" ht="37.5" x14ac:dyDescent="0.25">
      <c r="A60" s="139">
        <v>3</v>
      </c>
      <c r="B60" s="59" t="s">
        <v>103</v>
      </c>
      <c r="C60" s="60"/>
      <c r="D60" s="60"/>
      <c r="E60" s="60">
        <v>22</v>
      </c>
      <c r="F60" s="60">
        <v>22</v>
      </c>
      <c r="G60" s="60">
        <f>E60</f>
        <v>22</v>
      </c>
      <c r="H60" s="60">
        <f>G60</f>
        <v>22</v>
      </c>
    </row>
    <row r="61" spans="1:9" s="50" customFormat="1" x14ac:dyDescent="0.25">
      <c r="A61" s="62" t="s">
        <v>52</v>
      </c>
      <c r="B61" s="63" t="s">
        <v>11</v>
      </c>
      <c r="C61" s="64"/>
      <c r="D61" s="64"/>
      <c r="E61" s="64">
        <f>E62</f>
        <v>800</v>
      </c>
      <c r="F61" s="64">
        <f>F62</f>
        <v>867</v>
      </c>
      <c r="G61" s="64">
        <f>G62</f>
        <v>800</v>
      </c>
      <c r="H61" s="64">
        <f>H62</f>
        <v>800</v>
      </c>
    </row>
    <row r="62" spans="1:9" x14ac:dyDescent="0.25">
      <c r="A62" s="58"/>
      <c r="B62" s="59" t="s">
        <v>1175</v>
      </c>
      <c r="C62" s="60"/>
      <c r="D62" s="60"/>
      <c r="E62" s="60">
        <v>800</v>
      </c>
      <c r="F62" s="60">
        <v>867</v>
      </c>
      <c r="G62" s="60">
        <v>800</v>
      </c>
      <c r="H62" s="60">
        <v>800</v>
      </c>
    </row>
    <row r="63" spans="1:9" ht="37.5" x14ac:dyDescent="0.25">
      <c r="A63" s="58" t="s">
        <v>99</v>
      </c>
      <c r="B63" s="59" t="s">
        <v>1160</v>
      </c>
      <c r="C63" s="60"/>
      <c r="D63" s="60"/>
      <c r="E63" s="60"/>
      <c r="F63" s="60"/>
      <c r="G63" s="60"/>
      <c r="H63" s="60"/>
    </row>
    <row r="64" spans="1:9" ht="75" x14ac:dyDescent="0.25">
      <c r="A64" s="58" t="s">
        <v>99</v>
      </c>
      <c r="B64" s="59" t="s">
        <v>1161</v>
      </c>
      <c r="C64" s="60"/>
      <c r="D64" s="60"/>
      <c r="E64" s="60"/>
      <c r="F64" s="60"/>
      <c r="G64" s="60"/>
      <c r="H64" s="60"/>
    </row>
    <row r="65" spans="1:8" ht="37.5" x14ac:dyDescent="0.25">
      <c r="A65" s="58" t="s">
        <v>99</v>
      </c>
      <c r="B65" s="59" t="s">
        <v>1162</v>
      </c>
      <c r="C65" s="60"/>
      <c r="D65" s="60"/>
      <c r="E65" s="60"/>
      <c r="F65" s="60"/>
      <c r="G65" s="60"/>
      <c r="H65" s="60"/>
    </row>
    <row r="66" spans="1:8" ht="56.25" x14ac:dyDescent="0.25">
      <c r="A66" s="58" t="s">
        <v>99</v>
      </c>
      <c r="B66" s="59" t="s">
        <v>1163</v>
      </c>
      <c r="C66" s="60"/>
      <c r="D66" s="60"/>
      <c r="E66" s="60"/>
      <c r="F66" s="60"/>
      <c r="G66" s="60"/>
      <c r="H66" s="60"/>
    </row>
    <row r="67" spans="1:8" x14ac:dyDescent="0.25">
      <c r="A67" s="58" t="s">
        <v>99</v>
      </c>
      <c r="B67" s="59" t="s">
        <v>1164</v>
      </c>
      <c r="C67" s="60"/>
      <c r="D67" s="60"/>
      <c r="E67" s="60"/>
      <c r="F67" s="60"/>
      <c r="G67" s="60"/>
      <c r="H67" s="60"/>
    </row>
    <row r="68" spans="1:8" x14ac:dyDescent="0.25">
      <c r="A68" s="58" t="s">
        <v>99</v>
      </c>
      <c r="B68" s="59" t="s">
        <v>1165</v>
      </c>
      <c r="C68" s="60"/>
      <c r="D68" s="60"/>
      <c r="E68" s="60"/>
      <c r="F68" s="60"/>
      <c r="G68" s="60"/>
      <c r="H68" s="60"/>
    </row>
    <row r="69" spans="1:8" ht="56.25" x14ac:dyDescent="0.25">
      <c r="A69" s="58" t="s">
        <v>99</v>
      </c>
      <c r="B69" s="59" t="s">
        <v>1166</v>
      </c>
      <c r="C69" s="60"/>
      <c r="D69" s="60"/>
      <c r="E69" s="60"/>
      <c r="F69" s="60"/>
      <c r="G69" s="60"/>
      <c r="H69" s="60"/>
    </row>
    <row r="70" spans="1:8" ht="56.25" x14ac:dyDescent="0.25">
      <c r="A70" s="58" t="s">
        <v>99</v>
      </c>
      <c r="B70" s="59" t="s">
        <v>1178</v>
      </c>
      <c r="C70" s="60"/>
      <c r="D70" s="60"/>
      <c r="E70" s="60"/>
      <c r="F70" s="60"/>
      <c r="G70" s="60"/>
      <c r="H70" s="60"/>
    </row>
    <row r="71" spans="1:8" ht="37.5" x14ac:dyDescent="0.25">
      <c r="A71" s="58" t="s">
        <v>99</v>
      </c>
      <c r="B71" s="59" t="s">
        <v>1167</v>
      </c>
      <c r="C71" s="60"/>
      <c r="D71" s="60"/>
      <c r="E71" s="60"/>
      <c r="F71" s="60"/>
      <c r="G71" s="60"/>
      <c r="H71" s="60"/>
    </row>
    <row r="72" spans="1:8" ht="93.75" x14ac:dyDescent="0.25">
      <c r="A72" s="58" t="s">
        <v>99</v>
      </c>
      <c r="B72" s="59" t="s">
        <v>1168</v>
      </c>
      <c r="C72" s="60"/>
      <c r="D72" s="60"/>
      <c r="E72" s="60"/>
      <c r="F72" s="60"/>
      <c r="G72" s="60"/>
      <c r="H72" s="60"/>
    </row>
    <row r="73" spans="1:8" ht="37.5" x14ac:dyDescent="0.25">
      <c r="A73" s="58" t="s">
        <v>99</v>
      </c>
      <c r="B73" s="59" t="s">
        <v>1169</v>
      </c>
      <c r="C73" s="60"/>
      <c r="D73" s="60"/>
      <c r="E73" s="60"/>
      <c r="F73" s="60"/>
      <c r="G73" s="60"/>
      <c r="H73" s="60"/>
    </row>
    <row r="74" spans="1:8" ht="56.25" x14ac:dyDescent="0.25">
      <c r="A74" s="58" t="s">
        <v>99</v>
      </c>
      <c r="B74" s="59" t="s">
        <v>1170</v>
      </c>
      <c r="C74" s="60"/>
      <c r="D74" s="60"/>
      <c r="E74" s="60"/>
      <c r="F74" s="60"/>
      <c r="G74" s="60"/>
      <c r="H74" s="60"/>
    </row>
    <row r="75" spans="1:8" ht="56.25" x14ac:dyDescent="0.25">
      <c r="A75" s="58" t="s">
        <v>99</v>
      </c>
      <c r="B75" s="59" t="s">
        <v>1171</v>
      </c>
      <c r="C75" s="60"/>
      <c r="D75" s="60"/>
      <c r="E75" s="60"/>
      <c r="F75" s="60"/>
      <c r="G75" s="60"/>
      <c r="H75" s="60"/>
    </row>
    <row r="76" spans="1:8" ht="37.5" x14ac:dyDescent="0.25">
      <c r="A76" s="58" t="s">
        <v>99</v>
      </c>
      <c r="B76" s="59" t="s">
        <v>1172</v>
      </c>
      <c r="C76" s="60"/>
      <c r="D76" s="60"/>
      <c r="E76" s="60"/>
      <c r="F76" s="60"/>
      <c r="G76" s="60"/>
      <c r="H76" s="60"/>
    </row>
    <row r="77" spans="1:8" ht="75" x14ac:dyDescent="0.25">
      <c r="A77" s="58" t="s">
        <v>99</v>
      </c>
      <c r="B77" s="59" t="s">
        <v>1173</v>
      </c>
      <c r="C77" s="60"/>
      <c r="D77" s="60"/>
      <c r="E77" s="60"/>
      <c r="F77" s="60"/>
      <c r="G77" s="60"/>
      <c r="H77" s="60"/>
    </row>
    <row r="78" spans="1:8" ht="37.5" x14ac:dyDescent="0.25">
      <c r="A78" s="58" t="s">
        <v>99</v>
      </c>
      <c r="B78" s="59" t="s">
        <v>1174</v>
      </c>
      <c r="C78" s="60"/>
      <c r="D78" s="60"/>
      <c r="E78" s="60"/>
      <c r="F78" s="60"/>
      <c r="G78" s="60"/>
      <c r="H78" s="60"/>
    </row>
    <row r="79" spans="1:8" x14ac:dyDescent="0.25">
      <c r="A79" s="67"/>
      <c r="B79" s="68"/>
      <c r="C79" s="69"/>
      <c r="D79" s="69"/>
      <c r="E79" s="69"/>
      <c r="F79" s="69"/>
      <c r="G79" s="69"/>
      <c r="H79" s="69"/>
    </row>
    <row r="80" spans="1:8" ht="40.5" customHeight="1" x14ac:dyDescent="0.25">
      <c r="A80" s="70"/>
      <c r="B80" s="567" t="s">
        <v>1177</v>
      </c>
      <c r="C80" s="567"/>
      <c r="D80" s="567"/>
      <c r="E80" s="567"/>
      <c r="F80" s="567"/>
      <c r="G80" s="567"/>
      <c r="H80" s="567"/>
    </row>
    <row r="81" spans="1:8" x14ac:dyDescent="0.25">
      <c r="B81" s="7" t="s">
        <v>1176</v>
      </c>
      <c r="C81" s="7"/>
      <c r="D81" s="7"/>
      <c r="E81" s="7"/>
      <c r="F81" s="7"/>
      <c r="G81" s="7"/>
      <c r="H81" s="7"/>
    </row>
    <row r="83" spans="1:8" x14ac:dyDescent="0.25">
      <c r="A83" s="568" t="s">
        <v>36</v>
      </c>
      <c r="B83" s="568"/>
      <c r="D83" s="568" t="s">
        <v>37</v>
      </c>
      <c r="E83" s="568"/>
      <c r="F83" s="568"/>
      <c r="G83" s="568"/>
      <c r="H83" s="568"/>
    </row>
  </sheetData>
  <mergeCells count="18">
    <mergeCell ref="C21:H21"/>
    <mergeCell ref="A1:H1"/>
    <mergeCell ref="B3:H3"/>
    <mergeCell ref="C6:H6"/>
    <mergeCell ref="C7:H7"/>
    <mergeCell ref="C8:H8"/>
    <mergeCell ref="C9:H9"/>
    <mergeCell ref="C10:H10"/>
    <mergeCell ref="C15:H15"/>
    <mergeCell ref="C17:H17"/>
    <mergeCell ref="C19:H19"/>
    <mergeCell ref="C20:H20"/>
    <mergeCell ref="B80:H80"/>
    <mergeCell ref="A83:B83"/>
    <mergeCell ref="D83:H83"/>
    <mergeCell ref="C22:H22"/>
    <mergeCell ref="C23:H23"/>
    <mergeCell ref="B24:H24"/>
  </mergeCells>
  <printOptions horizontalCentered="1"/>
  <pageMargins left="0.19685039370078741" right="0.19685039370078741" top="0.59055118110236227" bottom="0.59055118110236227" header="0.31496062992125984" footer="0.31496062992125984"/>
  <pageSetup paperSize="9" scale="89" orientation="portrait" r:id="rId1"/>
  <headerFooter>
    <oddFooter>&amp;C&amp;P/&amp;N</oddFooter>
  </headerFooter>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44"/>
  <sheetViews>
    <sheetView zoomScaleNormal="100" workbookViewId="0">
      <selection activeCell="B38" sqref="B38"/>
    </sheetView>
  </sheetViews>
  <sheetFormatPr defaultColWidth="9.140625" defaultRowHeight="18.75" x14ac:dyDescent="0.25"/>
  <cols>
    <col min="1" max="1" width="4.85546875" style="7" customWidth="1"/>
    <col min="2" max="2" width="43.28515625" style="7" customWidth="1"/>
    <col min="3" max="4" width="7.85546875" style="7" customWidth="1"/>
    <col min="5" max="8" width="11.85546875" style="7" customWidth="1"/>
    <col min="9" max="16384" width="9.140625" style="7"/>
  </cols>
  <sheetData>
    <row r="1" spans="1:8" ht="41.25" customHeight="1" x14ac:dyDescent="0.25">
      <c r="A1" s="549" t="s">
        <v>1074</v>
      </c>
      <c r="B1" s="555"/>
      <c r="C1" s="555"/>
      <c r="D1" s="555"/>
      <c r="E1" s="555"/>
      <c r="F1" s="555"/>
      <c r="G1" s="555"/>
      <c r="H1" s="555"/>
    </row>
    <row r="2" spans="1:8" x14ac:dyDescent="0.25">
      <c r="A2" s="6"/>
      <c r="B2" s="6"/>
      <c r="C2" s="6"/>
      <c r="D2" s="1"/>
      <c r="E2" s="1"/>
      <c r="F2" s="1"/>
      <c r="G2" s="1"/>
      <c r="H2" s="1"/>
    </row>
    <row r="3" spans="1:8" ht="40.5" customHeight="1" x14ac:dyDescent="0.25">
      <c r="B3" s="556" t="s">
        <v>1181</v>
      </c>
      <c r="C3" s="556"/>
      <c r="D3" s="556"/>
      <c r="E3" s="556"/>
      <c r="F3" s="556"/>
      <c r="G3" s="556"/>
      <c r="H3" s="556"/>
    </row>
    <row r="4" spans="1:8" x14ac:dyDescent="0.25">
      <c r="B4" s="7" t="s">
        <v>39</v>
      </c>
      <c r="D4" s="8"/>
      <c r="E4" s="8"/>
      <c r="F4" s="8"/>
      <c r="G4" s="8"/>
      <c r="H4" s="8"/>
    </row>
    <row r="5" spans="1:8" s="6" customFormat="1" x14ac:dyDescent="0.25">
      <c r="B5" s="3" t="s">
        <v>18</v>
      </c>
      <c r="F5" s="146"/>
    </row>
    <row r="6" spans="1:8" x14ac:dyDescent="0.25">
      <c r="B6" s="2" t="s">
        <v>23</v>
      </c>
      <c r="C6" s="558" t="s">
        <v>49</v>
      </c>
      <c r="D6" s="558"/>
      <c r="E6" s="558"/>
      <c r="F6" s="558"/>
      <c r="G6" s="558"/>
      <c r="H6" s="558"/>
    </row>
    <row r="7" spans="1:8" x14ac:dyDescent="0.25">
      <c r="A7" s="2"/>
      <c r="B7" s="2" t="s">
        <v>19</v>
      </c>
      <c r="C7" s="558" t="s">
        <v>50</v>
      </c>
      <c r="D7" s="558"/>
      <c r="E7" s="558"/>
      <c r="F7" s="558"/>
      <c r="G7" s="558"/>
      <c r="H7" s="558"/>
    </row>
    <row r="8" spans="1:8" hidden="1" x14ac:dyDescent="0.25">
      <c r="A8" s="2"/>
      <c r="B8" s="2" t="s">
        <v>90</v>
      </c>
      <c r="C8" s="558" t="s">
        <v>60</v>
      </c>
      <c r="D8" s="558"/>
      <c r="E8" s="558"/>
      <c r="F8" s="558"/>
      <c r="G8" s="558"/>
      <c r="H8" s="558"/>
    </row>
    <row r="9" spans="1:8" x14ac:dyDescent="0.25">
      <c r="A9" s="2"/>
      <c r="B9" s="2" t="s">
        <v>59</v>
      </c>
      <c r="C9" s="558" t="s">
        <v>60</v>
      </c>
      <c r="D9" s="558"/>
      <c r="E9" s="558"/>
      <c r="F9" s="558"/>
      <c r="G9" s="558"/>
      <c r="H9" s="558"/>
    </row>
    <row r="10" spans="1:8" x14ac:dyDescent="0.25">
      <c r="A10" s="2"/>
      <c r="B10" s="2" t="s">
        <v>1075</v>
      </c>
      <c r="C10" s="558" t="s">
        <v>88</v>
      </c>
      <c r="D10" s="558"/>
      <c r="E10" s="558"/>
      <c r="F10" s="558"/>
      <c r="G10" s="558"/>
      <c r="H10" s="558"/>
    </row>
    <row r="11" spans="1:8" hidden="1" x14ac:dyDescent="0.25">
      <c r="A11" s="2"/>
      <c r="B11" s="2" t="s">
        <v>94</v>
      </c>
      <c r="C11" s="35" t="s">
        <v>95</v>
      </c>
      <c r="D11" s="35"/>
      <c r="E11" s="35"/>
      <c r="F11" s="338"/>
      <c r="G11" s="35"/>
      <c r="H11" s="35"/>
    </row>
    <row r="12" spans="1:8" x14ac:dyDescent="0.25">
      <c r="A12" s="2"/>
      <c r="B12" s="2"/>
      <c r="C12" s="35"/>
      <c r="D12" s="35"/>
      <c r="E12" s="35"/>
      <c r="F12" s="338"/>
      <c r="G12" s="35"/>
      <c r="H12" s="35"/>
    </row>
    <row r="13" spans="1:8" hidden="1" x14ac:dyDescent="0.25">
      <c r="A13" s="2"/>
      <c r="B13" s="2" t="s">
        <v>21</v>
      </c>
      <c r="C13" s="558"/>
      <c r="D13" s="558"/>
      <c r="E13" s="558"/>
      <c r="F13" s="558"/>
      <c r="G13" s="558"/>
      <c r="H13" s="558"/>
    </row>
    <row r="14" spans="1:8" s="6" customFormat="1" x14ac:dyDescent="0.25">
      <c r="A14" s="3"/>
      <c r="B14" s="3" t="s">
        <v>708</v>
      </c>
      <c r="C14" s="3"/>
      <c r="D14" s="3"/>
      <c r="E14" s="3"/>
      <c r="F14" s="3"/>
      <c r="G14" s="3"/>
      <c r="H14" s="3"/>
    </row>
    <row r="15" spans="1:8" x14ac:dyDescent="0.25">
      <c r="A15" s="2"/>
      <c r="B15" s="2" t="s">
        <v>1180</v>
      </c>
      <c r="C15" s="558" t="s">
        <v>1179</v>
      </c>
      <c r="D15" s="558"/>
      <c r="E15" s="558"/>
      <c r="F15" s="558"/>
      <c r="G15" s="558"/>
      <c r="H15" s="558"/>
    </row>
    <row r="16" spans="1:8" x14ac:dyDescent="0.25">
      <c r="A16" s="2"/>
      <c r="B16" s="2" t="s">
        <v>709</v>
      </c>
      <c r="C16" s="558" t="s">
        <v>108</v>
      </c>
      <c r="D16" s="558"/>
      <c r="E16" s="558"/>
      <c r="F16" s="558"/>
      <c r="G16" s="558"/>
      <c r="H16" s="558"/>
    </row>
    <row r="17" spans="1:8" hidden="1" x14ac:dyDescent="0.25">
      <c r="A17" s="2"/>
      <c r="B17" s="2" t="s">
        <v>20</v>
      </c>
      <c r="C17" s="558" t="s">
        <v>108</v>
      </c>
      <c r="D17" s="558"/>
      <c r="E17" s="558"/>
      <c r="F17" s="558"/>
      <c r="G17" s="558"/>
      <c r="H17" s="558"/>
    </row>
    <row r="18" spans="1:8" hidden="1" x14ac:dyDescent="0.25">
      <c r="A18" s="2"/>
      <c r="B18" s="2" t="s">
        <v>91</v>
      </c>
      <c r="C18" s="558"/>
      <c r="D18" s="558"/>
      <c r="E18" s="558"/>
      <c r="F18" s="558"/>
      <c r="G18" s="558"/>
      <c r="H18" s="558"/>
    </row>
    <row r="19" spans="1:8" hidden="1" x14ac:dyDescent="0.25">
      <c r="A19" s="2"/>
      <c r="B19" s="2" t="s">
        <v>21</v>
      </c>
      <c r="C19" s="558"/>
      <c r="D19" s="558"/>
      <c r="E19" s="558"/>
      <c r="F19" s="558"/>
      <c r="G19" s="558"/>
      <c r="H19" s="558"/>
    </row>
    <row r="20" spans="1:8" hidden="1" x14ac:dyDescent="0.25">
      <c r="A20" s="2"/>
      <c r="B20" s="2" t="s">
        <v>21</v>
      </c>
      <c r="C20" s="558"/>
      <c r="D20" s="558"/>
      <c r="E20" s="558"/>
      <c r="F20" s="558"/>
      <c r="G20" s="558"/>
      <c r="H20" s="558"/>
    </row>
    <row r="21" spans="1:8" hidden="1" x14ac:dyDescent="0.25">
      <c r="A21" s="2"/>
      <c r="B21" s="2" t="s">
        <v>21</v>
      </c>
      <c r="C21" s="558"/>
      <c r="D21" s="558"/>
      <c r="E21" s="558"/>
      <c r="F21" s="558"/>
      <c r="G21" s="558"/>
      <c r="H21" s="558"/>
    </row>
    <row r="22" spans="1:8" ht="39.75" customHeight="1" x14ac:dyDescent="0.25">
      <c r="A22" s="2"/>
      <c r="B22" s="556" t="s">
        <v>1073</v>
      </c>
      <c r="C22" s="556"/>
      <c r="D22" s="556"/>
      <c r="E22" s="556"/>
      <c r="F22" s="556"/>
      <c r="G22" s="556"/>
      <c r="H22" s="556"/>
    </row>
    <row r="23" spans="1:8" x14ac:dyDescent="0.25">
      <c r="A23" s="4"/>
      <c r="H23" s="4" t="s">
        <v>61</v>
      </c>
    </row>
    <row r="24" spans="1:8" s="311" customFormat="1" ht="75" x14ac:dyDescent="0.25">
      <c r="A24" s="312" t="s">
        <v>62</v>
      </c>
      <c r="B24" s="312" t="s">
        <v>2</v>
      </c>
      <c r="C24" s="312" t="s">
        <v>17</v>
      </c>
      <c r="D24" s="315" t="s">
        <v>464</v>
      </c>
      <c r="E24" s="337" t="s">
        <v>1099</v>
      </c>
      <c r="F24" s="336" t="s">
        <v>9</v>
      </c>
      <c r="G24" s="312" t="s">
        <v>461</v>
      </c>
      <c r="H24" s="312" t="s">
        <v>1046</v>
      </c>
    </row>
    <row r="25" spans="1:8" s="6" customFormat="1" x14ac:dyDescent="0.25">
      <c r="A25" s="347"/>
      <c r="B25" s="347" t="s">
        <v>97</v>
      </c>
      <c r="C25" s="32"/>
      <c r="D25" s="32"/>
      <c r="E25" s="32">
        <f>E26+E33</f>
        <v>3233</v>
      </c>
      <c r="F25" s="32">
        <f>F26+F33</f>
        <v>3589</v>
      </c>
      <c r="G25" s="32">
        <f>G26+G33</f>
        <v>3393</v>
      </c>
      <c r="H25" s="32">
        <f>H26+H33</f>
        <v>3472</v>
      </c>
    </row>
    <row r="26" spans="1:8" s="6" customFormat="1" ht="21" customHeight="1" x14ac:dyDescent="0.25">
      <c r="A26" s="9" t="s">
        <v>51</v>
      </c>
      <c r="B26" s="10" t="s">
        <v>1081</v>
      </c>
      <c r="C26" s="20"/>
      <c r="D26" s="20"/>
      <c r="E26" s="20">
        <f>+E27+E31-E32</f>
        <v>3003</v>
      </c>
      <c r="F26" s="20">
        <f>+F27+F31-F32</f>
        <v>3174</v>
      </c>
      <c r="G26" s="20">
        <f>+G27+G31-G32</f>
        <v>3253</v>
      </c>
      <c r="H26" s="20">
        <f>+H27+H31-H32</f>
        <v>3332</v>
      </c>
    </row>
    <row r="27" spans="1:8" ht="56.25" x14ac:dyDescent="0.25">
      <c r="A27" s="11">
        <v>1</v>
      </c>
      <c r="B27" s="12" t="s">
        <v>1185</v>
      </c>
      <c r="C27" s="21"/>
      <c r="D27" s="21"/>
      <c r="E27" s="21">
        <f>50+2499</f>
        <v>2549</v>
      </c>
      <c r="F27" s="21">
        <f>SUM(F28:F30)</f>
        <v>2720</v>
      </c>
      <c r="G27" s="21">
        <f>SUM(G28:G30)</f>
        <v>2799</v>
      </c>
      <c r="H27" s="21">
        <f>SUM(H28:H30)</f>
        <v>2878</v>
      </c>
    </row>
    <row r="28" spans="1:8" x14ac:dyDescent="0.25">
      <c r="A28" s="11"/>
      <c r="B28" s="12" t="s">
        <v>1112</v>
      </c>
      <c r="C28" s="21">
        <v>24</v>
      </c>
      <c r="D28" s="36">
        <v>22</v>
      </c>
      <c r="E28" s="21"/>
      <c r="F28" s="21">
        <v>2383</v>
      </c>
      <c r="G28" s="21">
        <f>ROUND(F28+8*8.8,0)</f>
        <v>2453</v>
      </c>
      <c r="H28" s="21">
        <f>ROUND(G28+8*8.8,0)</f>
        <v>2523</v>
      </c>
    </row>
    <row r="29" spans="1:8" ht="37.5" x14ac:dyDescent="0.25">
      <c r="A29" s="11"/>
      <c r="B29" s="12" t="s">
        <v>1113</v>
      </c>
      <c r="C29" s="21"/>
      <c r="D29" s="36"/>
      <c r="E29" s="21"/>
      <c r="F29" s="21">
        <v>103</v>
      </c>
      <c r="G29" s="21">
        <f>F29</f>
        <v>103</v>
      </c>
      <c r="H29" s="21">
        <f>G29</f>
        <v>103</v>
      </c>
    </row>
    <row r="30" spans="1:8" ht="37.5" x14ac:dyDescent="0.25">
      <c r="A30" s="11"/>
      <c r="B30" s="12" t="s">
        <v>1080</v>
      </c>
      <c r="C30" s="21">
        <v>5</v>
      </c>
      <c r="D30" s="21">
        <v>4</v>
      </c>
      <c r="E30" s="21"/>
      <c r="F30" s="21">
        <v>234</v>
      </c>
      <c r="G30" s="21">
        <f>ROUND(F30+8.8,0)</f>
        <v>243</v>
      </c>
      <c r="H30" s="21">
        <f>ROUND(G30+8.8,0)</f>
        <v>252</v>
      </c>
    </row>
    <row r="31" spans="1:8" ht="37.5" x14ac:dyDescent="0.25">
      <c r="A31" s="11">
        <v>2</v>
      </c>
      <c r="B31" s="12" t="s">
        <v>710</v>
      </c>
      <c r="C31" s="21">
        <v>24</v>
      </c>
      <c r="D31" s="21"/>
      <c r="E31" s="21">
        <f>C31*21</f>
        <v>504</v>
      </c>
      <c r="F31" s="21">
        <f>C31*21</f>
        <v>504</v>
      </c>
      <c r="G31" s="21">
        <f>E31</f>
        <v>504</v>
      </c>
      <c r="H31" s="21">
        <f>G31</f>
        <v>504</v>
      </c>
    </row>
    <row r="32" spans="1:8" ht="37.5" x14ac:dyDescent="0.25">
      <c r="A32" s="11">
        <v>3</v>
      </c>
      <c r="B32" s="12" t="s">
        <v>103</v>
      </c>
      <c r="C32" s="21"/>
      <c r="D32" s="21"/>
      <c r="E32" s="21">
        <v>50</v>
      </c>
      <c r="F32" s="21">
        <v>50</v>
      </c>
      <c r="G32" s="21">
        <f>E32</f>
        <v>50</v>
      </c>
      <c r="H32" s="21">
        <f>G32</f>
        <v>50</v>
      </c>
    </row>
    <row r="33" spans="1:8" s="6" customFormat="1" x14ac:dyDescent="0.25">
      <c r="A33" s="13" t="s">
        <v>52</v>
      </c>
      <c r="B33" s="14" t="s">
        <v>98</v>
      </c>
      <c r="C33" s="22"/>
      <c r="D33" s="22"/>
      <c r="E33" s="22">
        <f>SUM(E34:E39)</f>
        <v>230</v>
      </c>
      <c r="F33" s="22">
        <f>SUM(F34:F39)</f>
        <v>415</v>
      </c>
      <c r="G33" s="22">
        <f t="shared" ref="G33:H33" si="0">SUM(G34:G39)</f>
        <v>140</v>
      </c>
      <c r="H33" s="22">
        <f t="shared" si="0"/>
        <v>140</v>
      </c>
    </row>
    <row r="34" spans="1:8" x14ac:dyDescent="0.25">
      <c r="A34" s="11" t="s">
        <v>99</v>
      </c>
      <c r="B34" s="12" t="s">
        <v>482</v>
      </c>
      <c r="C34" s="21"/>
      <c r="D34" s="21"/>
      <c r="E34" s="21">
        <v>15</v>
      </c>
      <c r="F34" s="21">
        <f>E34</f>
        <v>15</v>
      </c>
      <c r="G34" s="21">
        <f>E34</f>
        <v>15</v>
      </c>
      <c r="H34" s="21">
        <f>G34</f>
        <v>15</v>
      </c>
    </row>
    <row r="35" spans="1:8" x14ac:dyDescent="0.25">
      <c r="A35" s="11" t="s">
        <v>99</v>
      </c>
      <c r="B35" s="12" t="s">
        <v>1155</v>
      </c>
      <c r="C35" s="21"/>
      <c r="D35" s="21"/>
      <c r="E35" s="21">
        <v>25</v>
      </c>
      <c r="F35" s="21">
        <f>E35+15</f>
        <v>40</v>
      </c>
      <c r="G35" s="21">
        <f>E35</f>
        <v>25</v>
      </c>
      <c r="H35" s="21">
        <f>G35</f>
        <v>25</v>
      </c>
    </row>
    <row r="36" spans="1:8" ht="75" x14ac:dyDescent="0.25">
      <c r="A36" s="11" t="s">
        <v>99</v>
      </c>
      <c r="B36" s="59" t="s">
        <v>1184</v>
      </c>
      <c r="C36" s="21"/>
      <c r="D36" s="21"/>
      <c r="E36" s="21">
        <f>50+30+20</f>
        <v>100</v>
      </c>
      <c r="F36" s="21">
        <v>200</v>
      </c>
      <c r="G36" s="21">
        <f>E36</f>
        <v>100</v>
      </c>
      <c r="H36" s="21">
        <f>G36</f>
        <v>100</v>
      </c>
    </row>
    <row r="37" spans="1:8" ht="37.5" x14ac:dyDescent="0.25">
      <c r="A37" s="11" t="s">
        <v>99</v>
      </c>
      <c r="B37" s="59" t="s">
        <v>711</v>
      </c>
      <c r="C37" s="21"/>
      <c r="D37" s="21"/>
      <c r="E37" s="21">
        <f>60+20+10</f>
        <v>90</v>
      </c>
      <c r="F37" s="21"/>
      <c r="G37" s="21"/>
      <c r="H37" s="21"/>
    </row>
    <row r="38" spans="1:8" x14ac:dyDescent="0.25">
      <c r="A38" s="11" t="s">
        <v>99</v>
      </c>
      <c r="B38" s="59" t="s">
        <v>1182</v>
      </c>
      <c r="C38" s="21"/>
      <c r="D38" s="21"/>
      <c r="E38" s="21"/>
      <c r="F38" s="21">
        <v>60</v>
      </c>
      <c r="G38" s="21"/>
      <c r="H38" s="21"/>
    </row>
    <row r="39" spans="1:8" x14ac:dyDescent="0.25">
      <c r="A39" s="11" t="s">
        <v>99</v>
      </c>
      <c r="B39" s="12" t="s">
        <v>520</v>
      </c>
      <c r="C39" s="21"/>
      <c r="D39" s="21"/>
      <c r="E39" s="21"/>
      <c r="F39" s="21">
        <v>100</v>
      </c>
      <c r="G39" s="21"/>
      <c r="H39" s="21"/>
    </row>
    <row r="40" spans="1:8" x14ac:dyDescent="0.25">
      <c r="A40" s="15"/>
      <c r="B40" s="16"/>
      <c r="C40" s="23"/>
      <c r="D40" s="23"/>
      <c r="E40" s="23"/>
      <c r="F40" s="23"/>
      <c r="G40" s="23"/>
      <c r="H40" s="23"/>
    </row>
    <row r="41" spans="1:8" ht="40.5" customHeight="1" x14ac:dyDescent="0.25">
      <c r="A41" s="30"/>
      <c r="B41" s="567" t="s">
        <v>1183</v>
      </c>
      <c r="C41" s="567"/>
      <c r="D41" s="567"/>
      <c r="E41" s="567"/>
      <c r="F41" s="567"/>
      <c r="G41" s="567"/>
      <c r="H41" s="567"/>
    </row>
    <row r="42" spans="1:8" x14ac:dyDescent="0.25">
      <c r="A42" s="2"/>
      <c r="B42" s="7" t="s">
        <v>492</v>
      </c>
    </row>
    <row r="43" spans="1:8" x14ac:dyDescent="0.25">
      <c r="A43" s="2"/>
    </row>
    <row r="44" spans="1:8" x14ac:dyDescent="0.25">
      <c r="A44" s="550" t="s">
        <v>36</v>
      </c>
      <c r="B44" s="550"/>
      <c r="D44" s="550" t="s">
        <v>37</v>
      </c>
      <c r="E44" s="550"/>
      <c r="F44" s="550"/>
      <c r="G44" s="550"/>
      <c r="H44" s="550"/>
    </row>
  </sheetData>
  <mergeCells count="19">
    <mergeCell ref="C19:H19"/>
    <mergeCell ref="A1:H1"/>
    <mergeCell ref="B3:H3"/>
    <mergeCell ref="C6:H6"/>
    <mergeCell ref="C7:H7"/>
    <mergeCell ref="C8:H8"/>
    <mergeCell ref="C9:H9"/>
    <mergeCell ref="C10:H10"/>
    <mergeCell ref="C13:H13"/>
    <mergeCell ref="C15:H15"/>
    <mergeCell ref="C17:H17"/>
    <mergeCell ref="C18:H18"/>
    <mergeCell ref="C16:H16"/>
    <mergeCell ref="B41:H41"/>
    <mergeCell ref="A44:B44"/>
    <mergeCell ref="D44:H44"/>
    <mergeCell ref="C20:H20"/>
    <mergeCell ref="C21:H21"/>
    <mergeCell ref="B22:H22"/>
  </mergeCells>
  <printOptions horizontalCentered="1"/>
  <pageMargins left="0.19685039370078741" right="0.19685039370078741" top="0.59055118110236227" bottom="0.59055118110236227" header="0.31496062992125984" footer="0.31496062992125984"/>
  <pageSetup paperSize="9" scale="89" orientation="portrait" r:id="rId1"/>
  <headerFooter>
    <oddFooter>&amp;C&amp;P/&amp;N</oddFoot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H83"/>
  <sheetViews>
    <sheetView zoomScaleNormal="100" workbookViewId="0">
      <selection activeCell="F62" sqref="F62"/>
    </sheetView>
  </sheetViews>
  <sheetFormatPr defaultColWidth="9.140625" defaultRowHeight="18.75" x14ac:dyDescent="0.25"/>
  <cols>
    <col min="1" max="1" width="4.85546875" style="49" customWidth="1"/>
    <col min="2" max="2" width="43.28515625" style="49" customWidth="1"/>
    <col min="3" max="4" width="7.85546875" style="49" customWidth="1"/>
    <col min="5" max="5" width="11.7109375" style="49" customWidth="1"/>
    <col min="6" max="6" width="11.7109375" style="434" customWidth="1"/>
    <col min="7" max="8" width="11.7109375" style="49" customWidth="1"/>
    <col min="9" max="16384" width="9.140625" style="49"/>
  </cols>
  <sheetData>
    <row r="1" spans="1:8" ht="41.25" customHeight="1" x14ac:dyDescent="0.25">
      <c r="A1" s="569" t="s">
        <v>1074</v>
      </c>
      <c r="B1" s="570"/>
      <c r="C1" s="570"/>
      <c r="D1" s="570"/>
      <c r="E1" s="570"/>
      <c r="F1" s="570"/>
      <c r="G1" s="570"/>
      <c r="H1" s="570"/>
    </row>
    <row r="2" spans="1:8" x14ac:dyDescent="0.25">
      <c r="A2" s="50"/>
      <c r="B2" s="50"/>
      <c r="C2" s="50"/>
      <c r="D2" s="51"/>
      <c r="E2" s="51"/>
      <c r="F2" s="51"/>
      <c r="G2" s="51"/>
      <c r="H2" s="51"/>
    </row>
    <row r="3" spans="1:8" ht="40.5" customHeight="1" x14ac:dyDescent="0.25">
      <c r="B3" s="565" t="s">
        <v>1186</v>
      </c>
      <c r="C3" s="565"/>
      <c r="D3" s="565"/>
      <c r="E3" s="565"/>
      <c r="F3" s="565"/>
      <c r="G3" s="565"/>
      <c r="H3" s="565"/>
    </row>
    <row r="4" spans="1:8" x14ac:dyDescent="0.25">
      <c r="B4" s="49" t="s">
        <v>39</v>
      </c>
      <c r="D4" s="52"/>
      <c r="E4" s="52"/>
      <c r="F4" s="52"/>
      <c r="G4" s="52"/>
      <c r="H4" s="52"/>
    </row>
    <row r="5" spans="1:8" s="50" customFormat="1" x14ac:dyDescent="0.25">
      <c r="B5" s="50" t="s">
        <v>18</v>
      </c>
    </row>
    <row r="6" spans="1:8" x14ac:dyDescent="0.25">
      <c r="B6" s="49" t="s">
        <v>23</v>
      </c>
      <c r="C6" s="566" t="s">
        <v>49</v>
      </c>
      <c r="D6" s="566"/>
      <c r="E6" s="566"/>
      <c r="F6" s="566"/>
      <c r="G6" s="566"/>
      <c r="H6" s="566"/>
    </row>
    <row r="7" spans="1:8" x14ac:dyDescent="0.25">
      <c r="B7" s="49" t="s">
        <v>19</v>
      </c>
      <c r="C7" s="566" t="s">
        <v>50</v>
      </c>
      <c r="D7" s="566"/>
      <c r="E7" s="566"/>
      <c r="F7" s="566"/>
      <c r="G7" s="566"/>
      <c r="H7" s="566"/>
    </row>
    <row r="8" spans="1:8" hidden="1" x14ac:dyDescent="0.25">
      <c r="B8" s="49" t="s">
        <v>90</v>
      </c>
      <c r="C8" s="566" t="s">
        <v>60</v>
      </c>
      <c r="D8" s="566"/>
      <c r="E8" s="566"/>
      <c r="F8" s="566"/>
      <c r="G8" s="566"/>
      <c r="H8" s="566"/>
    </row>
    <row r="9" spans="1:8" x14ac:dyDescent="0.25">
      <c r="B9" s="49" t="s">
        <v>59</v>
      </c>
      <c r="C9" s="566" t="s">
        <v>60</v>
      </c>
      <c r="D9" s="566"/>
      <c r="E9" s="566"/>
      <c r="F9" s="566"/>
      <c r="G9" s="566"/>
      <c r="H9" s="566"/>
    </row>
    <row r="10" spans="1:8" hidden="1" x14ac:dyDescent="0.25">
      <c r="B10" s="49" t="s">
        <v>20</v>
      </c>
      <c r="C10" s="566" t="s">
        <v>86</v>
      </c>
      <c r="D10" s="566"/>
      <c r="E10" s="566"/>
      <c r="F10" s="566"/>
      <c r="G10" s="566"/>
      <c r="H10" s="566"/>
    </row>
    <row r="11" spans="1:8" hidden="1" x14ac:dyDescent="0.25">
      <c r="B11" s="49" t="s">
        <v>21</v>
      </c>
      <c r="C11" s="91" t="s">
        <v>87</v>
      </c>
      <c r="D11" s="91"/>
      <c r="E11" s="91"/>
      <c r="F11" s="466"/>
      <c r="G11" s="91"/>
      <c r="H11" s="91"/>
    </row>
    <row r="12" spans="1:8" x14ac:dyDescent="0.25">
      <c r="B12" s="49" t="s">
        <v>213</v>
      </c>
      <c r="C12" s="91" t="s">
        <v>88</v>
      </c>
      <c r="D12" s="91"/>
      <c r="E12" s="91"/>
      <c r="F12" s="466"/>
      <c r="G12" s="91"/>
      <c r="H12" s="91"/>
    </row>
    <row r="13" spans="1:8" x14ac:dyDescent="0.25">
      <c r="B13" s="49" t="s">
        <v>94</v>
      </c>
      <c r="C13" s="91" t="s">
        <v>95</v>
      </c>
      <c r="D13" s="91"/>
      <c r="E13" s="91"/>
      <c r="F13" s="466"/>
      <c r="G13" s="91"/>
      <c r="H13" s="91"/>
    </row>
    <row r="14" spans="1:8" x14ac:dyDescent="0.25">
      <c r="C14" s="91"/>
      <c r="D14" s="91"/>
      <c r="E14" s="91"/>
      <c r="F14" s="466"/>
      <c r="G14" s="91"/>
      <c r="H14" s="91"/>
    </row>
    <row r="15" spans="1:8" hidden="1" x14ac:dyDescent="0.25">
      <c r="B15" s="49" t="s">
        <v>21</v>
      </c>
      <c r="C15" s="566"/>
      <c r="D15" s="566"/>
      <c r="E15" s="566"/>
      <c r="F15" s="566"/>
      <c r="G15" s="566"/>
      <c r="H15" s="566"/>
    </row>
    <row r="16" spans="1:8" s="50" customFormat="1" x14ac:dyDescent="0.25">
      <c r="B16" s="50" t="s">
        <v>173</v>
      </c>
    </row>
    <row r="17" spans="1:8" x14ac:dyDescent="0.25">
      <c r="B17" s="49" t="s">
        <v>1187</v>
      </c>
      <c r="C17" s="566" t="s">
        <v>131</v>
      </c>
      <c r="D17" s="566"/>
      <c r="E17" s="566"/>
      <c r="F17" s="566"/>
      <c r="G17" s="566"/>
      <c r="H17" s="566"/>
    </row>
    <row r="18" spans="1:8" hidden="1" x14ac:dyDescent="0.25">
      <c r="B18" s="49" t="s">
        <v>20</v>
      </c>
      <c r="C18" s="91"/>
      <c r="D18" s="91"/>
      <c r="E18" s="91"/>
      <c r="F18" s="466"/>
      <c r="G18" s="91"/>
      <c r="H18" s="91"/>
    </row>
    <row r="19" spans="1:8" x14ac:dyDescent="0.25">
      <c r="B19" s="49" t="s">
        <v>165</v>
      </c>
      <c r="C19" s="566" t="s">
        <v>108</v>
      </c>
      <c r="D19" s="566"/>
      <c r="E19" s="566"/>
      <c r="F19" s="566"/>
      <c r="G19" s="566"/>
      <c r="H19" s="566"/>
    </row>
    <row r="20" spans="1:8" hidden="1" x14ac:dyDescent="0.25">
      <c r="B20" s="49" t="s">
        <v>20</v>
      </c>
      <c r="C20" s="566"/>
      <c r="D20" s="566"/>
      <c r="E20" s="566"/>
      <c r="F20" s="566"/>
      <c r="G20" s="566"/>
      <c r="H20" s="566"/>
    </row>
    <row r="21" spans="1:8" hidden="1" x14ac:dyDescent="0.25">
      <c r="B21" s="49" t="s">
        <v>21</v>
      </c>
      <c r="C21" s="566"/>
      <c r="D21" s="566"/>
      <c r="E21" s="566"/>
      <c r="F21" s="566"/>
      <c r="G21" s="566"/>
      <c r="H21" s="566"/>
    </row>
    <row r="22" spans="1:8" hidden="1" x14ac:dyDescent="0.25">
      <c r="B22" s="49" t="s">
        <v>21</v>
      </c>
      <c r="C22" s="566"/>
      <c r="D22" s="566"/>
      <c r="E22" s="566"/>
      <c r="F22" s="566"/>
      <c r="G22" s="566"/>
      <c r="H22" s="566"/>
    </row>
    <row r="23" spans="1:8" hidden="1" x14ac:dyDescent="0.25">
      <c r="B23" s="49" t="s">
        <v>21</v>
      </c>
      <c r="C23" s="566"/>
      <c r="D23" s="566"/>
      <c r="E23" s="566"/>
      <c r="F23" s="566"/>
      <c r="G23" s="566"/>
      <c r="H23" s="566"/>
    </row>
    <row r="24" spans="1:8" ht="39.75" customHeight="1" x14ac:dyDescent="0.25">
      <c r="B24" s="556" t="s">
        <v>1073</v>
      </c>
      <c r="C24" s="556"/>
      <c r="D24" s="556"/>
      <c r="E24" s="556"/>
      <c r="F24" s="556"/>
      <c r="G24" s="556"/>
      <c r="H24" s="556"/>
    </row>
    <row r="25" spans="1:8" x14ac:dyDescent="0.25">
      <c r="A25" s="54"/>
      <c r="H25" s="54" t="s">
        <v>61</v>
      </c>
    </row>
    <row r="26" spans="1:8" s="339" customFormat="1" ht="75" x14ac:dyDescent="0.25">
      <c r="A26" s="340" t="s">
        <v>62</v>
      </c>
      <c r="B26" s="340" t="s">
        <v>2</v>
      </c>
      <c r="C26" s="336" t="s">
        <v>17</v>
      </c>
      <c r="D26" s="340" t="s">
        <v>464</v>
      </c>
      <c r="E26" s="337" t="s">
        <v>1099</v>
      </c>
      <c r="F26" s="468" t="s">
        <v>9</v>
      </c>
      <c r="G26" s="336" t="s">
        <v>461</v>
      </c>
      <c r="H26" s="341" t="s">
        <v>1046</v>
      </c>
    </row>
    <row r="27" spans="1:8" s="50" customFormat="1" x14ac:dyDescent="0.25">
      <c r="A27" s="349"/>
      <c r="B27" s="349" t="s">
        <v>97</v>
      </c>
      <c r="C27" s="57"/>
      <c r="D27" s="57"/>
      <c r="E27" s="57">
        <f>E28+E32</f>
        <v>4232</v>
      </c>
      <c r="F27" s="57">
        <f>F28+F32</f>
        <v>4678</v>
      </c>
      <c r="G27" s="57">
        <f>G28+G32</f>
        <v>3716</v>
      </c>
      <c r="H27" s="57">
        <f>H28+H32</f>
        <v>3630</v>
      </c>
    </row>
    <row r="28" spans="1:8" s="50" customFormat="1" ht="21" customHeight="1" x14ac:dyDescent="0.25">
      <c r="A28" s="96" t="s">
        <v>51</v>
      </c>
      <c r="B28" s="97" t="s">
        <v>1081</v>
      </c>
      <c r="C28" s="98"/>
      <c r="D28" s="98"/>
      <c r="E28" s="98">
        <f>+E29+E30-E31</f>
        <v>3130</v>
      </c>
      <c r="F28" s="98">
        <f>+F29+F30-F31</f>
        <v>3208</v>
      </c>
      <c r="G28" s="98">
        <f>+G29+G30-G31</f>
        <v>3301</v>
      </c>
      <c r="H28" s="98">
        <f>+H29+H30-H31</f>
        <v>3375</v>
      </c>
    </row>
    <row r="29" spans="1:8" ht="37.5" x14ac:dyDescent="0.25">
      <c r="A29" s="58">
        <v>1</v>
      </c>
      <c r="B29" s="59" t="s">
        <v>1082</v>
      </c>
      <c r="C29" s="60">
        <v>21</v>
      </c>
      <c r="D29" s="60">
        <v>21</v>
      </c>
      <c r="E29" s="60">
        <v>2714</v>
      </c>
      <c r="F29" s="439">
        <f>56+2755</f>
        <v>2811</v>
      </c>
      <c r="G29" s="60">
        <f>ROUND(F29+10.5*7,0)</f>
        <v>2885</v>
      </c>
      <c r="H29" s="60">
        <f>ROUND(G29+10.5*7,0)</f>
        <v>2959</v>
      </c>
    </row>
    <row r="30" spans="1:8" ht="37.5" x14ac:dyDescent="0.25">
      <c r="A30" s="58">
        <v>2</v>
      </c>
      <c r="B30" s="59" t="s">
        <v>174</v>
      </c>
      <c r="C30" s="60">
        <v>21</v>
      </c>
      <c r="D30" s="60"/>
      <c r="E30" s="60">
        <v>462</v>
      </c>
      <c r="F30" s="439">
        <f>+C30*21</f>
        <v>441</v>
      </c>
      <c r="G30" s="60">
        <f>E30</f>
        <v>462</v>
      </c>
      <c r="H30" s="60">
        <f>G30</f>
        <v>462</v>
      </c>
    </row>
    <row r="31" spans="1:8" ht="37.5" x14ac:dyDescent="0.25">
      <c r="A31" s="58">
        <v>3</v>
      </c>
      <c r="B31" s="59" t="s">
        <v>103</v>
      </c>
      <c r="C31" s="60"/>
      <c r="D31" s="60"/>
      <c r="E31" s="60">
        <v>46</v>
      </c>
      <c r="F31" s="439">
        <v>44</v>
      </c>
      <c r="G31" s="60">
        <f>E31</f>
        <v>46</v>
      </c>
      <c r="H31" s="60">
        <f>G31</f>
        <v>46</v>
      </c>
    </row>
    <row r="32" spans="1:8" s="50" customFormat="1" x14ac:dyDescent="0.25">
      <c r="A32" s="62" t="s">
        <v>52</v>
      </c>
      <c r="B32" s="63" t="s">
        <v>98</v>
      </c>
      <c r="C32" s="64"/>
      <c r="D32" s="64"/>
      <c r="E32" s="64">
        <f>E33+E63+E65+E68</f>
        <v>1102</v>
      </c>
      <c r="F32" s="443">
        <f>F33+F63+F65+F68</f>
        <v>1470</v>
      </c>
      <c r="G32" s="64">
        <f>G33+G63+G65+G68</f>
        <v>415</v>
      </c>
      <c r="H32" s="64">
        <f>H33+H63+H65+H68</f>
        <v>255</v>
      </c>
    </row>
    <row r="33" spans="1:8" s="50" customFormat="1" x14ac:dyDescent="0.25">
      <c r="A33" s="62">
        <v>1</v>
      </c>
      <c r="B33" s="63" t="s">
        <v>81</v>
      </c>
      <c r="C33" s="64"/>
      <c r="D33" s="64"/>
      <c r="E33" s="443">
        <f>SUM(E34:E62)</f>
        <v>620</v>
      </c>
      <c r="F33" s="443">
        <f>SUM(F34:F62)</f>
        <v>870</v>
      </c>
      <c r="G33" s="443">
        <f t="shared" ref="G33:H33" si="0">SUM(G34:G62)</f>
        <v>0</v>
      </c>
      <c r="H33" s="443">
        <f t="shared" si="0"/>
        <v>0</v>
      </c>
    </row>
    <row r="34" spans="1:8" x14ac:dyDescent="0.25">
      <c r="A34" s="58" t="s">
        <v>99</v>
      </c>
      <c r="B34" s="59" t="s">
        <v>1188</v>
      </c>
      <c r="C34" s="60"/>
      <c r="D34" s="60"/>
      <c r="E34" s="213">
        <v>14</v>
      </c>
      <c r="F34" s="121">
        <f>E34+10</f>
        <v>24</v>
      </c>
      <c r="G34" s="213"/>
      <c r="H34" s="213"/>
    </row>
    <row r="35" spans="1:8" x14ac:dyDescent="0.25">
      <c r="A35" s="58" t="s">
        <v>99</v>
      </c>
      <c r="B35" s="59" t="s">
        <v>450</v>
      </c>
      <c r="C35" s="60"/>
      <c r="D35" s="60"/>
      <c r="E35" s="213">
        <v>103</v>
      </c>
      <c r="F35" s="121">
        <v>100</v>
      </c>
      <c r="G35" s="213"/>
      <c r="H35" s="213"/>
    </row>
    <row r="36" spans="1:8" ht="56.25" x14ac:dyDescent="0.25">
      <c r="A36" s="58" t="s">
        <v>99</v>
      </c>
      <c r="B36" s="59" t="s">
        <v>1189</v>
      </c>
      <c r="C36" s="60"/>
      <c r="D36" s="60"/>
      <c r="E36" s="213"/>
      <c r="F36" s="121">
        <v>40</v>
      </c>
      <c r="G36" s="213"/>
      <c r="H36" s="213"/>
    </row>
    <row r="37" spans="1:8" ht="56.25" x14ac:dyDescent="0.25">
      <c r="A37" s="58" t="s">
        <v>99</v>
      </c>
      <c r="B37" s="59" t="s">
        <v>1190</v>
      </c>
      <c r="C37" s="60"/>
      <c r="D37" s="60"/>
      <c r="E37" s="213"/>
      <c r="F37" s="121">
        <v>100</v>
      </c>
      <c r="G37" s="213"/>
      <c r="H37" s="213"/>
    </row>
    <row r="38" spans="1:8" x14ac:dyDescent="0.25">
      <c r="A38" s="58" t="s">
        <v>99</v>
      </c>
      <c r="B38" s="59" t="s">
        <v>1613</v>
      </c>
      <c r="C38" s="60"/>
      <c r="D38" s="60"/>
      <c r="E38" s="213"/>
      <c r="F38" s="121">
        <v>55</v>
      </c>
      <c r="G38" s="213"/>
      <c r="H38" s="213"/>
    </row>
    <row r="39" spans="1:8" ht="75" x14ac:dyDescent="0.25">
      <c r="A39" s="58" t="s">
        <v>99</v>
      </c>
      <c r="B39" s="59" t="s">
        <v>1191</v>
      </c>
      <c r="C39" s="60"/>
      <c r="D39" s="60"/>
      <c r="E39" s="213"/>
      <c r="F39" s="121">
        <v>45</v>
      </c>
      <c r="G39" s="213"/>
      <c r="H39" s="213"/>
    </row>
    <row r="40" spans="1:8" ht="37.5" x14ac:dyDescent="0.25">
      <c r="A40" s="58" t="s">
        <v>99</v>
      </c>
      <c r="B40" s="59" t="s">
        <v>1194</v>
      </c>
      <c r="C40" s="60"/>
      <c r="D40" s="60"/>
      <c r="E40" s="213"/>
      <c r="F40" s="121">
        <v>34</v>
      </c>
      <c r="G40" s="213"/>
      <c r="H40" s="213"/>
    </row>
    <row r="41" spans="1:8" ht="37.5" x14ac:dyDescent="0.25">
      <c r="A41" s="58" t="s">
        <v>99</v>
      </c>
      <c r="B41" s="59" t="s">
        <v>1195</v>
      </c>
      <c r="C41" s="60"/>
      <c r="D41" s="60"/>
      <c r="E41" s="213"/>
      <c r="F41" s="439"/>
      <c r="G41" s="213"/>
      <c r="H41" s="213"/>
    </row>
    <row r="42" spans="1:8" ht="37.5" x14ac:dyDescent="0.25">
      <c r="A42" s="58" t="s">
        <v>99</v>
      </c>
      <c r="B42" s="59" t="s">
        <v>1196</v>
      </c>
      <c r="C42" s="60"/>
      <c r="D42" s="60"/>
      <c r="E42" s="213"/>
      <c r="F42" s="121">
        <v>43</v>
      </c>
      <c r="G42" s="213"/>
      <c r="H42" s="213"/>
    </row>
    <row r="43" spans="1:8" ht="37.5" x14ac:dyDescent="0.25">
      <c r="A43" s="58" t="s">
        <v>99</v>
      </c>
      <c r="B43" s="59" t="s">
        <v>1197</v>
      </c>
      <c r="C43" s="60"/>
      <c r="D43" s="60"/>
      <c r="E43" s="213"/>
      <c r="F43" s="439"/>
      <c r="G43" s="213"/>
      <c r="H43" s="213"/>
    </row>
    <row r="44" spans="1:8" s="434" customFormat="1" ht="37.5" x14ac:dyDescent="0.25">
      <c r="A44" s="437"/>
      <c r="B44" s="438" t="s">
        <v>1612</v>
      </c>
      <c r="C44" s="439"/>
      <c r="D44" s="439"/>
      <c r="E44" s="213"/>
      <c r="F44" s="121">
        <v>47</v>
      </c>
      <c r="G44" s="213"/>
      <c r="H44" s="213"/>
    </row>
    <row r="45" spans="1:8" x14ac:dyDescent="0.3">
      <c r="A45" s="58" t="s">
        <v>99</v>
      </c>
      <c r="B45" s="65" t="s">
        <v>635</v>
      </c>
      <c r="C45" s="60"/>
      <c r="D45" s="60"/>
      <c r="E45" s="213">
        <v>49</v>
      </c>
      <c r="F45" s="439"/>
      <c r="G45" s="213"/>
      <c r="H45" s="213"/>
    </row>
    <row r="46" spans="1:8" ht="56.25" x14ac:dyDescent="0.25">
      <c r="A46" s="58" t="s">
        <v>99</v>
      </c>
      <c r="B46" s="59" t="s">
        <v>636</v>
      </c>
      <c r="C46" s="60"/>
      <c r="D46" s="60"/>
      <c r="E46" s="213">
        <v>78</v>
      </c>
      <c r="F46" s="439"/>
      <c r="G46" s="213"/>
      <c r="H46" s="213"/>
    </row>
    <row r="47" spans="1:8" ht="75" x14ac:dyDescent="0.25">
      <c r="A47" s="58" t="s">
        <v>99</v>
      </c>
      <c r="B47" s="59" t="s">
        <v>640</v>
      </c>
      <c r="C47" s="60"/>
      <c r="D47" s="60"/>
      <c r="E47" s="213">
        <v>50</v>
      </c>
      <c r="F47" s="439"/>
      <c r="G47" s="213"/>
      <c r="H47" s="213"/>
    </row>
    <row r="48" spans="1:8" ht="93.75" x14ac:dyDescent="0.25">
      <c r="A48" s="58" t="s">
        <v>99</v>
      </c>
      <c r="B48" s="59" t="s">
        <v>1192</v>
      </c>
      <c r="C48" s="60"/>
      <c r="D48" s="60"/>
      <c r="E48" s="213"/>
      <c r="F48" s="439"/>
      <c r="G48" s="213"/>
      <c r="H48" s="213"/>
    </row>
    <row r="49" spans="1:8" ht="56.25" x14ac:dyDescent="0.25">
      <c r="A49" s="58" t="s">
        <v>99</v>
      </c>
      <c r="B49" s="59" t="s">
        <v>1193</v>
      </c>
      <c r="C49" s="60"/>
      <c r="D49" s="60"/>
      <c r="E49" s="213"/>
      <c r="F49" s="439">
        <v>38</v>
      </c>
      <c r="G49" s="213"/>
      <c r="H49" s="213"/>
    </row>
    <row r="50" spans="1:8" ht="37.5" x14ac:dyDescent="0.25">
      <c r="A50" s="58" t="s">
        <v>99</v>
      </c>
      <c r="B50" s="59" t="s">
        <v>1198</v>
      </c>
      <c r="C50" s="60"/>
      <c r="D50" s="60"/>
      <c r="E50" s="213"/>
      <c r="F50" s="439"/>
      <c r="G50" s="213"/>
      <c r="H50" s="213"/>
    </row>
    <row r="51" spans="1:8" ht="37.5" x14ac:dyDescent="0.25">
      <c r="A51" s="58" t="s">
        <v>99</v>
      </c>
      <c r="B51" s="59" t="s">
        <v>171</v>
      </c>
      <c r="C51" s="60"/>
      <c r="D51" s="60"/>
      <c r="E51" s="213">
        <v>100</v>
      </c>
      <c r="F51" s="439">
        <v>100</v>
      </c>
      <c r="G51" s="213"/>
      <c r="H51" s="213"/>
    </row>
    <row r="52" spans="1:8" ht="37.5" x14ac:dyDescent="0.25">
      <c r="A52" s="58" t="s">
        <v>99</v>
      </c>
      <c r="B52" s="59" t="s">
        <v>645</v>
      </c>
      <c r="C52" s="60"/>
      <c r="D52" s="60"/>
      <c r="E52" s="213">
        <v>64</v>
      </c>
      <c r="F52" s="439">
        <v>64</v>
      </c>
      <c r="G52" s="213"/>
      <c r="H52" s="213"/>
    </row>
    <row r="53" spans="1:8" x14ac:dyDescent="0.25">
      <c r="A53" s="58" t="s">
        <v>99</v>
      </c>
      <c r="B53" s="59" t="s">
        <v>638</v>
      </c>
      <c r="C53" s="60"/>
      <c r="D53" s="60"/>
      <c r="E53" s="213">
        <v>30</v>
      </c>
      <c r="F53" s="439">
        <v>30</v>
      </c>
      <c r="G53" s="213"/>
      <c r="H53" s="213"/>
    </row>
    <row r="54" spans="1:8" ht="93.75" hidden="1" x14ac:dyDescent="0.25">
      <c r="A54" s="58" t="s">
        <v>99</v>
      </c>
      <c r="B54" s="59" t="s">
        <v>280</v>
      </c>
      <c r="C54" s="60"/>
      <c r="D54" s="60"/>
      <c r="E54" s="213"/>
      <c r="F54" s="439"/>
      <c r="G54" s="213"/>
      <c r="H54" s="213"/>
    </row>
    <row r="55" spans="1:8" ht="56.25" hidden="1" x14ac:dyDescent="0.25">
      <c r="A55" s="58" t="s">
        <v>99</v>
      </c>
      <c r="B55" s="59" t="s">
        <v>166</v>
      </c>
      <c r="C55" s="60"/>
      <c r="D55" s="60"/>
      <c r="E55" s="213"/>
      <c r="F55" s="439"/>
      <c r="G55" s="213"/>
      <c r="H55" s="213"/>
    </row>
    <row r="56" spans="1:8" hidden="1" x14ac:dyDescent="0.25">
      <c r="A56" s="227"/>
      <c r="B56" s="227"/>
      <c r="C56" s="227"/>
      <c r="D56" s="227"/>
      <c r="E56" s="354"/>
      <c r="F56" s="227"/>
      <c r="G56" s="354"/>
      <c r="H56" s="354"/>
    </row>
    <row r="57" spans="1:8" ht="37.5" hidden="1" x14ac:dyDescent="0.25">
      <c r="A57" s="58" t="s">
        <v>99</v>
      </c>
      <c r="B57" s="59" t="s">
        <v>167</v>
      </c>
      <c r="C57" s="60"/>
      <c r="D57" s="60"/>
      <c r="E57" s="213"/>
      <c r="F57" s="439"/>
      <c r="G57" s="213"/>
      <c r="H57" s="213"/>
    </row>
    <row r="58" spans="1:8" hidden="1" x14ac:dyDescent="0.25">
      <c r="A58" s="58" t="s">
        <v>99</v>
      </c>
      <c r="B58" s="59" t="s">
        <v>169</v>
      </c>
      <c r="C58" s="60"/>
      <c r="D58" s="60"/>
      <c r="E58" s="213"/>
      <c r="F58" s="439"/>
      <c r="G58" s="213"/>
      <c r="H58" s="213"/>
    </row>
    <row r="59" spans="1:8" ht="37.5" hidden="1" x14ac:dyDescent="0.25">
      <c r="A59" s="58" t="s">
        <v>99</v>
      </c>
      <c r="B59" s="59" t="s">
        <v>170</v>
      </c>
      <c r="C59" s="60"/>
      <c r="D59" s="60"/>
      <c r="E59" s="213"/>
      <c r="F59" s="439"/>
      <c r="G59" s="213"/>
      <c r="H59" s="213"/>
    </row>
    <row r="60" spans="1:8" ht="56.25" hidden="1" x14ac:dyDescent="0.25">
      <c r="A60" s="58" t="s">
        <v>99</v>
      </c>
      <c r="B60" s="59" t="s">
        <v>281</v>
      </c>
      <c r="C60" s="60"/>
      <c r="D60" s="60"/>
      <c r="E60" s="213"/>
      <c r="F60" s="439"/>
      <c r="G60" s="213"/>
      <c r="H60" s="213"/>
    </row>
    <row r="61" spans="1:8" ht="37.5" hidden="1" x14ac:dyDescent="0.25">
      <c r="A61" s="58" t="s">
        <v>99</v>
      </c>
      <c r="B61" s="59" t="s">
        <v>646</v>
      </c>
      <c r="C61" s="60"/>
      <c r="D61" s="60"/>
      <c r="E61" s="213">
        <f>45+3*18+33</f>
        <v>132</v>
      </c>
      <c r="F61" s="439"/>
      <c r="G61" s="213"/>
      <c r="H61" s="213"/>
    </row>
    <row r="62" spans="1:8" x14ac:dyDescent="0.3">
      <c r="A62" s="58" t="s">
        <v>99</v>
      </c>
      <c r="B62" s="65" t="s">
        <v>1614</v>
      </c>
      <c r="C62" s="60"/>
      <c r="D62" s="60"/>
      <c r="E62" s="213"/>
      <c r="F62" s="439">
        <v>150</v>
      </c>
      <c r="G62" s="213"/>
      <c r="H62" s="213"/>
    </row>
    <row r="63" spans="1:8" s="50" customFormat="1" x14ac:dyDescent="0.25">
      <c r="A63" s="62">
        <v>2</v>
      </c>
      <c r="B63" s="63" t="s">
        <v>208</v>
      </c>
      <c r="C63" s="64"/>
      <c r="D63" s="64"/>
      <c r="E63" s="64">
        <f>+E64</f>
        <v>110</v>
      </c>
      <c r="F63" s="443">
        <f t="shared" ref="F63:H63" si="1">+F64</f>
        <v>0</v>
      </c>
      <c r="G63" s="64">
        <f t="shared" si="1"/>
        <v>0</v>
      </c>
      <c r="H63" s="64">
        <f t="shared" si="1"/>
        <v>0</v>
      </c>
    </row>
    <row r="64" spans="1:8" x14ac:dyDescent="0.25">
      <c r="A64" s="58" t="s">
        <v>99</v>
      </c>
      <c r="B64" s="59" t="s">
        <v>1117</v>
      </c>
      <c r="C64" s="60"/>
      <c r="D64" s="60"/>
      <c r="E64" s="213">
        <v>110</v>
      </c>
      <c r="F64" s="439"/>
      <c r="G64" s="60"/>
      <c r="H64" s="60"/>
    </row>
    <row r="65" spans="1:8" s="50" customFormat="1" x14ac:dyDescent="0.25">
      <c r="A65" s="62">
        <v>3</v>
      </c>
      <c r="B65" s="63" t="s">
        <v>637</v>
      </c>
      <c r="C65" s="64"/>
      <c r="D65" s="64"/>
      <c r="E65" s="64">
        <f>E67</f>
        <v>33</v>
      </c>
      <c r="F65" s="443">
        <f>F67</f>
        <v>0</v>
      </c>
      <c r="G65" s="64">
        <f>G67</f>
        <v>0</v>
      </c>
      <c r="H65" s="64">
        <f>H67</f>
        <v>0</v>
      </c>
    </row>
    <row r="66" spans="1:8" ht="56.25" hidden="1" x14ac:dyDescent="0.25">
      <c r="A66" s="58" t="s">
        <v>99</v>
      </c>
      <c r="B66" s="59" t="s">
        <v>639</v>
      </c>
      <c r="C66" s="60"/>
      <c r="D66" s="60"/>
      <c r="E66" s="60"/>
      <c r="F66" s="439"/>
      <c r="G66" s="60">
        <f>E66</f>
        <v>0</v>
      </c>
      <c r="H66" s="60">
        <f>G66</f>
        <v>0</v>
      </c>
    </row>
    <row r="67" spans="1:8" ht="37.5" x14ac:dyDescent="0.25">
      <c r="A67" s="58" t="s">
        <v>99</v>
      </c>
      <c r="B67" s="59" t="s">
        <v>641</v>
      </c>
      <c r="C67" s="60"/>
      <c r="D67" s="60"/>
      <c r="E67" s="213">
        <v>33</v>
      </c>
      <c r="F67" s="439"/>
      <c r="G67" s="213"/>
      <c r="H67" s="213"/>
    </row>
    <row r="68" spans="1:8" s="50" customFormat="1" ht="37.5" x14ac:dyDescent="0.3">
      <c r="A68" s="62">
        <v>4</v>
      </c>
      <c r="B68" s="353" t="s">
        <v>1200</v>
      </c>
      <c r="C68" s="64"/>
      <c r="D68" s="64"/>
      <c r="E68" s="64">
        <f>SUM(E69:E73)</f>
        <v>339</v>
      </c>
      <c r="F68" s="443">
        <f>SUM(F69:F75)</f>
        <v>600</v>
      </c>
      <c r="G68" s="64">
        <f>SUM(G72:G73)</f>
        <v>415</v>
      </c>
      <c r="H68" s="64">
        <f>SUM(H72:H73)</f>
        <v>255</v>
      </c>
    </row>
    <row r="69" spans="1:8" ht="56.25" x14ac:dyDescent="0.25">
      <c r="A69" s="58" t="s">
        <v>99</v>
      </c>
      <c r="B69" s="59" t="s">
        <v>1616</v>
      </c>
      <c r="C69" s="60"/>
      <c r="D69" s="60"/>
      <c r="E69" s="213">
        <v>27</v>
      </c>
      <c r="F69" s="439">
        <v>77</v>
      </c>
      <c r="G69" s="439">
        <f>F69</f>
        <v>77</v>
      </c>
      <c r="H69" s="439">
        <f>G69</f>
        <v>77</v>
      </c>
    </row>
    <row r="70" spans="1:8" ht="37.5" hidden="1" customHeight="1" x14ac:dyDescent="0.25">
      <c r="A70" s="58" t="s">
        <v>99</v>
      </c>
      <c r="B70" s="59" t="s">
        <v>172</v>
      </c>
      <c r="C70" s="60"/>
      <c r="D70" s="60"/>
      <c r="E70" s="213"/>
      <c r="F70" s="439"/>
      <c r="G70" s="439">
        <f>E70</f>
        <v>0</v>
      </c>
      <c r="H70" s="439">
        <f>G70</f>
        <v>0</v>
      </c>
    </row>
    <row r="71" spans="1:8" ht="18.75" hidden="1" customHeight="1" x14ac:dyDescent="0.25">
      <c r="A71" s="58" t="s">
        <v>99</v>
      </c>
      <c r="B71" s="59" t="s">
        <v>168</v>
      </c>
      <c r="C71" s="60"/>
      <c r="D71" s="60"/>
      <c r="E71" s="213"/>
      <c r="F71" s="439"/>
      <c r="G71" s="439">
        <f>E71</f>
        <v>0</v>
      </c>
      <c r="H71" s="439">
        <f>G71</f>
        <v>0</v>
      </c>
    </row>
    <row r="72" spans="1:8" hidden="1" x14ac:dyDescent="0.25">
      <c r="A72" s="58" t="s">
        <v>99</v>
      </c>
      <c r="B72" s="59" t="s">
        <v>642</v>
      </c>
      <c r="C72" s="60"/>
      <c r="D72" s="60"/>
      <c r="E72" s="213">
        <v>50</v>
      </c>
      <c r="F72" s="439"/>
      <c r="G72" s="439"/>
      <c r="H72" s="439">
        <v>53</v>
      </c>
    </row>
    <row r="73" spans="1:8" x14ac:dyDescent="0.25">
      <c r="A73" s="58" t="s">
        <v>99</v>
      </c>
      <c r="B73" s="59" t="s">
        <v>643</v>
      </c>
      <c r="C73" s="60"/>
      <c r="D73" s="60"/>
      <c r="E73" s="213">
        <v>262</v>
      </c>
      <c r="F73" s="439">
        <v>423</v>
      </c>
      <c r="G73" s="439">
        <v>415</v>
      </c>
      <c r="H73" s="439">
        <v>202</v>
      </c>
    </row>
    <row r="74" spans="1:8" ht="56.25" x14ac:dyDescent="0.25">
      <c r="A74" s="58" t="s">
        <v>99</v>
      </c>
      <c r="B74" s="59" t="s">
        <v>1199</v>
      </c>
      <c r="C74" s="60"/>
      <c r="D74" s="60"/>
      <c r="E74" s="213"/>
      <c r="F74" s="439">
        <v>73</v>
      </c>
      <c r="G74" s="439">
        <f>F74</f>
        <v>73</v>
      </c>
      <c r="H74" s="439">
        <f>G74</f>
        <v>73</v>
      </c>
    </row>
    <row r="75" spans="1:8" ht="56.25" x14ac:dyDescent="0.25">
      <c r="A75" s="58" t="s">
        <v>99</v>
      </c>
      <c r="B75" s="59" t="s">
        <v>1615</v>
      </c>
      <c r="C75" s="60"/>
      <c r="D75" s="60"/>
      <c r="E75" s="213"/>
      <c r="F75" s="439">
        <v>27</v>
      </c>
      <c r="G75" s="439">
        <f>F75</f>
        <v>27</v>
      </c>
      <c r="H75" s="439">
        <f>G75</f>
        <v>27</v>
      </c>
    </row>
    <row r="76" spans="1:8" hidden="1" x14ac:dyDescent="0.25">
      <c r="A76" s="58"/>
      <c r="B76" s="59" t="s">
        <v>1201</v>
      </c>
      <c r="C76" s="60"/>
      <c r="D76" s="60"/>
      <c r="E76" s="60"/>
      <c r="F76" s="439"/>
      <c r="G76" s="60"/>
      <c r="H76" s="60"/>
    </row>
    <row r="77" spans="1:8" hidden="1" x14ac:dyDescent="0.25">
      <c r="A77" s="58"/>
      <c r="B77" s="59"/>
      <c r="C77" s="60"/>
      <c r="D77" s="60"/>
      <c r="E77" s="60"/>
      <c r="F77" s="439"/>
      <c r="G77" s="60"/>
      <c r="H77" s="60"/>
    </row>
    <row r="78" spans="1:8" hidden="1" x14ac:dyDescent="0.25">
      <c r="A78" s="58"/>
      <c r="B78" s="59"/>
      <c r="C78" s="60"/>
      <c r="D78" s="60"/>
      <c r="E78" s="60"/>
      <c r="F78" s="439"/>
      <c r="G78" s="60"/>
      <c r="H78" s="60"/>
    </row>
    <row r="79" spans="1:8" x14ac:dyDescent="0.25">
      <c r="A79" s="67"/>
      <c r="B79" s="68"/>
      <c r="C79" s="69"/>
      <c r="D79" s="69"/>
      <c r="E79" s="69"/>
      <c r="F79" s="446"/>
      <c r="G79" s="69"/>
      <c r="H79" s="69"/>
    </row>
    <row r="80" spans="1:8" ht="40.5" customHeight="1" x14ac:dyDescent="0.25">
      <c r="A80" s="70"/>
      <c r="B80" s="567" t="s">
        <v>1857</v>
      </c>
      <c r="C80" s="567"/>
      <c r="D80" s="567"/>
      <c r="E80" s="567"/>
      <c r="F80" s="567"/>
      <c r="G80" s="567"/>
      <c r="H80" s="567"/>
    </row>
    <row r="81" spans="1:8" x14ac:dyDescent="0.25">
      <c r="B81" s="7" t="s">
        <v>644</v>
      </c>
      <c r="C81" s="7"/>
      <c r="D81" s="7"/>
      <c r="E81" s="7"/>
      <c r="G81" s="7"/>
      <c r="H81" s="7"/>
    </row>
    <row r="83" spans="1:8" x14ac:dyDescent="0.25">
      <c r="A83" s="568" t="s">
        <v>36</v>
      </c>
      <c r="B83" s="568"/>
      <c r="D83" s="568" t="s">
        <v>37</v>
      </c>
      <c r="E83" s="568"/>
      <c r="F83" s="568"/>
      <c r="G83" s="568"/>
      <c r="H83" s="568"/>
    </row>
  </sheetData>
  <mergeCells count="18">
    <mergeCell ref="C21:H21"/>
    <mergeCell ref="A1:H1"/>
    <mergeCell ref="B3:H3"/>
    <mergeCell ref="C6:H6"/>
    <mergeCell ref="C7:H7"/>
    <mergeCell ref="C8:H8"/>
    <mergeCell ref="C9:H9"/>
    <mergeCell ref="C10:H10"/>
    <mergeCell ref="C15:H15"/>
    <mergeCell ref="C17:H17"/>
    <mergeCell ref="C19:H19"/>
    <mergeCell ref="C20:H20"/>
    <mergeCell ref="B80:H80"/>
    <mergeCell ref="A83:B83"/>
    <mergeCell ref="D83:H83"/>
    <mergeCell ref="C22:H22"/>
    <mergeCell ref="C23:H23"/>
    <mergeCell ref="B24:H24"/>
  </mergeCells>
  <printOptions horizontalCentered="1"/>
  <pageMargins left="0.19685039370078741" right="0.19685039370078741" top="0.59055118110236227" bottom="0.59055118110236227" header="0.31496062992125984" footer="0.31496062992125984"/>
  <pageSetup paperSize="9" scale="89" orientation="portrait" r:id="rId1"/>
  <headerFooter>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47</vt:i4>
      </vt:variant>
      <vt:variant>
        <vt:lpstr>Named Ranges</vt:lpstr>
      </vt:variant>
      <vt:variant>
        <vt:i4>44</vt:i4>
      </vt:variant>
    </vt:vector>
  </HeadingPairs>
  <TitlesOfParts>
    <vt:vector size="91" baseType="lpstr">
      <vt:lpstr>Mau</vt:lpstr>
      <vt:lpstr>danh muc (2)</vt:lpstr>
      <vt:lpstr>ghi chu</vt:lpstr>
      <vt:lpstr>sheet1</vt:lpstr>
      <vt:lpstr>Sheet4</vt:lpstr>
      <vt:lpstr>VP UBND</vt:lpstr>
      <vt:lpstr>KHĐT</vt:lpstr>
      <vt:lpstr>BQLKKT</vt:lpstr>
      <vt:lpstr>PN</vt:lpstr>
      <vt:lpstr>MTTQ</vt:lpstr>
      <vt:lpstr>VHNT</vt:lpstr>
      <vt:lpstr>KHKT</vt:lpstr>
      <vt:lpstr>TĐ</vt:lpstr>
      <vt:lpstr>CCB</vt:lpstr>
      <vt:lpstr>ND</vt:lpstr>
      <vt:lpstr>CTĐ</vt:lpstr>
      <vt:lpstr>CT</vt:lpstr>
      <vt:lpstr>TTTT</vt:lpstr>
      <vt:lpstr>TCHN</vt:lpstr>
      <vt:lpstr>HĐND</vt:lpstr>
      <vt:lpstr>NV</vt:lpstr>
      <vt:lpstr>STC</vt:lpstr>
      <vt:lpstr>YT</vt:lpstr>
      <vt:lpstr>YT (2)</vt:lpstr>
      <vt:lpstr>STNMT</vt:lpstr>
      <vt:lpstr>TTra</vt:lpstr>
      <vt:lpstr>HTX</vt:lpstr>
      <vt:lpstr>CDYT</vt:lpstr>
      <vt:lpstr>CDCD</vt:lpstr>
      <vt:lpstr>SXD</vt:lpstr>
      <vt:lpstr>VQG</vt:lpstr>
      <vt:lpstr>TP</vt:lpstr>
      <vt:lpstr>NgV</vt:lpstr>
      <vt:lpstr>GTVT</vt:lpstr>
      <vt:lpstr>KHCN</vt:lpstr>
      <vt:lpstr>XTTM</vt:lpstr>
      <vt:lpstr>VHTTDL</vt:lpstr>
      <vt:lpstr>GDĐT</vt:lpstr>
      <vt:lpstr>TCT</vt:lpstr>
      <vt:lpstr>NN&amp;PTNT</vt:lpstr>
      <vt:lpstr>LĐTBXH (17.9 ko ky lai)</vt:lpstr>
      <vt:lpstr>LĐTBXH</vt:lpstr>
      <vt:lpstr>TTXT2019</vt:lpstr>
      <vt:lpstr>CĐN</vt:lpstr>
      <vt:lpstr>CĐN (26.9)</vt:lpstr>
      <vt:lpstr>Sheet3</vt:lpstr>
      <vt:lpstr>sheet2</vt:lpstr>
      <vt:lpstr>'NN&amp;PTNT'!Print_Area</vt:lpstr>
      <vt:lpstr>BQLKKT!Print_Titles</vt:lpstr>
      <vt:lpstr>CCB!Print_Titles</vt:lpstr>
      <vt:lpstr>CDCD!Print_Titles</vt:lpstr>
      <vt:lpstr>CĐN!Print_Titles</vt:lpstr>
      <vt:lpstr>'CĐN (26.9)'!Print_Titles</vt:lpstr>
      <vt:lpstr>CDYT!Print_Titles</vt:lpstr>
      <vt:lpstr>CT!Print_Titles</vt:lpstr>
      <vt:lpstr>CTĐ!Print_Titles</vt:lpstr>
      <vt:lpstr>'danh muc (2)'!Print_Titles</vt:lpstr>
      <vt:lpstr>GDĐT!Print_Titles</vt:lpstr>
      <vt:lpstr>GTVT!Print_Titles</vt:lpstr>
      <vt:lpstr>HĐND!Print_Titles</vt:lpstr>
      <vt:lpstr>HTX!Print_Titles</vt:lpstr>
      <vt:lpstr>KHCN!Print_Titles</vt:lpstr>
      <vt:lpstr>KHĐT!Print_Titles</vt:lpstr>
      <vt:lpstr>KHKT!Print_Titles</vt:lpstr>
      <vt:lpstr>LĐTBXH!Print_Titles</vt:lpstr>
      <vt:lpstr>'LĐTBXH (17.9 ko ky lai)'!Print_Titles</vt:lpstr>
      <vt:lpstr>MTTQ!Print_Titles</vt:lpstr>
      <vt:lpstr>ND!Print_Titles</vt:lpstr>
      <vt:lpstr>NgV!Print_Titles</vt:lpstr>
      <vt:lpstr>'NN&amp;PTNT'!Print_Titles</vt:lpstr>
      <vt:lpstr>NV!Print_Titles</vt:lpstr>
      <vt:lpstr>PN!Print_Titles</vt:lpstr>
      <vt:lpstr>sheet1!Print_Titles</vt:lpstr>
      <vt:lpstr>sheet2!Print_Titles</vt:lpstr>
      <vt:lpstr>STC!Print_Titles</vt:lpstr>
      <vt:lpstr>STNMT!Print_Titles</vt:lpstr>
      <vt:lpstr>SXD!Print_Titles</vt:lpstr>
      <vt:lpstr>TCHN!Print_Titles</vt:lpstr>
      <vt:lpstr>TCT!Print_Titles</vt:lpstr>
      <vt:lpstr>TĐ!Print_Titles</vt:lpstr>
      <vt:lpstr>TP!Print_Titles</vt:lpstr>
      <vt:lpstr>TTra!Print_Titles</vt:lpstr>
      <vt:lpstr>TTTT!Print_Titles</vt:lpstr>
      <vt:lpstr>TTXT2019!Print_Titles</vt:lpstr>
      <vt:lpstr>VHNT!Print_Titles</vt:lpstr>
      <vt:lpstr>VHTTDL!Print_Titles</vt:lpstr>
      <vt:lpstr>'VP UBND'!Print_Titles</vt:lpstr>
      <vt:lpstr>VQG!Print_Titles</vt:lpstr>
      <vt:lpstr>XTTM!Print_Titles</vt:lpstr>
      <vt:lpstr>YT!Print_Titles</vt:lpstr>
      <vt:lpstr>'YT (2)'!Print_Titles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Dunghtm</cp:lastModifiedBy>
  <cp:lastPrinted>2019-11-06T04:30:20Z</cp:lastPrinted>
  <dcterms:created xsi:type="dcterms:W3CDTF">2017-08-07T04:04:01Z</dcterms:created>
  <dcterms:modified xsi:type="dcterms:W3CDTF">2020-05-21T03:19:07Z</dcterms:modified>
</cp:coreProperties>
</file>