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3.xml" ContentType="application/vnd.openxmlformats-officedocument.drawing+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huong\Nam 2021\Du toan 2022\Cong khai a.Quang\"/>
    </mc:Choice>
  </mc:AlternateContent>
  <bookViews>
    <workbookView xWindow="120" yWindow="3495" windowWidth="9720" windowHeight="1530" firstSheet="60" activeTab="60"/>
  </bookViews>
  <sheets>
    <sheet name="Thu NSNN 2010-2025" sheetId="107" state="hidden" r:id="rId1"/>
    <sheet name="Chi NSĐP 2010-2025" sheetId="109" state="hidden" r:id="rId2"/>
    <sheet name="Thu NSNN 2010-2025 (2)" sheetId="125" state="hidden" r:id="rId3"/>
    <sheet name="CĐ NSĐP 2020-2025" sheetId="110" state="hidden" r:id="rId4"/>
    <sheet name="Chi từ NSTW bổ sung 2010-2025" sheetId="123" state="hidden" r:id="rId5"/>
    <sheet name="DP&amp;DT" sheetId="112" state="hidden" r:id="rId6"/>
    <sheet name="KH vay và trả nợ 2021-2023" sheetId="111" state="hidden" r:id="rId7"/>
    <sheet name="KTXH 2020-2025" sheetId="114" state="hidden" r:id="rId8"/>
    <sheet name="KTXH 2021-2025" sheetId="120" state="hidden" r:id="rId9"/>
    <sheet name="Quỹ TC ngoài NS 2020-2021" sheetId="122" state="hidden" r:id="rId10"/>
    <sheet name="Định hướng CĐNSĐP 2020 của TW" sheetId="117" state="hidden" r:id="rId11"/>
    <sheet name="Nguồn CĐCS chuyển sang 2020" sheetId="106" state="hidden" r:id="rId12"/>
    <sheet name="KHTC 2021-2025" sheetId="121" state="hidden" r:id="rId13"/>
    <sheet name="Thu NSNN 2015-2025 (2)" sheetId="119" state="hidden" r:id="rId14"/>
    <sheet name="Nhu cầu TLCS năm 2020" sheetId="115" state="hidden" r:id="rId15"/>
    <sheet name="10%TK tăng thêm so với năm 2020" sheetId="78" state="hidden" r:id="rId16"/>
    <sheet name="Can doi 2020-2021" sheetId="101" state="hidden" r:id="rId17"/>
    <sheet name="SS TW với ĐP 2021" sheetId="127" state="hidden" r:id="rId18"/>
    <sheet name="Thu NSNN 2020-2021" sheetId="108" state="hidden" r:id="rId19"/>
    <sheet name="Phụ lục số 1" sheetId="1" state="hidden" r:id="rId20"/>
    <sheet name="Phụ lục số 2" sheetId="2" state="hidden" r:id="rId21"/>
    <sheet name="Phụ lục số 3-thu bs" sheetId="102" state="hidden" r:id="rId22"/>
    <sheet name="Phụ lục số 3" sheetId="118" state="hidden" r:id="rId23"/>
    <sheet name="Phụ lục số 4" sheetId="84" state="hidden" r:id="rId24"/>
    <sheet name="Phụ lục số 5" sheetId="63" state="hidden" r:id="rId25"/>
    <sheet name="Phụ lục số 6" sheetId="64" state="hidden" r:id="rId26"/>
    <sheet name="Phụ lục số 7" sheetId="65" state="hidden" r:id="rId27"/>
    <sheet name="Phụ lục số 8" sheetId="66" state="hidden" r:id="rId28"/>
    <sheet name="Thu NSH" sheetId="74" state="hidden" r:id="rId29"/>
    <sheet name="Chi NSH" sheetId="75" state="hidden" r:id="rId30"/>
    <sheet name="CCTL nam 2020- 2021" sheetId="77" state="hidden" r:id="rId31"/>
    <sheet name="Phụ lục số 5 (2)" sheetId="124" state="hidden" r:id="rId32"/>
    <sheet name="Chi NSH (2)" sheetId="126" state="hidden" r:id="rId33"/>
    <sheet name="XSKT" sheetId="113" state="hidden" r:id="rId34"/>
    <sheet name="Chính sách chế độ 2020-2021" sheetId="104" state="hidden" r:id="rId35"/>
    <sheet name="Phụ lục số 1- HĐND" sheetId="69" state="hidden" r:id="rId36"/>
    <sheet name="Phụ lục số 2- HĐND" sheetId="70" state="hidden" r:id="rId37"/>
    <sheet name="Phụ lục số 3- HĐND" sheetId="71" state="hidden" r:id="rId38"/>
    <sheet name="Phụ lục số 4- HĐND" sheetId="72" state="hidden" r:id="rId39"/>
    <sheet name="Phụ lục số 5- HĐND" sheetId="129" state="hidden" r:id="rId40"/>
    <sheet name="Phụ lục số 6- HĐND" sheetId="130" state="hidden" r:id="rId41"/>
    <sheet name="Phụ lục số 7- HĐND" sheetId="128" state="hidden" r:id="rId42"/>
    <sheet name="Phụ lục số 8- HĐND" sheetId="131" state="hidden" r:id="rId43"/>
    <sheet name="Phụ lục số 9- HĐND" sheetId="132" state="hidden" r:id="rId44"/>
    <sheet name="Phụ lục số 1-KQPB" sheetId="87" state="hidden" r:id="rId45"/>
    <sheet name="Phụ lục số 2- KQPB" sheetId="88" state="hidden" r:id="rId46"/>
    <sheet name="Phụ lục số 3- KQPB" sheetId="90" state="hidden" r:id="rId47"/>
    <sheet name="Phụ lục số 4-KQPB" sheetId="89" state="hidden" r:id="rId48"/>
    <sheet name="Phụ lục số 5-KQPB" sheetId="91" state="hidden" r:id="rId49"/>
    <sheet name="Phụ lục số 1- CKNS" sheetId="92" state="hidden" r:id="rId50"/>
    <sheet name="Phụ lục số 2- CKNS" sheetId="93" state="hidden" r:id="rId51"/>
    <sheet name="Phụ lục số 3- CKNS" sheetId="94" state="hidden" r:id="rId52"/>
    <sheet name="Phụ lục số 4- CKNS" sheetId="95" state="hidden" r:id="rId53"/>
    <sheet name="Phụ lục số 5- CKNS" sheetId="96" state="hidden" r:id="rId54"/>
    <sheet name="Phụ lục số 6- CKNS" sheetId="97" state="hidden" r:id="rId55"/>
    <sheet name="Phụ lục số 7- CKNS" sheetId="98" state="hidden" r:id="rId56"/>
    <sheet name="Phụ lục số 8- CKNS" sheetId="67" state="hidden" r:id="rId57"/>
    <sheet name="Phụ lục số 9- CKNS" sheetId="68" state="hidden" r:id="rId58"/>
    <sheet name="Phụ lục số 10-CKNS" sheetId="99" state="hidden" r:id="rId59"/>
    <sheet name="Biểu số 46-CK-NSNN" sheetId="133" r:id="rId60"/>
    <sheet name="Biếu số 56-CK-NSNN" sheetId="139" r:id="rId61"/>
    <sheet name="Biếu bổ sung" sheetId="142" state="hidden" r:id="rId62"/>
    <sheet name="Bố trí" sheetId="86" state="hidden" r:id="rId63"/>
  </sheets>
  <externalReferences>
    <externalReference r:id="rId64"/>
    <externalReference r:id="rId65"/>
    <externalReference r:id="rId66"/>
    <externalReference r:id="rId67"/>
    <externalReference r:id="rId68"/>
  </externalReferences>
  <definedNames>
    <definedName name="_xlnm.Print_Area" localSheetId="15">'10%TK tăng thêm so với năm 2020'!$A$1:$J$20</definedName>
    <definedName name="_xlnm.Print_Area" localSheetId="59">'Biểu số 46-CK-NSNN'!$A$4:$C$49</definedName>
    <definedName name="_xlnm.Print_Area" localSheetId="60">'Biếu số 56-CK-NSNN'!$A$1:$K$19</definedName>
    <definedName name="_xlnm.Print_Area" localSheetId="62">'Bố trí'!$A$2:$C$22</definedName>
    <definedName name="_xlnm.Print_Area" localSheetId="3">'CĐ NSĐP 2020-2025'!$A$1:$J$31</definedName>
    <definedName name="_xlnm.Print_Area" localSheetId="1">'Chi NSĐP 2010-2025'!$A$2:$AC$140</definedName>
    <definedName name="_xlnm.Print_Area" localSheetId="29">'Chi NSH'!$A$1:$DB$36</definedName>
    <definedName name="_xlnm.Print_Area" localSheetId="32">'Chi NSH (2)'!$A$1:$DB$36</definedName>
    <definedName name="_xlnm.Print_Area" localSheetId="4">'Chi từ NSTW bổ sung 2010-2025'!$A$2:$AC$16</definedName>
    <definedName name="_xlnm.Print_Area" localSheetId="6">'KH vay và trả nợ 2021-2023'!$A$1:$H$56</definedName>
    <definedName name="_xlnm.Print_Area" localSheetId="7">'KTXH 2020-2025'!$A$2:$J$48</definedName>
    <definedName name="_xlnm.Print_Area" localSheetId="8">'KTXH 2021-2025'!$A$2:$P$50</definedName>
    <definedName name="_xlnm.Print_Area" localSheetId="11">'Nguồn CĐCS chuyển sang 2020'!$A$1:$K$17</definedName>
    <definedName name="_xlnm.Print_Area" localSheetId="19">'Phụ lục số 1'!$A$5:$S$64</definedName>
    <definedName name="_xlnm.Print_Area" localSheetId="49">'Phụ lục số 1- CKNS'!$A$4:$C$42</definedName>
    <definedName name="_xlnm.Print_Area" localSheetId="35">'Phụ lục số 1- HĐND'!$A$4:$C$45</definedName>
    <definedName name="_xlnm.Print_Area" localSheetId="44">'Phụ lục số 1-KQPB'!$A$4:$C$42</definedName>
    <definedName name="_xlnm.Print_Area" localSheetId="20">'Phụ lục số 2'!$A$5:$O$42</definedName>
    <definedName name="_xlnm.Print_Area" localSheetId="50">'Phụ lục số 2- CKNS'!$A$4:$C$44</definedName>
    <definedName name="_xlnm.Print_Area" localSheetId="36">'Phụ lục số 2- HĐND'!$A$1:$C$48</definedName>
    <definedName name="_xlnm.Print_Area" localSheetId="45">'Phụ lục số 2- KQPB'!$A$4:$C$37</definedName>
    <definedName name="_xlnm.Print_Area" localSheetId="22">'Phụ lục số 3'!$A$1:$K$38</definedName>
    <definedName name="_xlnm.Print_Area" localSheetId="51">'Phụ lục số 3- CKNS'!$A$4:$C$37</definedName>
    <definedName name="_xlnm.Print_Area" localSheetId="37">'Phụ lục số 3- HĐND'!$A$1:$C$36</definedName>
    <definedName name="_xlnm.Print_Area" localSheetId="46">'Phụ lục số 3- KQPB'!$A$4:$E$48</definedName>
    <definedName name="_xlnm.Print_Area" localSheetId="21">'Phụ lục số 3-thu bs'!$A$1:$K$38</definedName>
    <definedName name="_xlnm.Print_Area" localSheetId="23">'Phụ lục số 4'!$A$1:$S$65</definedName>
    <definedName name="_xlnm.Print_Area" localSheetId="52">'Phụ lục số 4- CKNS'!$A$4:$E$45</definedName>
    <definedName name="_xlnm.Print_Area" localSheetId="38">'Phụ lục số 4- HĐND'!$A$1:$E$40</definedName>
    <definedName name="_xlnm.Print_Area" localSheetId="47">'Phụ lục số 4-KQPB'!$A$3:$E$49</definedName>
    <definedName name="_xlnm.Print_Area" localSheetId="24">'Phụ lục số 5'!$A$1:$AO$50</definedName>
    <definedName name="_xlnm.Print_Area" localSheetId="31">'Phụ lục số 5 (2)'!$A$1:$AO$51</definedName>
    <definedName name="_xlnm.Print_Area" localSheetId="53">'Phụ lục số 5- CKNS'!$A$1:$S$114</definedName>
    <definedName name="_xlnm.Print_Area" localSheetId="39">'Phụ lục số 5- HĐND'!$A$1:$AO$50</definedName>
    <definedName name="_xlnm.Print_Area" localSheetId="48">'Phụ lục số 5-KQPB'!$A$1:$E$33</definedName>
    <definedName name="_xlnm.Print_Area" localSheetId="25">'Phụ lục số 6'!$A$1:$O$21</definedName>
    <definedName name="_xlnm.Print_Area" localSheetId="54">'Phụ lục số 6- CKNS'!$A$3:$E$49</definedName>
    <definedName name="_xlnm.Print_Area" localSheetId="40">'Phụ lục số 6- HĐND'!$A$1:$O$21</definedName>
    <definedName name="_xlnm.Print_Area" localSheetId="26">'Phụ lục số 7'!$A$1:$AB$20</definedName>
    <definedName name="_xlnm.Print_Area" localSheetId="55">'Phụ lục số 7- CKNS'!$A$1:$Z$20</definedName>
    <definedName name="_xlnm.Print_Area" localSheetId="41">'Phụ lục số 7- HĐND'!$A$1:$AB$20</definedName>
    <definedName name="_xlnm.Print_Area" localSheetId="27">'Phụ lục số 8'!$A$3:$E$50</definedName>
    <definedName name="_xlnm.Print_Area" localSheetId="42">'Phụ lục số 8- HĐND'!$A$3:$E$50</definedName>
    <definedName name="_xlnm.Print_Area" localSheetId="43">'Phụ lục số 9- HĐND'!$A$1:$S$65</definedName>
    <definedName name="_xlnm.Print_Area" localSheetId="17">'SS TW với ĐP 2021'!$A$6:$G$38</definedName>
    <definedName name="_xlnm.Print_Area" localSheetId="28">'Thu NSH'!$A$1:$FB$43</definedName>
    <definedName name="_xlnm.Print_Area" localSheetId="0">'Thu NSNN 2010-2025'!$A$1:$AI$161</definedName>
    <definedName name="_xlnm.Print_Area" localSheetId="2">'Thu NSNN 2010-2025 (2)'!$A$1:$AG$161</definedName>
    <definedName name="_xlnm.Print_Area" localSheetId="13">'Thu NSNN 2015-2025 (2)'!$A$1:$N$39</definedName>
    <definedName name="_xlnm.Print_Area" localSheetId="18">'Thu NSNN 2020-2021'!$A$1:$N$27</definedName>
    <definedName name="_xlnm.Print_Titles" localSheetId="1">'Chi NSĐP 2010-2025'!$5:$6</definedName>
    <definedName name="_xlnm.Print_Titles" localSheetId="29">'Chi NSH'!$A:$B,'Chi NSH'!$2:$6</definedName>
    <definedName name="_xlnm.Print_Titles" localSheetId="32">'Chi NSH (2)'!$A:$B,'Chi NSH (2)'!$2:$6</definedName>
    <definedName name="_xlnm.Print_Titles" localSheetId="8">'KTXH 2021-2025'!$3:$4</definedName>
    <definedName name="_xlnm.Print_Titles" localSheetId="19">'Phụ lục số 1'!$A:$B,'Phụ lục số 1'!$7:$11</definedName>
    <definedName name="_xlnm.Print_Titles" localSheetId="20">'Phụ lục số 2'!$A:$B,'Phụ lục số 2'!$7:$10</definedName>
    <definedName name="_xlnm.Print_Titles" localSheetId="23">'Phụ lục số 4'!$A:$B,'Phụ lục số 4'!$2:$8</definedName>
    <definedName name="_xlnm.Print_Titles" localSheetId="47">'Phụ lục số 4-KQPB'!$4:$6</definedName>
    <definedName name="_xlnm.Print_Titles" localSheetId="24">'Phụ lục số 5'!$A:$B,'Phụ lục số 5'!$2:$4</definedName>
    <definedName name="_xlnm.Print_Titles" localSheetId="31">'Phụ lục số 5 (2)'!$A:$B,'Phụ lục số 5 (2)'!$2:$4</definedName>
    <definedName name="_xlnm.Print_Titles" localSheetId="53">'Phụ lục số 5- CKNS'!$A:$B,'Phụ lục số 5- CKNS'!$2:$8</definedName>
    <definedName name="_xlnm.Print_Titles" localSheetId="39">'Phụ lục số 5- HĐND'!$A:$B,'Phụ lục số 5- HĐND'!$2:$4</definedName>
    <definedName name="_xlnm.Print_Titles" localSheetId="25">'Phụ lục số 6'!$A:$B</definedName>
    <definedName name="_xlnm.Print_Titles" localSheetId="40">'Phụ lục số 6- HĐND'!$A:$B</definedName>
    <definedName name="_xlnm.Print_Titles" localSheetId="57">'Phụ lục số 9- CKNS'!$3:$5</definedName>
    <definedName name="_xlnm.Print_Titles" localSheetId="43">'Phụ lục số 9- HĐND'!$A:$B,'Phụ lục số 9- HĐND'!$2:$8</definedName>
    <definedName name="_xlnm.Print_Titles" localSheetId="28">'Thu NSH'!$A:$B,'Thu NSH'!$2:$7</definedName>
    <definedName name="_xlnm.Print_Titles" localSheetId="0">'Thu NSNN 2010-2025'!$3:$5</definedName>
    <definedName name="_xlnm.Print_Titles" localSheetId="2">'Thu NSNN 2010-2025 (2)'!$3:$5</definedName>
    <definedName name="Z_88621519_296E_4458_B04E_813E881018FE_.wvu.Cols" localSheetId="15" hidden="1">'10%TK tăng thêm so với năm 2020'!$D:$H</definedName>
    <definedName name="Z_88621519_296E_4458_B04E_813E881018FE_.wvu.Cols" localSheetId="60" hidden="1">'Biếu số 56-CK-NSNN'!$H:$H,'Biếu số 56-CK-NSNN'!$M:$M,'Biếu số 56-CK-NSNN'!$O:$O</definedName>
    <definedName name="Z_88621519_296E_4458_B04E_813E881018FE_.wvu.Cols" localSheetId="16" hidden="1">'Can doi 2020-2021'!$F:$H</definedName>
    <definedName name="Z_88621519_296E_4458_B04E_813E881018FE_.wvu.Cols" localSheetId="1" hidden="1">'Chi NSĐP 2010-2025'!#REF!</definedName>
    <definedName name="Z_88621519_296E_4458_B04E_813E881018FE_.wvu.Cols" localSheetId="4" hidden="1">'Chi từ NSTW bổ sung 2010-2025'!#REF!</definedName>
    <definedName name="Z_88621519_296E_4458_B04E_813E881018FE_.wvu.Cols" localSheetId="14" hidden="1">'Nhu cầu TLCS năm 2020'!#REF!</definedName>
    <definedName name="Z_88621519_296E_4458_B04E_813E881018FE_.wvu.Cols" localSheetId="19" hidden="1">'Phụ lục số 1'!$D:$G</definedName>
    <definedName name="Z_88621519_296E_4458_B04E_813E881018FE_.wvu.Cols" localSheetId="50" hidden="1">'Phụ lục số 2- CKNS'!$D:$D</definedName>
    <definedName name="Z_88621519_296E_4458_B04E_813E881018FE_.wvu.Cols" localSheetId="36" hidden="1">'Phụ lục số 2- HĐND'!$D:$D</definedName>
    <definedName name="Z_88621519_296E_4458_B04E_813E881018FE_.wvu.Cols" localSheetId="24" hidden="1">'Phụ lục số 5'!$D:$D,'Phụ lục số 5'!$G:$G,'Phụ lục số 5'!$J:$J,'Phụ lục số 5'!$M:$M,'Phụ lục số 5'!$P:$P,'Phụ lục số 5'!$S:$S,'Phụ lục số 5'!$V:$V,'Phụ lục số 5'!$Y:$Y,'Phụ lục số 5'!$AB:$AB,'Phụ lục số 5'!$AE:$AE,'Phụ lục số 5'!$AH:$AH,'Phụ lục số 5'!$AK:$AK,'Phụ lục số 5'!$AN:$AN</definedName>
    <definedName name="Z_88621519_296E_4458_B04E_813E881018FE_.wvu.Cols" localSheetId="31" hidden="1">'Phụ lục số 5 (2)'!$D:$D,'Phụ lục số 5 (2)'!$G:$G,'Phụ lục số 5 (2)'!$J:$J,'Phụ lục số 5 (2)'!$M:$M,'Phụ lục số 5 (2)'!$P:$P,'Phụ lục số 5 (2)'!$S:$S,'Phụ lục số 5 (2)'!$V:$V,'Phụ lục số 5 (2)'!$Y:$Y,'Phụ lục số 5 (2)'!$AB:$AB,'Phụ lục số 5 (2)'!$AE:$AE,'Phụ lục số 5 (2)'!$AH:$AH,'Phụ lục số 5 (2)'!$AK:$AK,'Phụ lục số 5 (2)'!$AN:$AN</definedName>
    <definedName name="Z_88621519_296E_4458_B04E_813E881018FE_.wvu.Cols" localSheetId="53" hidden="1">'Phụ lục số 5- CKNS'!#REF!</definedName>
    <definedName name="Z_88621519_296E_4458_B04E_813E881018FE_.wvu.Cols" localSheetId="39" hidden="1">'Phụ lục số 5- HĐND'!$D:$D,'Phụ lục số 5- HĐND'!$G:$G,'Phụ lục số 5- HĐND'!$J:$J,'Phụ lục số 5- HĐND'!$M:$M,'Phụ lục số 5- HĐND'!$P:$P,'Phụ lục số 5- HĐND'!$S:$S,'Phụ lục số 5- HĐND'!$V:$V,'Phụ lục số 5- HĐND'!$Y:$Y,'Phụ lục số 5- HĐND'!$AB:$AB,'Phụ lục số 5- HĐND'!$AE:$AE,'Phụ lục số 5- HĐND'!$AH:$AH,'Phụ lục số 5- HĐND'!$AK:$AK,'Phụ lục số 5- HĐND'!$AN:$AN</definedName>
    <definedName name="Z_88621519_296E_4458_B04E_813E881018FE_.wvu.Cols" localSheetId="55" hidden="1">'Phụ lục số 7- CKNS'!$H:$H,'Phụ lục số 7- CKNS'!$M:$M,'Phụ lục số 7- CKNS'!$O:$O</definedName>
    <definedName name="Z_88621519_296E_4458_B04E_813E881018FE_.wvu.Cols" localSheetId="18" hidden="1">'Thu NSNN 2020-2021'!$C:$C,'Thu NSNN 2020-2021'!$F:$G,'Thu NSNN 2020-2021'!$L:$L</definedName>
    <definedName name="Z_88621519_296E_4458_B04E_813E881018FE_.wvu.PrintArea" localSheetId="15" hidden="1">'10%TK tăng thêm so với năm 2020'!$A$1:$J$20</definedName>
    <definedName name="Z_88621519_296E_4458_B04E_813E881018FE_.wvu.PrintArea" localSheetId="59" hidden="1">'Biểu số 46-CK-NSNN'!$A$1:$C$41</definedName>
    <definedName name="Z_88621519_296E_4458_B04E_813E881018FE_.wvu.PrintArea" localSheetId="60" hidden="1">'Biếu số 56-CK-NSNN'!$A$1:$O$20</definedName>
    <definedName name="Z_88621519_296E_4458_B04E_813E881018FE_.wvu.PrintArea" localSheetId="62" hidden="1">'Bố trí'!$A$2:$C$22</definedName>
    <definedName name="Z_88621519_296E_4458_B04E_813E881018FE_.wvu.PrintArea" localSheetId="29" hidden="1">'Chi NSH'!$A$1:$DB$36</definedName>
    <definedName name="Z_88621519_296E_4458_B04E_813E881018FE_.wvu.PrintArea" localSheetId="32" hidden="1">'Chi NSH (2)'!$A$1:$DB$36</definedName>
    <definedName name="Z_88621519_296E_4458_B04E_813E881018FE_.wvu.PrintArea" localSheetId="6" hidden="1">'KH vay và trả nợ 2021-2023'!$A$1:$H$56</definedName>
    <definedName name="Z_88621519_296E_4458_B04E_813E881018FE_.wvu.PrintArea" localSheetId="19" hidden="1">'Phụ lục số 1'!$A$5:$S$64</definedName>
    <definedName name="Z_88621519_296E_4458_B04E_813E881018FE_.wvu.PrintArea" localSheetId="49" hidden="1">'Phụ lục số 1- CKNS'!$A$1:$C$41</definedName>
    <definedName name="Z_88621519_296E_4458_B04E_813E881018FE_.wvu.PrintArea" localSheetId="35" hidden="1">'Phụ lục số 1- HĐND'!$A$4:$C$45</definedName>
    <definedName name="Z_88621519_296E_4458_B04E_813E881018FE_.wvu.PrintArea" localSheetId="44" hidden="1">'Phụ lục số 1-KQPB'!$A$4:$C$41</definedName>
    <definedName name="Z_88621519_296E_4458_B04E_813E881018FE_.wvu.PrintArea" localSheetId="20" hidden="1">'Phụ lục số 2'!$A$5:$O$42</definedName>
    <definedName name="Z_88621519_296E_4458_B04E_813E881018FE_.wvu.PrintArea" localSheetId="50" hidden="1">'Phụ lục số 2- CKNS'!$A$1:$C$44</definedName>
    <definedName name="Z_88621519_296E_4458_B04E_813E881018FE_.wvu.PrintArea" localSheetId="36" hidden="1">'Phụ lục số 2- HĐND'!$A$1:$C$48</definedName>
    <definedName name="Z_88621519_296E_4458_B04E_813E881018FE_.wvu.PrintArea" localSheetId="45" hidden="1">'Phụ lục số 2- KQPB'!$A$1:$C$37</definedName>
    <definedName name="Z_88621519_296E_4458_B04E_813E881018FE_.wvu.PrintArea" localSheetId="22" hidden="1">'Phụ lục số 3'!$A$1:$K$38</definedName>
    <definedName name="Z_88621519_296E_4458_B04E_813E881018FE_.wvu.PrintArea" localSheetId="51" hidden="1">'Phụ lục số 3- CKNS'!$A$1:$C$37</definedName>
    <definedName name="Z_88621519_296E_4458_B04E_813E881018FE_.wvu.PrintArea" localSheetId="37" hidden="1">'Phụ lục số 3- HĐND'!$A$1:$C$36</definedName>
    <definedName name="Z_88621519_296E_4458_B04E_813E881018FE_.wvu.PrintArea" localSheetId="46" hidden="1">'Phụ lục số 3- KQPB'!$A$4:$E$48</definedName>
    <definedName name="Z_88621519_296E_4458_B04E_813E881018FE_.wvu.PrintArea" localSheetId="21" hidden="1">'Phụ lục số 3-thu bs'!$A$1:$K$38</definedName>
    <definedName name="Z_88621519_296E_4458_B04E_813E881018FE_.wvu.PrintArea" localSheetId="23" hidden="1">'Phụ lục số 4'!$A$1:$S$65</definedName>
    <definedName name="Z_88621519_296E_4458_B04E_813E881018FE_.wvu.PrintArea" localSheetId="52" hidden="1">'Phụ lục số 4- CKNS'!$A$4:$E$45</definedName>
    <definedName name="Z_88621519_296E_4458_B04E_813E881018FE_.wvu.PrintArea" localSheetId="38" hidden="1">'Phụ lục số 4- HĐND'!$A$1:$E$40</definedName>
    <definedName name="Z_88621519_296E_4458_B04E_813E881018FE_.wvu.PrintArea" localSheetId="47" hidden="1">'Phụ lục số 4-KQPB'!$A$3:$E$48</definedName>
    <definedName name="Z_88621519_296E_4458_B04E_813E881018FE_.wvu.PrintArea" localSheetId="24" hidden="1">'Phụ lục số 5'!$A$1:$AO$50</definedName>
    <definedName name="Z_88621519_296E_4458_B04E_813E881018FE_.wvu.PrintArea" localSheetId="31" hidden="1">'Phụ lục số 5 (2)'!$A$1:$AO$51</definedName>
    <definedName name="Z_88621519_296E_4458_B04E_813E881018FE_.wvu.PrintArea" localSheetId="53" hidden="1">'Phụ lục số 5- CKNS'!$A$1:$S$102</definedName>
    <definedName name="Z_88621519_296E_4458_B04E_813E881018FE_.wvu.PrintArea" localSheetId="39" hidden="1">'Phụ lục số 5- HĐND'!$A$1:$AO$50</definedName>
    <definedName name="Z_88621519_296E_4458_B04E_813E881018FE_.wvu.PrintArea" localSheetId="48" hidden="1">'Phụ lục số 5-KQPB'!$A$1:$E$33</definedName>
    <definedName name="Z_88621519_296E_4458_B04E_813E881018FE_.wvu.PrintArea" localSheetId="25" hidden="1">'Phụ lục số 6'!$A$1:$O$21</definedName>
    <definedName name="Z_88621519_296E_4458_B04E_813E881018FE_.wvu.PrintArea" localSheetId="54" hidden="1">'Phụ lục số 6- CKNS'!$A$3:$E$16</definedName>
    <definedName name="Z_88621519_296E_4458_B04E_813E881018FE_.wvu.PrintArea" localSheetId="40" hidden="1">'Phụ lục số 6- HĐND'!$A$1:$O$21</definedName>
    <definedName name="Z_88621519_296E_4458_B04E_813E881018FE_.wvu.PrintArea" localSheetId="26" hidden="1">'Phụ lục số 7'!$A$1:$AB$20</definedName>
    <definedName name="Z_88621519_296E_4458_B04E_813E881018FE_.wvu.PrintArea" localSheetId="55" hidden="1">'Phụ lục số 7- CKNS'!$A$1:$O$20</definedName>
    <definedName name="Z_88621519_296E_4458_B04E_813E881018FE_.wvu.PrintArea" localSheetId="41" hidden="1">'Phụ lục số 7- HĐND'!$A$1:$AB$20</definedName>
    <definedName name="Z_88621519_296E_4458_B04E_813E881018FE_.wvu.PrintArea" localSheetId="27" hidden="1">'Phụ lục số 8'!$A$3:$E$50</definedName>
    <definedName name="Z_88621519_296E_4458_B04E_813E881018FE_.wvu.PrintArea" localSheetId="42" hidden="1">'Phụ lục số 8- HĐND'!$A$3:$E$50</definedName>
    <definedName name="Z_88621519_296E_4458_B04E_813E881018FE_.wvu.PrintArea" localSheetId="43" hidden="1">'Phụ lục số 9- HĐND'!$A$1:$S$65</definedName>
    <definedName name="Z_88621519_296E_4458_B04E_813E881018FE_.wvu.PrintArea" localSheetId="28" hidden="1">'Thu NSH'!$A$1:$FB$43</definedName>
    <definedName name="Z_88621519_296E_4458_B04E_813E881018FE_.wvu.PrintTitles" localSheetId="29" hidden="1">'Chi NSH'!$A:$B,'Chi NSH'!$2:$6</definedName>
    <definedName name="Z_88621519_296E_4458_B04E_813E881018FE_.wvu.PrintTitles" localSheetId="32" hidden="1">'Chi NSH (2)'!$A:$B,'Chi NSH (2)'!$2:$6</definedName>
    <definedName name="Z_88621519_296E_4458_B04E_813E881018FE_.wvu.PrintTitles" localSheetId="19" hidden="1">'Phụ lục số 1'!$A:$B,'Phụ lục số 1'!$7:$11</definedName>
    <definedName name="Z_88621519_296E_4458_B04E_813E881018FE_.wvu.PrintTitles" localSheetId="20" hidden="1">'Phụ lục số 2'!$A:$B,'Phụ lục số 2'!$7:$10</definedName>
    <definedName name="Z_88621519_296E_4458_B04E_813E881018FE_.wvu.PrintTitles" localSheetId="23" hidden="1">'Phụ lục số 4'!$A:$B,'Phụ lục số 4'!$2:$8</definedName>
    <definedName name="Z_88621519_296E_4458_B04E_813E881018FE_.wvu.PrintTitles" localSheetId="47" hidden="1">'Phụ lục số 4-KQPB'!$4:$6</definedName>
    <definedName name="Z_88621519_296E_4458_B04E_813E881018FE_.wvu.PrintTitles" localSheetId="24" hidden="1">'Phụ lục số 5'!$A:$B,'Phụ lục số 5'!$2:$4</definedName>
    <definedName name="Z_88621519_296E_4458_B04E_813E881018FE_.wvu.PrintTitles" localSheetId="31" hidden="1">'Phụ lục số 5 (2)'!$A:$B,'Phụ lục số 5 (2)'!$2:$4</definedName>
    <definedName name="Z_88621519_296E_4458_B04E_813E881018FE_.wvu.PrintTitles" localSheetId="53" hidden="1">'Phụ lục số 5- CKNS'!$A:$B,'Phụ lục số 5- CKNS'!$2:$8</definedName>
    <definedName name="Z_88621519_296E_4458_B04E_813E881018FE_.wvu.PrintTitles" localSheetId="39" hidden="1">'Phụ lục số 5- HĐND'!$A:$B,'Phụ lục số 5- HĐND'!$2:$4</definedName>
    <definedName name="Z_88621519_296E_4458_B04E_813E881018FE_.wvu.PrintTitles" localSheetId="25" hidden="1">'Phụ lục số 6'!$A:$B</definedName>
    <definedName name="Z_88621519_296E_4458_B04E_813E881018FE_.wvu.PrintTitles" localSheetId="40" hidden="1">'Phụ lục số 6- HĐND'!$A:$B</definedName>
    <definedName name="Z_88621519_296E_4458_B04E_813E881018FE_.wvu.PrintTitles" localSheetId="57" hidden="1">'Phụ lục số 9- CKNS'!$3:$5</definedName>
    <definedName name="Z_88621519_296E_4458_B04E_813E881018FE_.wvu.PrintTitles" localSheetId="43" hidden="1">'Phụ lục số 9- HĐND'!$A:$B,'Phụ lục số 9- HĐND'!$2:$8</definedName>
    <definedName name="Z_88621519_296E_4458_B04E_813E881018FE_.wvu.PrintTitles" localSheetId="28" hidden="1">'Thu NSH'!$A:$B,'Thu NSH'!$2:$7</definedName>
    <definedName name="Z_88621519_296E_4458_B04E_813E881018FE_.wvu.Rows" localSheetId="61" hidden="1">'Biếu bổ sung'!#REF!</definedName>
    <definedName name="Z_88621519_296E_4458_B04E_813E881018FE_.wvu.Rows" localSheetId="59" hidden="1">'Biểu số 46-CK-NSNN'!$1:$3</definedName>
    <definedName name="Z_88621519_296E_4458_B04E_813E881018FE_.wvu.Rows" localSheetId="16" hidden="1">'Can doi 2020-2021'!#REF!,'Can doi 2020-2021'!$7:$7,'Can doi 2020-2021'!$24:$24</definedName>
    <definedName name="Z_88621519_296E_4458_B04E_813E881018FE_.wvu.Rows" localSheetId="30" hidden="1">'CCTL nam 2020- 2021'!$1:$3</definedName>
    <definedName name="Z_88621519_296E_4458_B04E_813E881018FE_.wvu.Rows" localSheetId="29" hidden="1">'Chi NSH'!#REF!</definedName>
    <definedName name="Z_88621519_296E_4458_B04E_813E881018FE_.wvu.Rows" localSheetId="32" hidden="1">'Chi NSH (2)'!#REF!</definedName>
    <definedName name="Z_88621519_296E_4458_B04E_813E881018FE_.wvu.Rows" localSheetId="5" hidden="1">'DP&amp;DT'!$2:$3</definedName>
    <definedName name="Z_88621519_296E_4458_B04E_813E881018FE_.wvu.Rows" localSheetId="6" hidden="1">'KH vay và trả nợ 2021-2023'!$2:$3</definedName>
    <definedName name="Z_88621519_296E_4458_B04E_813E881018FE_.wvu.Rows" localSheetId="12" hidden="1">'KHTC 2021-2025'!$36:$39</definedName>
    <definedName name="Z_88621519_296E_4458_B04E_813E881018FE_.wvu.Rows" localSheetId="7" hidden="1">'KTXH 2020-2025'!$25:$29</definedName>
    <definedName name="Z_88621519_296E_4458_B04E_813E881018FE_.wvu.Rows" localSheetId="8" hidden="1">'KTXH 2021-2025'!$50:$50</definedName>
    <definedName name="Z_88621519_296E_4458_B04E_813E881018FE_.wvu.Rows" localSheetId="19" hidden="1">'Phụ lục số 1'!$1:$4,'Phụ lục số 1'!$16:$20,'Phụ lục số 1'!$22:$26,'Phụ lục số 1'!$28:$31,'Phụ lục số 1'!$33:$37,'Phụ lục số 1'!$53:$54</definedName>
    <definedName name="Z_88621519_296E_4458_B04E_813E881018FE_.wvu.Rows" localSheetId="49" hidden="1">'Phụ lục số 1- CKNS'!$1:$3</definedName>
    <definedName name="Z_88621519_296E_4458_B04E_813E881018FE_.wvu.Rows" localSheetId="35" hidden="1">'Phụ lục số 1- HĐND'!$1:$3,'Phụ lục số 1- HĐND'!$5:$5</definedName>
    <definedName name="Z_88621519_296E_4458_B04E_813E881018FE_.wvu.Rows" localSheetId="58" hidden="1">'Phụ lục số 10-CKNS'!$2:$3</definedName>
    <definedName name="Z_88621519_296E_4458_B04E_813E881018FE_.wvu.Rows" localSheetId="44" hidden="1">'Phụ lục số 1-KQPB'!$1:$3</definedName>
    <definedName name="Z_88621519_296E_4458_B04E_813E881018FE_.wvu.Rows" localSheetId="20" hidden="1">'Phụ lục số 2'!$1:$4,'Phụ lục số 2'!$6:$6</definedName>
    <definedName name="Z_88621519_296E_4458_B04E_813E881018FE_.wvu.Rows" localSheetId="50" hidden="1">'Phụ lục số 2- CKNS'!$1:$3</definedName>
    <definedName name="Z_88621519_296E_4458_B04E_813E881018FE_.wvu.Rows" localSheetId="36" hidden="1">'Phụ lục số 2- HĐND'!$1:$3</definedName>
    <definedName name="Z_88621519_296E_4458_B04E_813E881018FE_.wvu.Rows" localSheetId="45" hidden="1">'Phụ lục số 2- KQPB'!$1:$3,'Phụ lục số 2- KQPB'!$28:$28</definedName>
    <definedName name="Z_88621519_296E_4458_B04E_813E881018FE_.wvu.Rows" localSheetId="22" hidden="1">'Phụ lục số 3'!#REF!</definedName>
    <definedName name="Z_88621519_296E_4458_B04E_813E881018FE_.wvu.Rows" localSheetId="51" hidden="1">'Phụ lục số 3- CKNS'!$1:$3,'Phụ lục số 3- CKNS'!$28:$28</definedName>
    <definedName name="Z_88621519_296E_4458_B04E_813E881018FE_.wvu.Rows" localSheetId="37" hidden="1">'Phụ lục số 3- HĐND'!$1:$3,'Phụ lục số 3- HĐND'!$28:$28</definedName>
    <definedName name="Z_88621519_296E_4458_B04E_813E881018FE_.wvu.Rows" localSheetId="46" hidden="1">'Phụ lục số 3- KQPB'!$1:$3,'Phụ lục số 3- KQPB'!$41:$46</definedName>
    <definedName name="Z_88621519_296E_4458_B04E_813E881018FE_.wvu.Rows" localSheetId="21" hidden="1">'Phụ lục số 3-thu bs'!#REF!</definedName>
    <definedName name="Z_88621519_296E_4458_B04E_813E881018FE_.wvu.Rows" localSheetId="52" hidden="1">'Phụ lục số 4- CKNS'!$1:$3,'Phụ lục số 4- CKNS'!$41:$43</definedName>
    <definedName name="Z_88621519_296E_4458_B04E_813E881018FE_.wvu.Rows" localSheetId="38" hidden="1">'Phụ lục số 4- HĐND'!$1:$3,'Phụ lục số 4- HĐND'!$33:$38</definedName>
    <definedName name="Z_88621519_296E_4458_B04E_813E881018FE_.wvu.Rows" localSheetId="47" hidden="1">'Phụ lục số 4-KQPB'!$1:$2,'Phụ lục số 4-KQPB'!$23:$23,'Phụ lục số 4-KQPB'!$37:$38,'Phụ lục số 4-KQPB'!$47:$47</definedName>
    <definedName name="Z_88621519_296E_4458_B04E_813E881018FE_.wvu.Rows" localSheetId="24" hidden="1">'Phụ lục số 5'!$44:$48</definedName>
    <definedName name="Z_88621519_296E_4458_B04E_813E881018FE_.wvu.Rows" localSheetId="31" hidden="1">'Phụ lục số 5 (2)'!$45:$49</definedName>
    <definedName name="Z_88621519_296E_4458_B04E_813E881018FE_.wvu.Rows" localSheetId="39" hidden="1">'Phụ lục số 5- HĐND'!$44:$48</definedName>
    <definedName name="Z_88621519_296E_4458_B04E_813E881018FE_.wvu.Rows" localSheetId="25" hidden="1">'Phụ lục số 6'!$6:$6,'Phụ lục số 6'!#REF!,'Phụ lục số 6'!$16:$21</definedName>
    <definedName name="Z_88621519_296E_4458_B04E_813E881018FE_.wvu.Rows" localSheetId="54" hidden="1">'Phụ lục số 6- CKNS'!$1:$2</definedName>
    <definedName name="Z_88621519_296E_4458_B04E_813E881018FE_.wvu.Rows" localSheetId="40" hidden="1">'Phụ lục số 6- HĐND'!$6:$6,'Phụ lục số 6- HĐND'!#REF!,'Phụ lục số 6- HĐND'!$16:$21</definedName>
    <definedName name="Z_88621519_296E_4458_B04E_813E881018FE_.wvu.Rows" localSheetId="27" hidden="1">'Phụ lục số 8'!$1:$2,'Phụ lục số 8'!$24:$24,'Phụ lục số 8'!$40:$40,'Phụ lục số 8'!$49:$49</definedName>
    <definedName name="Z_88621519_296E_4458_B04E_813E881018FE_.wvu.Rows" localSheetId="42" hidden="1">'Phụ lục số 8- HĐND'!$1:$2,'Phụ lục số 8- HĐND'!$24:$24,'Phụ lục số 8- HĐND'!$40:$40,'Phụ lục số 8- HĐND'!$49:$49</definedName>
    <definedName name="Z_88621519_296E_4458_B04E_813E881018FE_.wvu.Rows" localSheetId="9" hidden="1">'Quỹ TC ngoài NS 2020-2021'!$37:$40</definedName>
    <definedName name="Z_88621519_296E_4458_B04E_813E881018FE_.wvu.Rows" localSheetId="28" hidden="1">'Thu NSH'!$24:$24</definedName>
    <definedName name="Z_88621519_296E_4458_B04E_813E881018FE_.wvu.Rows" localSheetId="18" hidden="1">'Thu NSNN 2020-2021'!#REF!</definedName>
    <definedName name="Z_88621519_296E_4458_B04E_813E881018FE_.wvu.Rows" localSheetId="33" hidden="1">XSKT!$1:$3</definedName>
  </definedNames>
  <calcPr calcId="162913"/>
  <customWorkbookViews>
    <customWorkbookView name="quangbxdth - Personal View" guid="{88621519-296E-4458-B04E-813E881018FE}" mergeInterval="0" personalView="1" maximized="1" xWindow="-8" yWindow="-8" windowWidth="1376" windowHeight="744" activeSheetId="102"/>
  </customWorkbookViews>
</workbook>
</file>

<file path=xl/calcChain.xml><?xml version="1.0" encoding="utf-8"?>
<calcChain xmlns="http://schemas.openxmlformats.org/spreadsheetml/2006/main">
  <c r="E19" i="139" l="1"/>
  <c r="D19" i="139"/>
  <c r="C19" i="139" s="1"/>
  <c r="E18" i="139"/>
  <c r="D18" i="139"/>
  <c r="C18" i="139"/>
  <c r="E17" i="139"/>
  <c r="D17" i="139"/>
  <c r="C17" i="139" s="1"/>
  <c r="E16" i="139"/>
  <c r="C16" i="139" s="1"/>
  <c r="D16" i="139"/>
  <c r="E15" i="139"/>
  <c r="D15" i="139"/>
  <c r="C15" i="139"/>
  <c r="E14" i="139"/>
  <c r="C14" i="139" s="1"/>
  <c r="D14" i="139"/>
  <c r="E13" i="139"/>
  <c r="D13" i="139"/>
  <c r="C13" i="139"/>
  <c r="E12" i="139"/>
  <c r="D12" i="139"/>
  <c r="C12" i="139"/>
  <c r="E11" i="139"/>
  <c r="D11" i="139"/>
  <c r="C11" i="139" s="1"/>
  <c r="E10" i="139"/>
  <c r="D10" i="139"/>
  <c r="C10" i="139"/>
  <c r="E9" i="139"/>
  <c r="D9" i="139"/>
  <c r="C9" i="139" s="1"/>
  <c r="E8" i="139"/>
  <c r="C8" i="139" s="1"/>
  <c r="D8" i="139"/>
  <c r="A2" i="139"/>
  <c r="C20" i="139" l="1"/>
  <c r="D20" i="139"/>
  <c r="E20" i="139"/>
  <c r="C46" i="133"/>
  <c r="C44" i="133"/>
  <c r="D29" i="142" l="1"/>
  <c r="D27" i="142" s="1"/>
  <c r="B29" i="142"/>
  <c r="B27" i="142" s="1"/>
  <c r="C27" i="142"/>
  <c r="D26" i="142"/>
  <c r="B26" i="142"/>
  <c r="D24" i="142"/>
  <c r="B24" i="142"/>
  <c r="B23" i="142"/>
  <c r="D22" i="142"/>
  <c r="D19" i="142" s="1"/>
  <c r="B22" i="142"/>
  <c r="B21" i="142"/>
  <c r="C19" i="142"/>
  <c r="D18" i="142"/>
  <c r="D16" i="142" s="1"/>
  <c r="B18" i="142"/>
  <c r="B16" i="142" s="1"/>
  <c r="C16" i="142"/>
  <c r="C9" i="142"/>
  <c r="C8" i="142"/>
  <c r="C35" i="133"/>
  <c r="C12" i="133"/>
  <c r="C29" i="133" s="1"/>
  <c r="C11" i="133"/>
  <c r="C28" i="133" s="1"/>
  <c r="D14" i="142" l="1"/>
  <c r="B19" i="142"/>
  <c r="B14" i="142" s="1"/>
  <c r="H76" i="1" l="1"/>
  <c r="H66" i="1"/>
  <c r="EW21" i="74" l="1"/>
  <c r="EK21" i="74"/>
  <c r="DY21" i="74"/>
  <c r="DM21" i="74"/>
  <c r="DA21" i="74"/>
  <c r="CO21" i="74"/>
  <c r="CC21" i="74"/>
  <c r="BQ21" i="74"/>
  <c r="BE21" i="74"/>
  <c r="AS21" i="74"/>
  <c r="AG21" i="74"/>
  <c r="U21" i="74"/>
  <c r="U20" i="74"/>
  <c r="C105" i="96"/>
  <c r="Q104" i="96"/>
  <c r="C104" i="96" s="1"/>
  <c r="D104" i="96"/>
  <c r="Q103" i="96"/>
  <c r="D103" i="96"/>
  <c r="C103" i="96" s="1"/>
  <c r="Q102" i="96"/>
  <c r="I102" i="96"/>
  <c r="D102" i="96" s="1"/>
  <c r="Q101" i="96"/>
  <c r="D101" i="96"/>
  <c r="Q100" i="96"/>
  <c r="D100" i="96"/>
  <c r="C100" i="96" s="1"/>
  <c r="Q99" i="96"/>
  <c r="D99" i="96"/>
  <c r="C99" i="96"/>
  <c r="Q98" i="96"/>
  <c r="D98" i="96"/>
  <c r="Q97" i="96"/>
  <c r="Q95" i="96" s="1"/>
  <c r="D97" i="96"/>
  <c r="Q96" i="96"/>
  <c r="D96" i="96"/>
  <c r="C96" i="96" s="1"/>
  <c r="S95" i="96"/>
  <c r="R95" i="96"/>
  <c r="P95" i="96"/>
  <c r="O95" i="96"/>
  <c r="N95" i="96"/>
  <c r="M95" i="96"/>
  <c r="L95" i="96"/>
  <c r="K95" i="96"/>
  <c r="J95" i="96"/>
  <c r="H95" i="96"/>
  <c r="G95" i="96"/>
  <c r="F95" i="96"/>
  <c r="E95" i="96"/>
  <c r="Q94" i="96"/>
  <c r="D94" i="96"/>
  <c r="C94" i="96" s="1"/>
  <c r="Q93" i="96"/>
  <c r="D93" i="96"/>
  <c r="C93" i="96" s="1"/>
  <c r="Q92" i="96"/>
  <c r="D92" i="96"/>
  <c r="C92" i="96" s="1"/>
  <c r="Q91" i="96"/>
  <c r="D91" i="96"/>
  <c r="C91" i="96" s="1"/>
  <c r="Q90" i="96"/>
  <c r="D90" i="96"/>
  <c r="C90" i="96"/>
  <c r="Q89" i="96"/>
  <c r="D89" i="96"/>
  <c r="C89" i="96" s="1"/>
  <c r="Q88" i="96"/>
  <c r="D88" i="96"/>
  <c r="C88" i="96" s="1"/>
  <c r="Q87" i="96"/>
  <c r="D87" i="96"/>
  <c r="C87" i="96" s="1"/>
  <c r="Q86" i="96"/>
  <c r="D86" i="96"/>
  <c r="C86" i="96" s="1"/>
  <c r="Q85" i="96"/>
  <c r="D85" i="96"/>
  <c r="C85" i="96"/>
  <c r="Q84" i="96"/>
  <c r="D84" i="96"/>
  <c r="C84" i="96" s="1"/>
  <c r="Q83" i="96"/>
  <c r="D83" i="96"/>
  <c r="Q82" i="96"/>
  <c r="D82" i="96"/>
  <c r="C82" i="96" s="1"/>
  <c r="Q81" i="96"/>
  <c r="C81" i="96" s="1"/>
  <c r="D81" i="96"/>
  <c r="Q80" i="96"/>
  <c r="D80" i="96"/>
  <c r="Q79" i="96"/>
  <c r="D79" i="96"/>
  <c r="C79" i="96" s="1"/>
  <c r="Q78" i="96"/>
  <c r="D78" i="96"/>
  <c r="C78" i="96" s="1"/>
  <c r="Q77" i="96"/>
  <c r="D77" i="96"/>
  <c r="C77" i="96" s="1"/>
  <c r="Q76" i="96"/>
  <c r="D76" i="96"/>
  <c r="C76" i="96" s="1"/>
  <c r="Q75" i="96"/>
  <c r="D75" i="96"/>
  <c r="C75" i="96" s="1"/>
  <c r="S74" i="96"/>
  <c r="R74" i="96"/>
  <c r="Q74" i="96"/>
  <c r="P74" i="96"/>
  <c r="O74" i="96"/>
  <c r="N74" i="96"/>
  <c r="M74" i="96"/>
  <c r="L74" i="96"/>
  <c r="L65" i="96" s="1"/>
  <c r="K74" i="96"/>
  <c r="J74" i="96"/>
  <c r="I74" i="96"/>
  <c r="H74" i="96"/>
  <c r="G74" i="96"/>
  <c r="F74" i="96"/>
  <c r="E74" i="96"/>
  <c r="Q73" i="96"/>
  <c r="D73" i="96"/>
  <c r="Q72" i="96"/>
  <c r="D72" i="96"/>
  <c r="C72" i="96" s="1"/>
  <c r="S71" i="96"/>
  <c r="Q71" i="96" s="1"/>
  <c r="C71" i="96" s="1"/>
  <c r="D71" i="96"/>
  <c r="Q70" i="96"/>
  <c r="D70" i="96"/>
  <c r="C70" i="96" s="1"/>
  <c r="Q69" i="96"/>
  <c r="D69" i="96"/>
  <c r="C69" i="96" s="1"/>
  <c r="Q68" i="96"/>
  <c r="D68" i="96"/>
  <c r="C68" i="96" s="1"/>
  <c r="Q67" i="96"/>
  <c r="D67" i="96"/>
  <c r="C67" i="96"/>
  <c r="S66" i="96"/>
  <c r="R66" i="96"/>
  <c r="P66" i="96"/>
  <c r="P65" i="96" s="1"/>
  <c r="O66" i="96"/>
  <c r="O65" i="96" s="1"/>
  <c r="N66" i="96"/>
  <c r="M66" i="96"/>
  <c r="L66" i="96"/>
  <c r="K66" i="96"/>
  <c r="K65" i="96" s="1"/>
  <c r="J66" i="96"/>
  <c r="I66" i="96"/>
  <c r="H66" i="96"/>
  <c r="H65" i="96" s="1"/>
  <c r="G66" i="96"/>
  <c r="G65" i="96" s="1"/>
  <c r="F66" i="96"/>
  <c r="E66" i="96"/>
  <c r="R65" i="96"/>
  <c r="N65" i="96"/>
  <c r="M65" i="96"/>
  <c r="J65" i="96"/>
  <c r="F65" i="96"/>
  <c r="E65" i="96"/>
  <c r="Q64" i="96"/>
  <c r="P64" i="96"/>
  <c r="O64" i="96"/>
  <c r="Q63" i="96"/>
  <c r="I63" i="96"/>
  <c r="D63" i="96" s="1"/>
  <c r="S62" i="96"/>
  <c r="Q62" i="96" s="1"/>
  <c r="O62" i="96"/>
  <c r="O61" i="96" s="1"/>
  <c r="R61" i="96"/>
  <c r="P61" i="96"/>
  <c r="N61" i="96"/>
  <c r="M61" i="96"/>
  <c r="L61" i="96"/>
  <c r="K61" i="96"/>
  <c r="J61" i="96"/>
  <c r="I61" i="96"/>
  <c r="H61" i="96"/>
  <c r="G61" i="96"/>
  <c r="F61" i="96"/>
  <c r="E61" i="96"/>
  <c r="Q60" i="96"/>
  <c r="D60" i="96"/>
  <c r="C60" i="96" s="1"/>
  <c r="Q59" i="96"/>
  <c r="D59" i="96"/>
  <c r="C59" i="96" s="1"/>
  <c r="Q58" i="96"/>
  <c r="D58" i="96"/>
  <c r="C58" i="96" s="1"/>
  <c r="S57" i="96"/>
  <c r="Q57" i="96"/>
  <c r="D57" i="96"/>
  <c r="Q56" i="96"/>
  <c r="D56" i="96"/>
  <c r="C56" i="96" s="1"/>
  <c r="Q55" i="96"/>
  <c r="D55" i="96"/>
  <c r="C55" i="96" s="1"/>
  <c r="Q54" i="96"/>
  <c r="D54" i="96"/>
  <c r="C54" i="96" s="1"/>
  <c r="S53" i="96"/>
  <c r="R53" i="96"/>
  <c r="P53" i="96"/>
  <c r="O53" i="96"/>
  <c r="N53" i="96"/>
  <c r="M53" i="96"/>
  <c r="L53" i="96"/>
  <c r="L46" i="96" s="1"/>
  <c r="K53" i="96"/>
  <c r="J53" i="96"/>
  <c r="I53" i="96"/>
  <c r="I46" i="96" s="1"/>
  <c r="H53" i="96"/>
  <c r="G53" i="96"/>
  <c r="F53" i="96"/>
  <c r="E53" i="96"/>
  <c r="Q52" i="96"/>
  <c r="D52" i="96"/>
  <c r="C52" i="96"/>
  <c r="Q51" i="96"/>
  <c r="D51" i="96"/>
  <c r="Q50" i="96"/>
  <c r="D50" i="96"/>
  <c r="C50" i="96" s="1"/>
  <c r="Q49" i="96"/>
  <c r="D49" i="96"/>
  <c r="C49" i="96" s="1"/>
  <c r="Q48" i="96"/>
  <c r="Q47" i="96" s="1"/>
  <c r="D48" i="96"/>
  <c r="C48" i="96" s="1"/>
  <c r="S47" i="96"/>
  <c r="S46" i="96" s="1"/>
  <c r="R47" i="96"/>
  <c r="P47" i="96"/>
  <c r="P46" i="96" s="1"/>
  <c r="P10" i="96" s="1"/>
  <c r="P9" i="96" s="1"/>
  <c r="O47" i="96"/>
  <c r="O46" i="96" s="1"/>
  <c r="N47" i="96"/>
  <c r="N46" i="96" s="1"/>
  <c r="M47" i="96"/>
  <c r="M46" i="96" s="1"/>
  <c r="L47" i="96"/>
  <c r="K47" i="96"/>
  <c r="K46" i="96" s="1"/>
  <c r="J47" i="96"/>
  <c r="J46" i="96" s="1"/>
  <c r="I47" i="96"/>
  <c r="H47" i="96"/>
  <c r="H46" i="96" s="1"/>
  <c r="G47" i="96"/>
  <c r="G46" i="96" s="1"/>
  <c r="F47" i="96"/>
  <c r="F46" i="96" s="1"/>
  <c r="E47" i="96"/>
  <c r="E46" i="96" s="1"/>
  <c r="D47" i="96"/>
  <c r="P45" i="96"/>
  <c r="O45" i="96"/>
  <c r="N45" i="96"/>
  <c r="N40" i="96" s="1"/>
  <c r="N11" i="96" s="1"/>
  <c r="M45" i="96"/>
  <c r="M40" i="96" s="1"/>
  <c r="M11" i="96" s="1"/>
  <c r="L45" i="96"/>
  <c r="K45" i="96"/>
  <c r="K40" i="96" s="1"/>
  <c r="K11" i="96" s="1"/>
  <c r="K10" i="96" s="1"/>
  <c r="K9" i="96" s="1"/>
  <c r="J45" i="96"/>
  <c r="J40" i="96" s="1"/>
  <c r="J11" i="96" s="1"/>
  <c r="I45" i="96"/>
  <c r="I40" i="96" s="1"/>
  <c r="I11" i="96" s="1"/>
  <c r="H45" i="96"/>
  <c r="G45" i="96"/>
  <c r="F45" i="96"/>
  <c r="F40" i="96" s="1"/>
  <c r="F11" i="96" s="1"/>
  <c r="E45" i="96"/>
  <c r="Q44" i="96"/>
  <c r="D44" i="96"/>
  <c r="C44" i="96" s="1"/>
  <c r="Q43" i="96"/>
  <c r="D43" i="96"/>
  <c r="C43" i="96" s="1"/>
  <c r="S42" i="96"/>
  <c r="Q42" i="96" s="1"/>
  <c r="D42" i="96"/>
  <c r="C42" i="96" s="1"/>
  <c r="Q41" i="96"/>
  <c r="D41" i="96"/>
  <c r="C41" i="96" s="1"/>
  <c r="P40" i="96"/>
  <c r="O40" i="96"/>
  <c r="L40" i="96"/>
  <c r="H40" i="96"/>
  <c r="H11" i="96" s="1"/>
  <c r="G40" i="96"/>
  <c r="Q39" i="96"/>
  <c r="D39" i="96"/>
  <c r="C39" i="96" s="1"/>
  <c r="Q38" i="96"/>
  <c r="D38" i="96"/>
  <c r="Q37" i="96"/>
  <c r="D37" i="96"/>
  <c r="C37" i="96" s="1"/>
  <c r="Q36" i="96"/>
  <c r="D36" i="96"/>
  <c r="Q35" i="96"/>
  <c r="C35" i="96" s="1"/>
  <c r="D35" i="96"/>
  <c r="Q34" i="96"/>
  <c r="D34" i="96"/>
  <c r="C34" i="96" s="1"/>
  <c r="Q33" i="96"/>
  <c r="D33" i="96"/>
  <c r="Q32" i="96"/>
  <c r="D32" i="96"/>
  <c r="C32" i="96" s="1"/>
  <c r="Q31" i="96"/>
  <c r="D31" i="96"/>
  <c r="C31" i="96" s="1"/>
  <c r="Q30" i="96"/>
  <c r="D30" i="96"/>
  <c r="C30" i="96" s="1"/>
  <c r="Q29" i="96"/>
  <c r="D29" i="96"/>
  <c r="S28" i="96"/>
  <c r="Q28" i="96" s="1"/>
  <c r="D28" i="96"/>
  <c r="Q27" i="96"/>
  <c r="D27" i="96"/>
  <c r="C27" i="96" s="1"/>
  <c r="S26" i="96"/>
  <c r="Q26" i="96" s="1"/>
  <c r="D26" i="96"/>
  <c r="S25" i="96"/>
  <c r="Q25" i="96" s="1"/>
  <c r="D25" i="96"/>
  <c r="C25" i="96" s="1"/>
  <c r="S24" i="96"/>
  <c r="R24" i="96"/>
  <c r="Q24" i="96" s="1"/>
  <c r="D24" i="96"/>
  <c r="S23" i="96"/>
  <c r="Q23" i="96" s="1"/>
  <c r="D23" i="96"/>
  <c r="Q22" i="96"/>
  <c r="D22" i="96"/>
  <c r="S21" i="96"/>
  <c r="Q21" i="96" s="1"/>
  <c r="D21" i="96"/>
  <c r="Q20" i="96"/>
  <c r="D20" i="96"/>
  <c r="C20" i="96" s="1"/>
  <c r="Q19" i="96"/>
  <c r="D19" i="96"/>
  <c r="C19" i="96" s="1"/>
  <c r="Q18" i="96"/>
  <c r="D18" i="96"/>
  <c r="C18" i="96" s="1"/>
  <c r="Q17" i="96"/>
  <c r="D17" i="96"/>
  <c r="C17" i="96" s="1"/>
  <c r="S16" i="96"/>
  <c r="Q16" i="96" s="1"/>
  <c r="D16" i="96"/>
  <c r="Q15" i="96"/>
  <c r="D15" i="96"/>
  <c r="C15" i="96" s="1"/>
  <c r="S14" i="96"/>
  <c r="R14" i="96"/>
  <c r="D14" i="96"/>
  <c r="S13" i="96"/>
  <c r="Q13" i="96" s="1"/>
  <c r="D13" i="96"/>
  <c r="Q12" i="96"/>
  <c r="D12" i="96"/>
  <c r="C12" i="96" s="1"/>
  <c r="P11" i="96"/>
  <c r="O11" i="96"/>
  <c r="L11" i="96"/>
  <c r="G11" i="96"/>
  <c r="G10" i="96" s="1"/>
  <c r="G9" i="96" s="1"/>
  <c r="C105" i="132"/>
  <c r="Q104" i="132"/>
  <c r="C104" i="132" s="1"/>
  <c r="D104" i="132"/>
  <c r="Q103" i="132"/>
  <c r="D103" i="132"/>
  <c r="Q102" i="132"/>
  <c r="I102" i="132"/>
  <c r="D102" i="132" s="1"/>
  <c r="Q101" i="132"/>
  <c r="D101" i="132"/>
  <c r="C101" i="132" s="1"/>
  <c r="Q100" i="132"/>
  <c r="D100" i="132"/>
  <c r="C100" i="132"/>
  <c r="Q99" i="132"/>
  <c r="C99" i="132" s="1"/>
  <c r="D99" i="132"/>
  <c r="Q98" i="132"/>
  <c r="Q95" i="132" s="1"/>
  <c r="D98" i="132"/>
  <c r="Q97" i="132"/>
  <c r="D97" i="132"/>
  <c r="C97" i="132" s="1"/>
  <c r="Q96" i="132"/>
  <c r="D96" i="132"/>
  <c r="C96" i="132" s="1"/>
  <c r="S95" i="132"/>
  <c r="R95" i="132"/>
  <c r="P95" i="132"/>
  <c r="O95" i="132"/>
  <c r="N95" i="132"/>
  <c r="M95" i="132"/>
  <c r="L95" i="132"/>
  <c r="L65" i="132" s="1"/>
  <c r="K95" i="132"/>
  <c r="J95" i="132"/>
  <c r="I95" i="132"/>
  <c r="I65" i="132" s="1"/>
  <c r="H95" i="132"/>
  <c r="G95" i="132"/>
  <c r="F95" i="132"/>
  <c r="E95" i="132"/>
  <c r="Q94" i="132"/>
  <c r="D94" i="132"/>
  <c r="C94" i="132" s="1"/>
  <c r="Q93" i="132"/>
  <c r="C93" i="132" s="1"/>
  <c r="D93" i="132"/>
  <c r="Q92" i="132"/>
  <c r="D92" i="132"/>
  <c r="Q91" i="132"/>
  <c r="D91" i="132"/>
  <c r="C91" i="132" s="1"/>
  <c r="Q90" i="132"/>
  <c r="D90" i="132"/>
  <c r="C90" i="132"/>
  <c r="Q89" i="132"/>
  <c r="C89" i="132" s="1"/>
  <c r="D89" i="132"/>
  <c r="Q88" i="132"/>
  <c r="D88" i="132"/>
  <c r="Q87" i="132"/>
  <c r="D87" i="132"/>
  <c r="Q86" i="132"/>
  <c r="D86" i="132"/>
  <c r="C86" i="132" s="1"/>
  <c r="Q85" i="132"/>
  <c r="C85" i="132" s="1"/>
  <c r="D85" i="132"/>
  <c r="Q84" i="132"/>
  <c r="D84" i="132"/>
  <c r="C84" i="132" s="1"/>
  <c r="Q83" i="132"/>
  <c r="D83" i="132"/>
  <c r="Q82" i="132"/>
  <c r="D82" i="132"/>
  <c r="C82" i="132" s="1"/>
  <c r="Q81" i="132"/>
  <c r="D81" i="132"/>
  <c r="Q80" i="132"/>
  <c r="D80" i="132"/>
  <c r="Q79" i="132"/>
  <c r="D79" i="132"/>
  <c r="C79" i="132" s="1"/>
  <c r="Q78" i="132"/>
  <c r="D78" i="132"/>
  <c r="C78" i="132" s="1"/>
  <c r="Q77" i="132"/>
  <c r="D77" i="132"/>
  <c r="Q76" i="132"/>
  <c r="D76" i="132"/>
  <c r="C76" i="132" s="1"/>
  <c r="Q75" i="132"/>
  <c r="Q74" i="132" s="1"/>
  <c r="D75" i="132"/>
  <c r="S74" i="132"/>
  <c r="R74" i="132"/>
  <c r="P74" i="132"/>
  <c r="O74" i="132"/>
  <c r="N74" i="132"/>
  <c r="M74" i="132"/>
  <c r="L74" i="132"/>
  <c r="K74" i="132"/>
  <c r="J74" i="132"/>
  <c r="I74" i="132"/>
  <c r="H74" i="132"/>
  <c r="H65" i="132" s="1"/>
  <c r="G74" i="132"/>
  <c r="F74" i="132"/>
  <c r="E74" i="132"/>
  <c r="Q73" i="132"/>
  <c r="D73" i="132"/>
  <c r="Q72" i="132"/>
  <c r="D72" i="132"/>
  <c r="C72" i="132"/>
  <c r="S71" i="132"/>
  <c r="Q71" i="132" s="1"/>
  <c r="C71" i="132" s="1"/>
  <c r="D71" i="132"/>
  <c r="Q70" i="132"/>
  <c r="C70" i="132" s="1"/>
  <c r="D70" i="132"/>
  <c r="Q69" i="132"/>
  <c r="D69" i="132"/>
  <c r="Q68" i="132"/>
  <c r="D68" i="132"/>
  <c r="C68" i="132" s="1"/>
  <c r="Q67" i="132"/>
  <c r="D67" i="132"/>
  <c r="C67" i="132"/>
  <c r="R66" i="132"/>
  <c r="P66" i="132"/>
  <c r="O66" i="132"/>
  <c r="O65" i="132" s="1"/>
  <c r="N66" i="132"/>
  <c r="N65" i="132" s="1"/>
  <c r="M66" i="132"/>
  <c r="M65" i="132" s="1"/>
  <c r="L66" i="132"/>
  <c r="K66" i="132"/>
  <c r="K65" i="132" s="1"/>
  <c r="J66" i="132"/>
  <c r="I66" i="132"/>
  <c r="H66" i="132"/>
  <c r="G66" i="132"/>
  <c r="G65" i="132" s="1"/>
  <c r="F66" i="132"/>
  <c r="F65" i="132" s="1"/>
  <c r="E66" i="132"/>
  <c r="R65" i="132"/>
  <c r="J65" i="132"/>
  <c r="E65" i="132"/>
  <c r="Q64" i="132"/>
  <c r="P64" i="132"/>
  <c r="O64" i="132"/>
  <c r="D64" i="132" s="1"/>
  <c r="C64" i="132" s="1"/>
  <c r="Q63" i="132"/>
  <c r="I63" i="132"/>
  <c r="D63" i="132" s="1"/>
  <c r="S62" i="132"/>
  <c r="Q62" i="132" s="1"/>
  <c r="O62" i="132"/>
  <c r="D62" i="132"/>
  <c r="R61" i="132"/>
  <c r="P61" i="132"/>
  <c r="O61" i="132"/>
  <c r="N61" i="132"/>
  <c r="M61" i="132"/>
  <c r="L61" i="132"/>
  <c r="K61" i="132"/>
  <c r="J61" i="132"/>
  <c r="H61" i="132"/>
  <c r="G61" i="132"/>
  <c r="F61" i="132"/>
  <c r="E61" i="132"/>
  <c r="Q60" i="132"/>
  <c r="D60" i="132"/>
  <c r="C60" i="132"/>
  <c r="Q59" i="132"/>
  <c r="D59" i="132"/>
  <c r="Q58" i="132"/>
  <c r="D58" i="132"/>
  <c r="S57" i="132"/>
  <c r="Q57" i="132" s="1"/>
  <c r="D57" i="132"/>
  <c r="Q56" i="132"/>
  <c r="D56" i="132"/>
  <c r="Q55" i="132"/>
  <c r="D55" i="132"/>
  <c r="C55" i="132" s="1"/>
  <c r="Q54" i="132"/>
  <c r="D54" i="132"/>
  <c r="C54" i="132" s="1"/>
  <c r="S53" i="132"/>
  <c r="R53" i="132"/>
  <c r="P53" i="132"/>
  <c r="O53" i="132"/>
  <c r="N53" i="132"/>
  <c r="M53" i="132"/>
  <c r="L53" i="132"/>
  <c r="K53" i="132"/>
  <c r="J53" i="132"/>
  <c r="I53" i="132"/>
  <c r="H53" i="132"/>
  <c r="G53" i="132"/>
  <c r="F53" i="132"/>
  <c r="E53" i="132"/>
  <c r="Q52" i="132"/>
  <c r="D52" i="132"/>
  <c r="C52" i="132"/>
  <c r="Q51" i="132"/>
  <c r="D51" i="132"/>
  <c r="Q50" i="132"/>
  <c r="D50" i="132"/>
  <c r="Q49" i="132"/>
  <c r="D49" i="132"/>
  <c r="C49" i="132" s="1"/>
  <c r="Q48" i="132"/>
  <c r="Q47" i="132" s="1"/>
  <c r="D48" i="132"/>
  <c r="C48" i="132" s="1"/>
  <c r="S47" i="132"/>
  <c r="R47" i="132"/>
  <c r="R46" i="132" s="1"/>
  <c r="P47" i="132"/>
  <c r="P46" i="132" s="1"/>
  <c r="O47" i="132"/>
  <c r="O46" i="132" s="1"/>
  <c r="N47" i="132"/>
  <c r="N46" i="132" s="1"/>
  <c r="M47" i="132"/>
  <c r="M46" i="132" s="1"/>
  <c r="L47" i="132"/>
  <c r="K47" i="132"/>
  <c r="K46" i="132" s="1"/>
  <c r="J47" i="132"/>
  <c r="I47" i="132"/>
  <c r="H47" i="132"/>
  <c r="H46" i="132" s="1"/>
  <c r="G47" i="132"/>
  <c r="G46" i="132" s="1"/>
  <c r="F47" i="132"/>
  <c r="F46" i="132" s="1"/>
  <c r="E47" i="132"/>
  <c r="E46" i="132" s="1"/>
  <c r="L46" i="132"/>
  <c r="I46" i="132"/>
  <c r="P45" i="132"/>
  <c r="O45" i="132"/>
  <c r="N45" i="132"/>
  <c r="N40" i="132" s="1"/>
  <c r="N11" i="132" s="1"/>
  <c r="M45" i="132"/>
  <c r="M40" i="132" s="1"/>
  <c r="M11" i="132" s="1"/>
  <c r="L45" i="132"/>
  <c r="L40" i="132" s="1"/>
  <c r="L11" i="132" s="1"/>
  <c r="L10" i="132" s="1"/>
  <c r="L9" i="132" s="1"/>
  <c r="K45" i="132"/>
  <c r="K40" i="132" s="1"/>
  <c r="K11" i="132" s="1"/>
  <c r="J45" i="132"/>
  <c r="J40" i="132" s="1"/>
  <c r="J11" i="132" s="1"/>
  <c r="I45" i="132"/>
  <c r="I40" i="132" s="1"/>
  <c r="I11" i="132" s="1"/>
  <c r="H45" i="132"/>
  <c r="G45" i="132"/>
  <c r="F45" i="132"/>
  <c r="F40" i="132" s="1"/>
  <c r="F11" i="132" s="1"/>
  <c r="E45" i="132"/>
  <c r="Q44" i="132"/>
  <c r="D44" i="132"/>
  <c r="Q43" i="132"/>
  <c r="D43" i="132"/>
  <c r="C43" i="132" s="1"/>
  <c r="S42" i="132"/>
  <c r="Q42" i="132" s="1"/>
  <c r="D42" i="132"/>
  <c r="C42" i="132" s="1"/>
  <c r="Q41" i="132"/>
  <c r="D41" i="132"/>
  <c r="C41" i="132"/>
  <c r="P40" i="132"/>
  <c r="O40" i="132"/>
  <c r="O11" i="132" s="1"/>
  <c r="H40" i="132"/>
  <c r="G40" i="132"/>
  <c r="Q39" i="132"/>
  <c r="C39" i="132" s="1"/>
  <c r="D39" i="132"/>
  <c r="Q38" i="132"/>
  <c r="D38" i="132"/>
  <c r="Q37" i="132"/>
  <c r="D37" i="132"/>
  <c r="C37" i="132" s="1"/>
  <c r="Q36" i="132"/>
  <c r="D36" i="132"/>
  <c r="C36" i="132" s="1"/>
  <c r="Q35" i="132"/>
  <c r="D35" i="132"/>
  <c r="C35" i="132"/>
  <c r="Q34" i="132"/>
  <c r="D34" i="132"/>
  <c r="Q33" i="132"/>
  <c r="D33" i="132"/>
  <c r="Q32" i="132"/>
  <c r="D32" i="132"/>
  <c r="Q31" i="132"/>
  <c r="D31" i="132"/>
  <c r="C31" i="132" s="1"/>
  <c r="Q30" i="132"/>
  <c r="D30" i="132"/>
  <c r="C30" i="132" s="1"/>
  <c r="Q29" i="132"/>
  <c r="D29" i="132"/>
  <c r="C29" i="132" s="1"/>
  <c r="S28" i="132"/>
  <c r="Q28" i="132"/>
  <c r="D28" i="132"/>
  <c r="C28" i="132" s="1"/>
  <c r="Q27" i="132"/>
  <c r="D27" i="132"/>
  <c r="S26" i="132"/>
  <c r="Q26" i="132" s="1"/>
  <c r="D26" i="132"/>
  <c r="S25" i="132"/>
  <c r="Q25" i="132" s="1"/>
  <c r="D25" i="132"/>
  <c r="S24" i="132"/>
  <c r="R24" i="132"/>
  <c r="Q24" i="132" s="1"/>
  <c r="D24" i="132"/>
  <c r="S23" i="132"/>
  <c r="Q23" i="132" s="1"/>
  <c r="D23" i="132"/>
  <c r="Q22" i="132"/>
  <c r="D22" i="132"/>
  <c r="C22" i="132" s="1"/>
  <c r="S21" i="132"/>
  <c r="Q21" i="132" s="1"/>
  <c r="D21" i="132"/>
  <c r="Q20" i="132"/>
  <c r="D20" i="132"/>
  <c r="C20" i="132" s="1"/>
  <c r="Q19" i="132"/>
  <c r="D19" i="132"/>
  <c r="Q18" i="132"/>
  <c r="D18" i="132"/>
  <c r="C18" i="132" s="1"/>
  <c r="Q17" i="132"/>
  <c r="D17" i="132"/>
  <c r="C17" i="132" s="1"/>
  <c r="S16" i="132"/>
  <c r="Q16" i="132" s="1"/>
  <c r="D16" i="132"/>
  <c r="Q15" i="132"/>
  <c r="C15" i="132" s="1"/>
  <c r="D15" i="132"/>
  <c r="S14" i="132"/>
  <c r="R14" i="132"/>
  <c r="D14" i="132"/>
  <c r="S13" i="132"/>
  <c r="Q13" i="132" s="1"/>
  <c r="D13" i="132"/>
  <c r="Q12" i="132"/>
  <c r="D12" i="132"/>
  <c r="C12" i="132" s="1"/>
  <c r="P11" i="132"/>
  <c r="H11" i="132"/>
  <c r="G11" i="132"/>
  <c r="N45" i="84"/>
  <c r="H10" i="96" l="1"/>
  <c r="H9" i="96" s="1"/>
  <c r="L10" i="96"/>
  <c r="L9" i="96" s="1"/>
  <c r="C57" i="132"/>
  <c r="D66" i="132"/>
  <c r="C83" i="132"/>
  <c r="C23" i="96"/>
  <c r="C29" i="96"/>
  <c r="C36" i="96"/>
  <c r="Q66" i="96"/>
  <c r="Q65" i="96" s="1"/>
  <c r="I95" i="96"/>
  <c r="I65" i="96" s="1"/>
  <c r="I10" i="96" s="1"/>
  <c r="I9" i="96" s="1"/>
  <c r="C98" i="96"/>
  <c r="C101" i="96"/>
  <c r="Q46" i="96"/>
  <c r="C19" i="132"/>
  <c r="C25" i="132"/>
  <c r="C32" i="132"/>
  <c r="C44" i="132"/>
  <c r="G10" i="132"/>
  <c r="G9" i="132" s="1"/>
  <c r="O10" i="132"/>
  <c r="O9" i="132" s="1"/>
  <c r="C80" i="132"/>
  <c r="C87" i="132"/>
  <c r="C103" i="132"/>
  <c r="C13" i="96"/>
  <c r="C16" i="96"/>
  <c r="C26" i="96"/>
  <c r="C33" i="96"/>
  <c r="D45" i="96"/>
  <c r="M10" i="96"/>
  <c r="M9" i="96" s="1"/>
  <c r="C57" i="96"/>
  <c r="C53" i="96" s="1"/>
  <c r="D62" i="96"/>
  <c r="S65" i="96"/>
  <c r="C73" i="96"/>
  <c r="C66" i="96" s="1"/>
  <c r="C23" i="132"/>
  <c r="D53" i="96"/>
  <c r="D46" i="96" s="1"/>
  <c r="C33" i="132"/>
  <c r="D45" i="132"/>
  <c r="M10" i="132"/>
  <c r="M9" i="132" s="1"/>
  <c r="D47" i="132"/>
  <c r="C58" i="132"/>
  <c r="C77" i="132"/>
  <c r="C88" i="132"/>
  <c r="O10" i="96"/>
  <c r="O9" i="96" s="1"/>
  <c r="C24" i="96"/>
  <c r="R46" i="96"/>
  <c r="Q53" i="96"/>
  <c r="D66" i="96"/>
  <c r="F10" i="132"/>
  <c r="F9" i="132" s="1"/>
  <c r="N10" i="132"/>
  <c r="N9" i="132" s="1"/>
  <c r="J46" i="132"/>
  <c r="J10" i="132" s="1"/>
  <c r="J9" i="132" s="1"/>
  <c r="S46" i="132"/>
  <c r="P65" i="132"/>
  <c r="C69" i="132"/>
  <c r="C66" i="132" s="1"/>
  <c r="C81" i="132"/>
  <c r="C92" i="132"/>
  <c r="Q14" i="96"/>
  <c r="C14" i="96" s="1"/>
  <c r="C21" i="96"/>
  <c r="C38" i="96"/>
  <c r="C24" i="132"/>
  <c r="C27" i="132"/>
  <c r="C34" i="132"/>
  <c r="K10" i="132"/>
  <c r="K9" i="132" s="1"/>
  <c r="C51" i="132"/>
  <c r="C73" i="132"/>
  <c r="C28" i="96"/>
  <c r="C51" i="96"/>
  <c r="C47" i="96" s="1"/>
  <c r="H10" i="132"/>
  <c r="H9" i="132" s="1"/>
  <c r="Q53" i="132"/>
  <c r="Q46" i="132" s="1"/>
  <c r="Q14" i="132"/>
  <c r="C14" i="132" s="1"/>
  <c r="C21" i="132"/>
  <c r="C38" i="132"/>
  <c r="D53" i="132"/>
  <c r="C59" i="132"/>
  <c r="I61" i="132"/>
  <c r="I10" i="132" s="1"/>
  <c r="I9" i="132" s="1"/>
  <c r="S66" i="132"/>
  <c r="S65" i="132" s="1"/>
  <c r="C75" i="132"/>
  <c r="C74" i="132" s="1"/>
  <c r="C98" i="132"/>
  <c r="C22" i="96"/>
  <c r="D64" i="96"/>
  <c r="C64" i="96" s="1"/>
  <c r="C80" i="96"/>
  <c r="C83" i="96"/>
  <c r="C97" i="96"/>
  <c r="C95" i="96" s="1"/>
  <c r="C63" i="96"/>
  <c r="D61" i="96"/>
  <c r="F10" i="96"/>
  <c r="F9" i="96" s="1"/>
  <c r="J10" i="96"/>
  <c r="J9" i="96" s="1"/>
  <c r="N10" i="96"/>
  <c r="N9" i="96" s="1"/>
  <c r="C74" i="96"/>
  <c r="D95" i="96"/>
  <c r="C102" i="96"/>
  <c r="Q61" i="96"/>
  <c r="C62" i="96"/>
  <c r="C61" i="96" s="1"/>
  <c r="E40" i="96"/>
  <c r="S61" i="96"/>
  <c r="D74" i="96"/>
  <c r="Q61" i="132"/>
  <c r="C62" i="132"/>
  <c r="Q66" i="132"/>
  <c r="Q65" i="132" s="1"/>
  <c r="P10" i="132"/>
  <c r="P9" i="132" s="1"/>
  <c r="C63" i="132"/>
  <c r="D61" i="132"/>
  <c r="C13" i="132"/>
  <c r="C16" i="132"/>
  <c r="C26" i="132"/>
  <c r="D46" i="132"/>
  <c r="D95" i="132"/>
  <c r="C102" i="132"/>
  <c r="C95" i="132"/>
  <c r="E40" i="132"/>
  <c r="C50" i="132"/>
  <c r="C47" i="132" s="1"/>
  <c r="C56" i="132"/>
  <c r="S61" i="132"/>
  <c r="D74" i="132"/>
  <c r="H45" i="84"/>
  <c r="C46" i="96" l="1"/>
  <c r="D65" i="96"/>
  <c r="C53" i="132"/>
  <c r="C46" i="132" s="1"/>
  <c r="D40" i="96"/>
  <c r="E11" i="96"/>
  <c r="E10" i="96" s="1"/>
  <c r="E9" i="96" s="1"/>
  <c r="C65" i="96"/>
  <c r="C65" i="132"/>
  <c r="C61" i="132"/>
  <c r="D65" i="132"/>
  <c r="D40" i="132"/>
  <c r="E11" i="132"/>
  <c r="E10" i="132" s="1"/>
  <c r="E9" i="132" s="1"/>
  <c r="O62" i="84"/>
  <c r="O45" i="84"/>
  <c r="I45" i="84"/>
  <c r="E45" i="84"/>
  <c r="D11" i="96" l="1"/>
  <c r="D10" i="96" s="1"/>
  <c r="D9" i="96" s="1"/>
  <c r="D11" i="132"/>
  <c r="D10" i="132" s="1"/>
  <c r="D9" i="132" s="1"/>
  <c r="I50" i="2"/>
  <c r="I47" i="2"/>
  <c r="H72" i="1" l="1"/>
  <c r="H73" i="1" s="1"/>
  <c r="H74" i="1" s="1"/>
  <c r="H75" i="1" s="1"/>
  <c r="H70" i="1"/>
  <c r="EK20" i="74" l="1"/>
  <c r="F45" i="84" l="1"/>
  <c r="E43" i="102" l="1"/>
  <c r="C49" i="131" l="1"/>
  <c r="C48" i="131"/>
  <c r="C47" i="131"/>
  <c r="C46" i="131"/>
  <c r="C45" i="131"/>
  <c r="C44" i="131"/>
  <c r="C43" i="131"/>
  <c r="C42" i="131"/>
  <c r="E41" i="131"/>
  <c r="E30" i="131" s="1"/>
  <c r="D41" i="131"/>
  <c r="C40" i="131"/>
  <c r="C39" i="131"/>
  <c r="C38" i="131"/>
  <c r="C37" i="131"/>
  <c r="C36" i="131"/>
  <c r="C35" i="131"/>
  <c r="C34" i="131"/>
  <c r="C33" i="131"/>
  <c r="E32" i="131"/>
  <c r="D32" i="131"/>
  <c r="C31" i="131"/>
  <c r="D30" i="131"/>
  <c r="E29" i="131"/>
  <c r="C29" i="131"/>
  <c r="C28" i="131"/>
  <c r="C27" i="131"/>
  <c r="C26" i="131"/>
  <c r="E25" i="131"/>
  <c r="C25" i="131"/>
  <c r="C24" i="131"/>
  <c r="C23" i="131"/>
  <c r="C22" i="131"/>
  <c r="C21" i="131"/>
  <c r="C20" i="131" s="1"/>
  <c r="D20" i="131"/>
  <c r="C18" i="131"/>
  <c r="C17" i="131"/>
  <c r="C16" i="131"/>
  <c r="C15" i="131"/>
  <c r="C14" i="131" s="1"/>
  <c r="E14" i="131"/>
  <c r="E11" i="131" s="1"/>
  <c r="D14" i="131"/>
  <c r="D11" i="131" s="1"/>
  <c r="C13" i="131"/>
  <c r="C12" i="131"/>
  <c r="C9" i="131"/>
  <c r="C8" i="131"/>
  <c r="E7" i="131"/>
  <c r="D7" i="131"/>
  <c r="C21" i="130"/>
  <c r="C20" i="130"/>
  <c r="C19" i="130"/>
  <c r="C18" i="130"/>
  <c r="C17" i="130"/>
  <c r="O16" i="130"/>
  <c r="N16" i="130"/>
  <c r="M16" i="130"/>
  <c r="L16" i="130"/>
  <c r="K16" i="130"/>
  <c r="J16" i="130"/>
  <c r="I16" i="130"/>
  <c r="H16" i="130"/>
  <c r="G16" i="130"/>
  <c r="F16" i="130"/>
  <c r="E16" i="130"/>
  <c r="D16" i="130"/>
  <c r="C6" i="130"/>
  <c r="AO48" i="129"/>
  <c r="AL48" i="129"/>
  <c r="AI48" i="129"/>
  <c r="AF48" i="129"/>
  <c r="AC48" i="129"/>
  <c r="Z48" i="129"/>
  <c r="W48" i="129"/>
  <c r="T48" i="129"/>
  <c r="Q48" i="129"/>
  <c r="N48" i="129"/>
  <c r="K48" i="129"/>
  <c r="H48" i="129"/>
  <c r="E48" i="129" s="1"/>
  <c r="C48" i="129"/>
  <c r="H47" i="129"/>
  <c r="H46" i="129"/>
  <c r="H45" i="129"/>
  <c r="AM31" i="129"/>
  <c r="AO31" i="129" s="1"/>
  <c r="AJ31" i="129"/>
  <c r="AL31" i="129" s="1"/>
  <c r="AG31" i="129"/>
  <c r="AI31" i="129" s="1"/>
  <c r="AD31" i="129"/>
  <c r="AF31" i="129" s="1"/>
  <c r="AA31" i="129"/>
  <c r="AC31" i="129" s="1"/>
  <c r="Z31" i="129"/>
  <c r="X31" i="129"/>
  <c r="U31" i="129"/>
  <c r="C31" i="129" s="1"/>
  <c r="R31" i="129"/>
  <c r="T31" i="129" s="1"/>
  <c r="O31" i="129"/>
  <c r="Q31" i="129" s="1"/>
  <c r="N31" i="129"/>
  <c r="L31" i="129"/>
  <c r="I31" i="129"/>
  <c r="K31" i="129" s="1"/>
  <c r="F31" i="129"/>
  <c r="H31" i="129" s="1"/>
  <c r="AM29" i="129"/>
  <c r="AO29" i="129" s="1"/>
  <c r="AJ29" i="129"/>
  <c r="AL29" i="129" s="1"/>
  <c r="AI29" i="129"/>
  <c r="AG29" i="129"/>
  <c r="AD29" i="129"/>
  <c r="AF29" i="129" s="1"/>
  <c r="AA29" i="129"/>
  <c r="AC29" i="129" s="1"/>
  <c r="X29" i="129"/>
  <c r="Z29" i="129" s="1"/>
  <c r="W29" i="129"/>
  <c r="U29" i="129"/>
  <c r="R29" i="129"/>
  <c r="T29" i="129" s="1"/>
  <c r="O29" i="129"/>
  <c r="Q29" i="129" s="1"/>
  <c r="L29" i="129"/>
  <c r="C29" i="129" s="1"/>
  <c r="K29" i="129"/>
  <c r="I29" i="129"/>
  <c r="F29" i="129"/>
  <c r="H29" i="129" s="1"/>
  <c r="AM28" i="129"/>
  <c r="AJ28" i="129"/>
  <c r="AL28" i="129" s="1"/>
  <c r="AG28" i="129"/>
  <c r="AD28" i="129"/>
  <c r="AF28" i="129" s="1"/>
  <c r="AA28" i="129"/>
  <c r="X28" i="129"/>
  <c r="Z28" i="129" s="1"/>
  <c r="U28" i="129"/>
  <c r="R28" i="129"/>
  <c r="T28" i="129" s="1"/>
  <c r="O28" i="129"/>
  <c r="C28" i="129" s="1"/>
  <c r="N28" i="129"/>
  <c r="L28" i="129"/>
  <c r="I28" i="129"/>
  <c r="F28" i="129"/>
  <c r="H28" i="129" s="1"/>
  <c r="AM25" i="129"/>
  <c r="AJ25" i="129"/>
  <c r="AG25" i="129"/>
  <c r="AD25" i="129"/>
  <c r="AF25" i="129" s="1"/>
  <c r="AA25" i="129"/>
  <c r="X25" i="129"/>
  <c r="U25" i="129"/>
  <c r="R25" i="129"/>
  <c r="T25" i="129" s="1"/>
  <c r="O25" i="129"/>
  <c r="L25" i="129"/>
  <c r="N25" i="129" s="1"/>
  <c r="I25" i="129"/>
  <c r="F25" i="129"/>
  <c r="AM22" i="129"/>
  <c r="AL22" i="129"/>
  <c r="AJ22" i="129"/>
  <c r="AG22" i="129"/>
  <c r="AD22" i="129"/>
  <c r="AF22" i="129" s="1"/>
  <c r="AA22" i="129"/>
  <c r="X22" i="129"/>
  <c r="U22" i="129"/>
  <c r="R22" i="129"/>
  <c r="O22" i="129"/>
  <c r="L22" i="129"/>
  <c r="N22" i="129" s="1"/>
  <c r="I22" i="129"/>
  <c r="F22" i="129"/>
  <c r="Z20" i="129"/>
  <c r="X20" i="129"/>
  <c r="U20" i="129"/>
  <c r="W20" i="129" s="1"/>
  <c r="R20" i="129"/>
  <c r="T20" i="129" s="1"/>
  <c r="O20" i="129"/>
  <c r="Q20" i="129" s="1"/>
  <c r="N20" i="129"/>
  <c r="L20" i="129"/>
  <c r="I20" i="129"/>
  <c r="K20" i="129" s="1"/>
  <c r="F20" i="129"/>
  <c r="H20" i="129" s="1"/>
  <c r="AM19" i="129"/>
  <c r="AO19" i="129" s="1"/>
  <c r="AL19" i="129"/>
  <c r="AJ19" i="129"/>
  <c r="AG19" i="129"/>
  <c r="AI19" i="129" s="1"/>
  <c r="AD19" i="129"/>
  <c r="AF19" i="129" s="1"/>
  <c r="AA19" i="129"/>
  <c r="AC19" i="129" s="1"/>
  <c r="Z19" i="129"/>
  <c r="X19" i="129"/>
  <c r="U19" i="129"/>
  <c r="W19" i="129" s="1"/>
  <c r="R19" i="129"/>
  <c r="T19" i="129" s="1"/>
  <c r="O19" i="129"/>
  <c r="Q19" i="129" s="1"/>
  <c r="N19" i="129"/>
  <c r="L19" i="129"/>
  <c r="I19" i="129"/>
  <c r="K19" i="129" s="1"/>
  <c r="F19" i="129"/>
  <c r="AM18" i="129"/>
  <c r="AJ18" i="129"/>
  <c r="AL18" i="129" s="1"/>
  <c r="AG18" i="129"/>
  <c r="AD18" i="129"/>
  <c r="AF18" i="129" s="1"/>
  <c r="AA18" i="129"/>
  <c r="X18" i="129"/>
  <c r="X17" i="129" s="1"/>
  <c r="U18" i="129"/>
  <c r="R18" i="129"/>
  <c r="T18" i="129" s="1"/>
  <c r="O18" i="129"/>
  <c r="O17" i="129" s="1"/>
  <c r="L18" i="129"/>
  <c r="N18" i="129" s="1"/>
  <c r="N17" i="129" s="1"/>
  <c r="I18" i="129"/>
  <c r="F18" i="129"/>
  <c r="H18" i="129" s="1"/>
  <c r="AO16" i="129"/>
  <c r="AM16" i="129"/>
  <c r="AL16" i="129"/>
  <c r="AJ16" i="129"/>
  <c r="AG16" i="129"/>
  <c r="AI16" i="129" s="1"/>
  <c r="AD16" i="129"/>
  <c r="AF16" i="129" s="1"/>
  <c r="AC16" i="129"/>
  <c r="AA16" i="129"/>
  <c r="Z16" i="129"/>
  <c r="X16" i="129"/>
  <c r="U16" i="129"/>
  <c r="R16" i="129"/>
  <c r="T16" i="129" s="1"/>
  <c r="Q16" i="129"/>
  <c r="O16" i="129"/>
  <c r="N16" i="129"/>
  <c r="L16" i="129"/>
  <c r="I16" i="129"/>
  <c r="K16" i="129" s="1"/>
  <c r="F16" i="129"/>
  <c r="H16" i="129" s="1"/>
  <c r="AM15" i="129"/>
  <c r="AO15" i="129" s="1"/>
  <c r="AL15" i="129"/>
  <c r="AJ15" i="129"/>
  <c r="AG15" i="129"/>
  <c r="AI15" i="129" s="1"/>
  <c r="AD15" i="129"/>
  <c r="AF15" i="129" s="1"/>
  <c r="AA15" i="129"/>
  <c r="AC15" i="129" s="1"/>
  <c r="X15" i="129"/>
  <c r="Z15" i="129" s="1"/>
  <c r="U15" i="129"/>
  <c r="W15" i="129" s="1"/>
  <c r="R15" i="129"/>
  <c r="T15" i="129" s="1"/>
  <c r="O15" i="129"/>
  <c r="Q15" i="129" s="1"/>
  <c r="L15" i="129"/>
  <c r="I15" i="129"/>
  <c r="K15" i="129" s="1"/>
  <c r="F15" i="129"/>
  <c r="H15" i="129" s="1"/>
  <c r="AM14" i="129"/>
  <c r="AO14" i="129" s="1"/>
  <c r="AJ14" i="129"/>
  <c r="AL14" i="129" s="1"/>
  <c r="AG14" i="129"/>
  <c r="AI14" i="129" s="1"/>
  <c r="AD14" i="129"/>
  <c r="AF14" i="129" s="1"/>
  <c r="AA14" i="129"/>
  <c r="AC14" i="129" s="1"/>
  <c r="X14" i="129"/>
  <c r="Z14" i="129" s="1"/>
  <c r="W14" i="129"/>
  <c r="U14" i="129"/>
  <c r="R14" i="129"/>
  <c r="T14" i="129" s="1"/>
  <c r="Q14" i="129"/>
  <c r="O14" i="129"/>
  <c r="L14" i="129"/>
  <c r="N14" i="129" s="1"/>
  <c r="K14" i="129"/>
  <c r="I14" i="129"/>
  <c r="F14" i="129"/>
  <c r="AM13" i="129"/>
  <c r="AO13" i="129" s="1"/>
  <c r="AJ13" i="129"/>
  <c r="AL13" i="129" s="1"/>
  <c r="AI13" i="129"/>
  <c r="AG13" i="129"/>
  <c r="AD13" i="129"/>
  <c r="AF13" i="129" s="1"/>
  <c r="AA13" i="129"/>
  <c r="AC13" i="129" s="1"/>
  <c r="X13" i="129"/>
  <c r="Z13" i="129" s="1"/>
  <c r="W13" i="129"/>
  <c r="U13" i="129"/>
  <c r="R13" i="129"/>
  <c r="T13" i="129" s="1"/>
  <c r="O13" i="129"/>
  <c r="Q13" i="129" s="1"/>
  <c r="L13" i="129"/>
  <c r="N13" i="129" s="1"/>
  <c r="I13" i="129"/>
  <c r="K13" i="129" s="1"/>
  <c r="F13" i="129"/>
  <c r="AM12" i="129"/>
  <c r="AO12" i="129" s="1"/>
  <c r="AJ12" i="129"/>
  <c r="AL12" i="129" s="1"/>
  <c r="AG12" i="129"/>
  <c r="AI12" i="129" s="1"/>
  <c r="AD12" i="129"/>
  <c r="AF12" i="129" s="1"/>
  <c r="AA12" i="129"/>
  <c r="AC12" i="129" s="1"/>
  <c r="X12" i="129"/>
  <c r="Z12" i="129" s="1"/>
  <c r="U12" i="129"/>
  <c r="W12" i="129" s="1"/>
  <c r="R12" i="129"/>
  <c r="T12" i="129" s="1"/>
  <c r="O12" i="129"/>
  <c r="L12" i="129"/>
  <c r="N12" i="129" s="1"/>
  <c r="I12" i="129"/>
  <c r="K12" i="129" s="1"/>
  <c r="H12" i="129"/>
  <c r="F12" i="129"/>
  <c r="AM11" i="129"/>
  <c r="AO11" i="129" s="1"/>
  <c r="AJ11" i="129"/>
  <c r="AL11" i="129" s="1"/>
  <c r="AG11" i="129"/>
  <c r="AI11" i="129" s="1"/>
  <c r="AD11" i="129"/>
  <c r="AF11" i="129" s="1"/>
  <c r="AA11" i="129"/>
  <c r="AC11" i="129" s="1"/>
  <c r="X11" i="129"/>
  <c r="Z11" i="129" s="1"/>
  <c r="U11" i="129"/>
  <c r="W11" i="129" s="1"/>
  <c r="R11" i="129"/>
  <c r="T11" i="129" s="1"/>
  <c r="O11" i="129"/>
  <c r="Q11" i="129" s="1"/>
  <c r="L11" i="129"/>
  <c r="N11" i="129" s="1"/>
  <c r="I11" i="129"/>
  <c r="K11" i="129" s="1"/>
  <c r="F11" i="129"/>
  <c r="H11" i="129" s="1"/>
  <c r="AM10" i="129"/>
  <c r="AO10" i="129" s="1"/>
  <c r="AJ10" i="129"/>
  <c r="AL10" i="129" s="1"/>
  <c r="AI10" i="129"/>
  <c r="AG10" i="129"/>
  <c r="AD10" i="129"/>
  <c r="AF10" i="129" s="1"/>
  <c r="AA10" i="129"/>
  <c r="AC10" i="129" s="1"/>
  <c r="X10" i="129"/>
  <c r="Z10" i="129" s="1"/>
  <c r="W10" i="129"/>
  <c r="U10" i="129"/>
  <c r="R10" i="129"/>
  <c r="T10" i="129" s="1"/>
  <c r="O10" i="129"/>
  <c r="Q10" i="129" s="1"/>
  <c r="L10" i="129"/>
  <c r="N10" i="129" s="1"/>
  <c r="K10" i="129"/>
  <c r="I10" i="129"/>
  <c r="F10" i="129"/>
  <c r="AM9" i="129"/>
  <c r="AO9" i="129" s="1"/>
  <c r="AJ9" i="129"/>
  <c r="AL9" i="129" s="1"/>
  <c r="AG9" i="129"/>
  <c r="AD9" i="129"/>
  <c r="AF9" i="129" s="1"/>
  <c r="AA9" i="129"/>
  <c r="AC9" i="129" s="1"/>
  <c r="X9" i="129"/>
  <c r="Z9" i="129" s="1"/>
  <c r="U9" i="129"/>
  <c r="W9" i="129" s="1"/>
  <c r="R9" i="129"/>
  <c r="T9" i="129" s="1"/>
  <c r="O9" i="129"/>
  <c r="Q9" i="129" s="1"/>
  <c r="L9" i="129"/>
  <c r="N9" i="129" s="1"/>
  <c r="I9" i="129"/>
  <c r="K9" i="129" s="1"/>
  <c r="F9" i="129"/>
  <c r="H9" i="129" s="1"/>
  <c r="AM8" i="129"/>
  <c r="AM7" i="129" s="1"/>
  <c r="AJ8" i="129"/>
  <c r="AL8" i="129" s="1"/>
  <c r="AG8" i="129"/>
  <c r="AI8" i="129" s="1"/>
  <c r="AF8" i="129"/>
  <c r="AD8" i="129"/>
  <c r="AC8" i="129"/>
  <c r="AC7" i="129" s="1"/>
  <c r="AA8" i="129"/>
  <c r="AA7" i="129" s="1"/>
  <c r="X8" i="129"/>
  <c r="Z8" i="129" s="1"/>
  <c r="U8" i="129"/>
  <c r="W8" i="129" s="1"/>
  <c r="T8" i="129"/>
  <c r="R8" i="129"/>
  <c r="O8" i="129"/>
  <c r="C8" i="129" s="1"/>
  <c r="L8" i="129"/>
  <c r="N8" i="129" s="1"/>
  <c r="I8" i="129"/>
  <c r="I7" i="129" s="1"/>
  <c r="H8" i="129"/>
  <c r="F8" i="129"/>
  <c r="F7" i="129" s="1"/>
  <c r="U7" i="129"/>
  <c r="R7" i="129"/>
  <c r="AN6" i="129"/>
  <c r="AK6" i="129"/>
  <c r="AH6" i="129"/>
  <c r="AE6" i="129"/>
  <c r="AB6" i="129"/>
  <c r="Y6" i="129"/>
  <c r="V6" i="129"/>
  <c r="S6" i="129"/>
  <c r="P6" i="129"/>
  <c r="M6" i="129"/>
  <c r="J6" i="129"/>
  <c r="G6" i="129"/>
  <c r="D6" i="129"/>
  <c r="Z7" i="129" l="1"/>
  <c r="AO8" i="129"/>
  <c r="AO7" i="129" s="1"/>
  <c r="O7" i="129"/>
  <c r="N7" i="129"/>
  <c r="AI9" i="129"/>
  <c r="AG7" i="129"/>
  <c r="X7" i="129"/>
  <c r="Q8" i="129"/>
  <c r="E8" i="129" s="1"/>
  <c r="D8" i="129" s="1"/>
  <c r="AF7" i="129"/>
  <c r="C15" i="129"/>
  <c r="N15" i="129"/>
  <c r="C10" i="129"/>
  <c r="H10" i="129"/>
  <c r="E10" i="129" s="1"/>
  <c r="D10" i="129" s="1"/>
  <c r="AD7" i="129"/>
  <c r="T7" i="129"/>
  <c r="AL7" i="129"/>
  <c r="C16" i="129"/>
  <c r="W16" i="129"/>
  <c r="E16" i="129" s="1"/>
  <c r="D16" i="129" s="1"/>
  <c r="AL25" i="129"/>
  <c r="W31" i="129"/>
  <c r="E31" i="129" s="1"/>
  <c r="D31" i="129" s="1"/>
  <c r="C16" i="130"/>
  <c r="C41" i="131"/>
  <c r="C12" i="129"/>
  <c r="I17" i="129"/>
  <c r="N29" i="129"/>
  <c r="C22" i="129"/>
  <c r="C25" i="129"/>
  <c r="Z25" i="129"/>
  <c r="K8" i="129"/>
  <c r="E20" i="131"/>
  <c r="C14" i="129"/>
  <c r="U17" i="129"/>
  <c r="C19" i="129"/>
  <c r="L7" i="129"/>
  <c r="AJ7" i="129"/>
  <c r="H19" i="129"/>
  <c r="E19" i="129" s="1"/>
  <c r="C11" i="131"/>
  <c r="D19" i="131"/>
  <c r="C32" i="131"/>
  <c r="L17" i="129"/>
  <c r="R17" i="129"/>
  <c r="F17" i="129"/>
  <c r="C18" i="129"/>
  <c r="Z18" i="129"/>
  <c r="Z17" i="129" s="1"/>
  <c r="T17" i="129"/>
  <c r="C30" i="131"/>
  <c r="C19" i="131" s="1"/>
  <c r="C10" i="131" s="1"/>
  <c r="D10" i="131"/>
  <c r="D50" i="131" s="1"/>
  <c r="E19" i="131"/>
  <c r="E10" i="131" s="1"/>
  <c r="E50" i="131" s="1"/>
  <c r="C7" i="131"/>
  <c r="E9" i="129"/>
  <c r="E11" i="129"/>
  <c r="D11" i="129" s="1"/>
  <c r="K7" i="129"/>
  <c r="W7" i="129"/>
  <c r="AI7" i="129"/>
  <c r="E15" i="129"/>
  <c r="D15" i="129" s="1"/>
  <c r="C7" i="129"/>
  <c r="AI22" i="129"/>
  <c r="C9" i="129"/>
  <c r="Q12" i="129"/>
  <c r="E12" i="129" s="1"/>
  <c r="D12" i="129" s="1"/>
  <c r="H14" i="129"/>
  <c r="E14" i="129" s="1"/>
  <c r="D14" i="129" s="1"/>
  <c r="H22" i="129"/>
  <c r="Q22" i="129"/>
  <c r="H25" i="129"/>
  <c r="Q25" i="129"/>
  <c r="AO25" i="129"/>
  <c r="AC28" i="129"/>
  <c r="K22" i="129"/>
  <c r="K25" i="129"/>
  <c r="AI25" i="129"/>
  <c r="W28" i="129"/>
  <c r="H7" i="129"/>
  <c r="C11" i="129"/>
  <c r="K18" i="129"/>
  <c r="K17" i="129" s="1"/>
  <c r="Q18" i="129"/>
  <c r="W18" i="129"/>
  <c r="W17" i="129" s="1"/>
  <c r="AC18" i="129"/>
  <c r="AI18" i="129"/>
  <c r="AO18" i="129"/>
  <c r="AO22" i="129"/>
  <c r="AC25" i="129"/>
  <c r="Q28" i="129"/>
  <c r="AO28" i="129"/>
  <c r="H13" i="129"/>
  <c r="E13" i="129" s="1"/>
  <c r="D13" i="129" s="1"/>
  <c r="C13" i="129"/>
  <c r="W25" i="129"/>
  <c r="K28" i="129"/>
  <c r="AI28" i="129"/>
  <c r="R75" i="1"/>
  <c r="S73" i="1"/>
  <c r="S74" i="1" s="1"/>
  <c r="Q7" i="129" l="1"/>
  <c r="E29" i="129"/>
  <c r="D29" i="129" s="1"/>
  <c r="H17" i="129"/>
  <c r="C50" i="131"/>
  <c r="E22" i="129"/>
  <c r="E7" i="129"/>
  <c r="E25" i="129"/>
  <c r="E18" i="129"/>
  <c r="Q17" i="129"/>
  <c r="D9" i="129"/>
  <c r="E28" i="129"/>
  <c r="I45" i="74"/>
  <c r="D28" i="129" l="1"/>
  <c r="D25" i="129"/>
  <c r="D22" i="129"/>
  <c r="C49" i="97"/>
  <c r="C48" i="97"/>
  <c r="C47" i="97"/>
  <c r="C46" i="97"/>
  <c r="C45" i="97"/>
  <c r="C44" i="97"/>
  <c r="C43" i="97"/>
  <c r="C42" i="97"/>
  <c r="E41" i="97"/>
  <c r="D41" i="97"/>
  <c r="C40" i="97"/>
  <c r="C39" i="97"/>
  <c r="C38" i="97"/>
  <c r="C37" i="97"/>
  <c r="C36" i="97"/>
  <c r="C35" i="97"/>
  <c r="C34" i="97"/>
  <c r="C33" i="97"/>
  <c r="E32" i="97"/>
  <c r="E30" i="97" s="1"/>
  <c r="D32" i="97"/>
  <c r="D30" i="97" s="1"/>
  <c r="C31" i="97"/>
  <c r="E29" i="97"/>
  <c r="C29" i="97" s="1"/>
  <c r="C28" i="97"/>
  <c r="C27" i="97"/>
  <c r="C26" i="97"/>
  <c r="E25" i="97"/>
  <c r="E20" i="97" s="1"/>
  <c r="C24" i="97"/>
  <c r="C23" i="97"/>
  <c r="C22" i="97"/>
  <c r="C21" i="97"/>
  <c r="D20" i="97"/>
  <c r="C18" i="97"/>
  <c r="C17" i="97"/>
  <c r="C16" i="97"/>
  <c r="C15" i="97"/>
  <c r="E14" i="97"/>
  <c r="E11" i="97" s="1"/>
  <c r="D14" i="97"/>
  <c r="D11" i="97" s="1"/>
  <c r="C13" i="97"/>
  <c r="C12" i="97"/>
  <c r="C9" i="97"/>
  <c r="C8" i="97"/>
  <c r="E7" i="97"/>
  <c r="D7" i="97"/>
  <c r="D32" i="91"/>
  <c r="B32" i="91"/>
  <c r="B30" i="91" s="1"/>
  <c r="D30" i="91"/>
  <c r="C30" i="91"/>
  <c r="D29" i="91"/>
  <c r="D27" i="91" s="1"/>
  <c r="B29" i="91"/>
  <c r="B27" i="91" s="1"/>
  <c r="B26" i="91"/>
  <c r="D25" i="91"/>
  <c r="B25" i="91"/>
  <c r="B24" i="91"/>
  <c r="B22" i="91" s="1"/>
  <c r="D22" i="91"/>
  <c r="C22" i="91"/>
  <c r="D21" i="91"/>
  <c r="D19" i="91" s="1"/>
  <c r="B21" i="91"/>
  <c r="B19" i="91" s="1"/>
  <c r="B17" i="91" s="1"/>
  <c r="C19" i="91"/>
  <c r="B29" i="99"/>
  <c r="B26" i="99"/>
  <c r="B24" i="99"/>
  <c r="C49" i="89"/>
  <c r="C48" i="89"/>
  <c r="C47" i="89"/>
  <c r="C46" i="89"/>
  <c r="C45" i="89"/>
  <c r="C44" i="89"/>
  <c r="C43" i="89"/>
  <c r="C42" i="89"/>
  <c r="E41" i="89"/>
  <c r="D41" i="89"/>
  <c r="D30" i="89" s="1"/>
  <c r="C41" i="89"/>
  <c r="C40" i="89"/>
  <c r="C39" i="89"/>
  <c r="C38" i="89"/>
  <c r="C37" i="89"/>
  <c r="C36" i="89"/>
  <c r="C35" i="89"/>
  <c r="C34" i="89"/>
  <c r="C33" i="89"/>
  <c r="C32" i="89" s="1"/>
  <c r="C30" i="89" s="1"/>
  <c r="E32" i="89"/>
  <c r="E30" i="89" s="1"/>
  <c r="D32" i="89"/>
  <c r="C31" i="89"/>
  <c r="E29" i="89"/>
  <c r="C29" i="89" s="1"/>
  <c r="C28" i="89"/>
  <c r="C27" i="89"/>
  <c r="C26" i="89"/>
  <c r="E25" i="89"/>
  <c r="C25" i="89" s="1"/>
  <c r="C24" i="89"/>
  <c r="C23" i="89"/>
  <c r="C22" i="89"/>
  <c r="C21" i="89"/>
  <c r="E20" i="89"/>
  <c r="D20" i="89"/>
  <c r="C18" i="89"/>
  <c r="C17" i="89"/>
  <c r="C16" i="89"/>
  <c r="C15" i="89"/>
  <c r="E14" i="89"/>
  <c r="E11" i="89" s="1"/>
  <c r="D14" i="89"/>
  <c r="C14" i="89"/>
  <c r="C11" i="89" s="1"/>
  <c r="C13" i="89"/>
  <c r="C12" i="89"/>
  <c r="D11" i="89"/>
  <c r="C9" i="89"/>
  <c r="C8" i="89"/>
  <c r="E7" i="89"/>
  <c r="D7" i="89"/>
  <c r="E19" i="97" l="1"/>
  <c r="E19" i="89"/>
  <c r="D19" i="89"/>
  <c r="C32" i="97"/>
  <c r="D19" i="97"/>
  <c r="D10" i="97" s="1"/>
  <c r="D50" i="97" s="1"/>
  <c r="C10" i="89"/>
  <c r="C41" i="97"/>
  <c r="C20" i="89"/>
  <c r="C19" i="89" s="1"/>
  <c r="E10" i="97"/>
  <c r="E50" i="97" s="1"/>
  <c r="C14" i="97"/>
  <c r="C11" i="97" s="1"/>
  <c r="C30" i="97"/>
  <c r="C25" i="97"/>
  <c r="C20" i="97" s="1"/>
  <c r="C7" i="97"/>
  <c r="D17" i="91"/>
  <c r="E10" i="89"/>
  <c r="E50" i="89" s="1"/>
  <c r="D10" i="89"/>
  <c r="D50" i="89" s="1"/>
  <c r="C7" i="89"/>
  <c r="C50" i="89" s="1"/>
  <c r="C12" i="99"/>
  <c r="C11" i="99"/>
  <c r="C19" i="97" l="1"/>
  <c r="C10" i="97" s="1"/>
  <c r="C50" i="97" s="1"/>
  <c r="O44" i="77" l="1"/>
  <c r="D44" i="77" s="1"/>
  <c r="O43" i="77"/>
  <c r="O42" i="77"/>
  <c r="J43" i="77"/>
  <c r="D43" i="77" s="1"/>
  <c r="J42" i="77"/>
  <c r="D42" i="77" s="1"/>
  <c r="C23" i="127" l="1"/>
  <c r="C31" i="127"/>
  <c r="E33" i="127"/>
  <c r="F38" i="127"/>
  <c r="C29" i="127"/>
  <c r="C28" i="127"/>
  <c r="C27" i="127"/>
  <c r="C30" i="127" s="1"/>
  <c r="E15" i="102"/>
  <c r="D10" i="127"/>
  <c r="B10" i="127"/>
  <c r="R71" i="1" l="1"/>
  <c r="R70" i="1"/>
  <c r="K46" i="2" l="1"/>
  <c r="P42" i="1"/>
  <c r="P43" i="1"/>
  <c r="I63" i="84" l="1"/>
  <c r="C16" i="66" l="1"/>
  <c r="R53" i="84" l="1"/>
  <c r="P53" i="84"/>
  <c r="O53" i="84"/>
  <c r="N53" i="84"/>
  <c r="M53" i="84"/>
  <c r="L53" i="84"/>
  <c r="K53" i="84"/>
  <c r="J53" i="84"/>
  <c r="I53" i="84"/>
  <c r="H53" i="84"/>
  <c r="G53" i="84"/>
  <c r="F53" i="84"/>
  <c r="E53" i="84"/>
  <c r="O64" i="84"/>
  <c r="N13" i="102" l="1"/>
  <c r="AN43" i="1"/>
  <c r="AH43" i="1"/>
  <c r="AB43" i="1"/>
  <c r="V43" i="1"/>
  <c r="N43" i="1" l="1"/>
  <c r="R63" i="1"/>
  <c r="C27" i="66" l="1"/>
  <c r="E25" i="66"/>
  <c r="E20" i="66" s="1"/>
  <c r="E29" i="66"/>
  <c r="BC32" i="75" l="1"/>
  <c r="R66" i="84" l="1"/>
  <c r="P66" i="84"/>
  <c r="O66" i="84"/>
  <c r="N66" i="84"/>
  <c r="M66" i="84"/>
  <c r="L66" i="84"/>
  <c r="K66" i="84"/>
  <c r="J66" i="84"/>
  <c r="I66" i="84"/>
  <c r="H66" i="84"/>
  <c r="G66" i="84"/>
  <c r="F66" i="84"/>
  <c r="E66" i="84"/>
  <c r="Q73" i="84"/>
  <c r="D73" i="84"/>
  <c r="C73" i="84" l="1"/>
  <c r="M45" i="84"/>
  <c r="I102" i="84"/>
  <c r="P45" i="84"/>
  <c r="K45" i="84"/>
  <c r="CA32" i="75" l="1"/>
  <c r="L45" i="84" l="1"/>
  <c r="J45" i="84"/>
  <c r="G45" i="84"/>
  <c r="Q60" i="84"/>
  <c r="D60" i="84"/>
  <c r="C60" i="84" l="1"/>
  <c r="E45" i="75" l="1"/>
  <c r="DU26" i="74" l="1"/>
  <c r="BA26" i="74"/>
  <c r="ES34" i="74"/>
  <c r="ES30" i="74"/>
  <c r="ES23" i="74"/>
  <c r="EG34" i="74"/>
  <c r="EG23" i="74"/>
  <c r="DU34" i="74"/>
  <c r="DU30" i="74"/>
  <c r="DU27" i="74"/>
  <c r="DU23" i="74"/>
  <c r="DI34" i="74"/>
  <c r="DI30" i="74"/>
  <c r="DI27" i="74"/>
  <c r="DI23" i="74"/>
  <c r="CW34" i="74"/>
  <c r="CW30" i="74"/>
  <c r="CW27" i="74"/>
  <c r="CW23" i="74"/>
  <c r="CK34" i="74"/>
  <c r="CK30" i="74"/>
  <c r="CK23" i="74"/>
  <c r="BY34" i="74"/>
  <c r="BY30" i="74"/>
  <c r="BY27" i="74"/>
  <c r="BY23" i="74"/>
  <c r="BM34" i="74"/>
  <c r="BM30" i="74"/>
  <c r="BM27" i="74"/>
  <c r="BM23" i="74"/>
  <c r="BA34" i="74"/>
  <c r="BA27" i="74"/>
  <c r="BA23" i="74"/>
  <c r="AO34" i="74"/>
  <c r="AO30" i="74"/>
  <c r="AO27" i="74"/>
  <c r="AO23" i="74"/>
  <c r="AC34" i="74"/>
  <c r="AC23" i="74"/>
  <c r="Q34" i="74"/>
  <c r="Q23" i="74"/>
  <c r="F10" i="108"/>
  <c r="C10" i="108"/>
  <c r="CP15" i="75" l="1"/>
  <c r="CP18" i="75"/>
  <c r="CP17" i="75"/>
  <c r="BB18" i="75"/>
  <c r="BB17" i="75"/>
  <c r="CY32" i="126" l="1"/>
  <c r="CQ32" i="126"/>
  <c r="CI32" i="126"/>
  <c r="CA32" i="126"/>
  <c r="BS32" i="126"/>
  <c r="BK32" i="126"/>
  <c r="BC32" i="126"/>
  <c r="AU32" i="126"/>
  <c r="AM32" i="126"/>
  <c r="AE32" i="126"/>
  <c r="W32" i="126"/>
  <c r="O32" i="126"/>
  <c r="CY32" i="75"/>
  <c r="CQ32" i="75"/>
  <c r="CI32" i="75"/>
  <c r="BS32" i="75"/>
  <c r="BK32" i="75"/>
  <c r="AU32" i="75"/>
  <c r="AM32" i="75"/>
  <c r="AE32" i="75"/>
  <c r="W32" i="75"/>
  <c r="O32" i="75"/>
  <c r="C42" i="126" l="1"/>
  <c r="C43" i="126" s="1"/>
  <c r="G36" i="126"/>
  <c r="C36" i="126"/>
  <c r="CW35" i="126"/>
  <c r="CO35" i="126"/>
  <c r="CG35" i="126"/>
  <c r="BY35" i="126"/>
  <c r="BQ35" i="126"/>
  <c r="BI35" i="126"/>
  <c r="BA35" i="126"/>
  <c r="AS35" i="126"/>
  <c r="AK35" i="126"/>
  <c r="AC35" i="126"/>
  <c r="U35" i="126"/>
  <c r="M35" i="126"/>
  <c r="G35" i="126"/>
  <c r="C35" i="126"/>
  <c r="CN34" i="126"/>
  <c r="T34" i="126"/>
  <c r="C34" i="126"/>
  <c r="CW33" i="126"/>
  <c r="CO33" i="126"/>
  <c r="CG33" i="126"/>
  <c r="BY33" i="126"/>
  <c r="BQ33" i="126"/>
  <c r="BI33" i="126"/>
  <c r="BA33" i="126"/>
  <c r="AS33" i="126"/>
  <c r="AK33" i="126"/>
  <c r="AC33" i="126"/>
  <c r="U33" i="126"/>
  <c r="M33" i="126"/>
  <c r="G33" i="126"/>
  <c r="D33" i="126"/>
  <c r="C33" i="126"/>
  <c r="CV32" i="126"/>
  <c r="CW32" i="126" s="1"/>
  <c r="CO32" i="126"/>
  <c r="CF32" i="126"/>
  <c r="CG32" i="126" s="1"/>
  <c r="BX32" i="126"/>
  <c r="BY32" i="126" s="1"/>
  <c r="BQ32" i="126"/>
  <c r="BP32" i="126"/>
  <c r="BP34" i="126" s="1"/>
  <c r="BH32" i="126"/>
  <c r="BH34" i="126" s="1"/>
  <c r="AZ32" i="126"/>
  <c r="BA32" i="126" s="1"/>
  <c r="AS32" i="126"/>
  <c r="AR32" i="126"/>
  <c r="AR34" i="126" s="1"/>
  <c r="AJ32" i="126"/>
  <c r="AJ34" i="126" s="1"/>
  <c r="AB32" i="126"/>
  <c r="U32" i="126"/>
  <c r="L32" i="126"/>
  <c r="C32" i="126"/>
  <c r="CU31" i="126"/>
  <c r="CM31" i="126"/>
  <c r="CE31" i="126"/>
  <c r="CE26" i="126" s="1"/>
  <c r="BW31" i="126"/>
  <c r="BO31" i="126"/>
  <c r="BG31" i="126"/>
  <c r="BG26" i="126" s="1"/>
  <c r="AY31" i="126"/>
  <c r="AQ31" i="126"/>
  <c r="AI31" i="126"/>
  <c r="AA31" i="126"/>
  <c r="AA26" i="126" s="1"/>
  <c r="S31" i="126"/>
  <c r="K31" i="126"/>
  <c r="D31" i="126"/>
  <c r="C31" i="126"/>
  <c r="C30" i="126"/>
  <c r="C27" i="126" s="1"/>
  <c r="C26" i="126" s="1"/>
  <c r="CW28" i="126"/>
  <c r="CO28" i="126"/>
  <c r="CG28" i="126"/>
  <c r="BY28" i="126"/>
  <c r="BQ28" i="126"/>
  <c r="BI28" i="126"/>
  <c r="BA28" i="126"/>
  <c r="AS28" i="126"/>
  <c r="AK28" i="126"/>
  <c r="AC28" i="126"/>
  <c r="U28" i="126"/>
  <c r="M28" i="126"/>
  <c r="C28" i="126"/>
  <c r="CU27" i="126"/>
  <c r="CU26" i="126" s="1"/>
  <c r="CM27" i="126"/>
  <c r="CE27" i="126"/>
  <c r="BW27" i="126"/>
  <c r="BW26" i="126" s="1"/>
  <c r="BO27" i="126"/>
  <c r="BO26" i="126" s="1"/>
  <c r="BG27" i="126"/>
  <c r="AY27" i="126"/>
  <c r="AQ27" i="126"/>
  <c r="AI27" i="126"/>
  <c r="AA27" i="126"/>
  <c r="S27" i="126"/>
  <c r="S26" i="126" s="1"/>
  <c r="K27" i="126"/>
  <c r="CV26" i="126"/>
  <c r="CN26" i="126"/>
  <c r="CM26" i="126"/>
  <c r="CF26" i="126"/>
  <c r="BP26" i="126"/>
  <c r="BH26" i="126"/>
  <c r="AR26" i="126"/>
  <c r="AJ26" i="126"/>
  <c r="AI26" i="126"/>
  <c r="T26" i="126"/>
  <c r="K26" i="126"/>
  <c r="D26" i="126"/>
  <c r="CW25" i="126"/>
  <c r="CO25" i="126"/>
  <c r="CG25" i="126"/>
  <c r="BY25" i="126"/>
  <c r="BQ25" i="126"/>
  <c r="BI25" i="126"/>
  <c r="BA25" i="126"/>
  <c r="AS25" i="126"/>
  <c r="AK25" i="126"/>
  <c r="AC25" i="126"/>
  <c r="E25" i="126" s="1"/>
  <c r="U25" i="126"/>
  <c r="M25" i="126"/>
  <c r="G25" i="126"/>
  <c r="C25" i="126"/>
  <c r="E24" i="126"/>
  <c r="C24" i="126"/>
  <c r="CZ23" i="126"/>
  <c r="CW23" i="126"/>
  <c r="CR23" i="126"/>
  <c r="CO23" i="126"/>
  <c r="CJ23" i="126"/>
  <c r="CG23" i="126"/>
  <c r="CB23" i="126"/>
  <c r="BY23" i="126"/>
  <c r="BT23" i="126"/>
  <c r="BQ23" i="126"/>
  <c r="BL23" i="126"/>
  <c r="BI23" i="126"/>
  <c r="BD23" i="126"/>
  <c r="BA23" i="126"/>
  <c r="AV23" i="126"/>
  <c r="AS23" i="126"/>
  <c r="AN23" i="126"/>
  <c r="AK23" i="126"/>
  <c r="AF23" i="126"/>
  <c r="AC23" i="126"/>
  <c r="X23" i="126"/>
  <c r="U23" i="126"/>
  <c r="P23" i="126"/>
  <c r="H23" i="126" s="1"/>
  <c r="M23" i="126"/>
  <c r="E23" i="126" s="1"/>
  <c r="F23" i="126"/>
  <c r="C23" i="126"/>
  <c r="CZ22" i="126"/>
  <c r="CW22" i="126"/>
  <c r="CP22" i="126"/>
  <c r="CR22" i="126" s="1"/>
  <c r="CO22" i="126"/>
  <c r="CH22" i="126"/>
  <c r="CJ22" i="126" s="1"/>
  <c r="CG22" i="126"/>
  <c r="CB22" i="126"/>
  <c r="BY22" i="126"/>
  <c r="BT22" i="126"/>
  <c r="BQ22" i="126"/>
  <c r="BL22" i="126"/>
  <c r="BI22" i="126"/>
  <c r="BB22" i="126"/>
  <c r="BD22" i="126" s="1"/>
  <c r="BA22" i="126"/>
  <c r="AV22" i="126"/>
  <c r="AS22" i="126"/>
  <c r="AN22" i="126"/>
  <c r="AK22" i="126"/>
  <c r="AF22" i="126"/>
  <c r="AC22" i="126"/>
  <c r="V22" i="126"/>
  <c r="X22" i="126" s="1"/>
  <c r="S22" i="126"/>
  <c r="U22" i="126" s="1"/>
  <c r="P22" i="126"/>
  <c r="M22" i="126"/>
  <c r="C22" i="126"/>
  <c r="DA21" i="126"/>
  <c r="CX21" i="126"/>
  <c r="DB21" i="126" s="1"/>
  <c r="CW21" i="126"/>
  <c r="CP21" i="126"/>
  <c r="CS21" i="126" s="1"/>
  <c r="CO21" i="126"/>
  <c r="CH21" i="126"/>
  <c r="CK21" i="126" s="1"/>
  <c r="CG21" i="126"/>
  <c r="CD21" i="126"/>
  <c r="CC21" i="126"/>
  <c r="CB21" i="126"/>
  <c r="BZ21" i="126"/>
  <c r="BY21" i="126"/>
  <c r="BR21" i="126"/>
  <c r="BV21" i="126" s="1"/>
  <c r="BQ21" i="126"/>
  <c r="BN21" i="126"/>
  <c r="BL21" i="126"/>
  <c r="BJ21" i="126"/>
  <c r="BM21" i="126" s="1"/>
  <c r="BI21" i="126"/>
  <c r="BB21" i="126"/>
  <c r="BE21" i="126" s="1"/>
  <c r="BA21" i="126"/>
  <c r="AX21" i="126"/>
  <c r="AT21" i="126"/>
  <c r="AW21" i="126" s="1"/>
  <c r="AS21" i="126"/>
  <c r="AL21" i="126"/>
  <c r="AP21" i="126" s="1"/>
  <c r="AK21" i="126"/>
  <c r="AF21" i="126"/>
  <c r="AD21" i="126"/>
  <c r="AG21" i="126" s="1"/>
  <c r="AC21" i="126"/>
  <c r="V21" i="126"/>
  <c r="Y21" i="126" s="1"/>
  <c r="U21" i="126"/>
  <c r="N21" i="126"/>
  <c r="R21" i="126" s="1"/>
  <c r="M21" i="126"/>
  <c r="G21" i="126"/>
  <c r="C21" i="126"/>
  <c r="CZ20" i="126"/>
  <c r="CP20" i="126"/>
  <c r="CR20" i="126" s="1"/>
  <c r="CJ20" i="126"/>
  <c r="CB20" i="126"/>
  <c r="BT20" i="126"/>
  <c r="BL20" i="126"/>
  <c r="BD20" i="126"/>
  <c r="AV20" i="126"/>
  <c r="AN20" i="126"/>
  <c r="AF20" i="126"/>
  <c r="X20" i="126"/>
  <c r="P20" i="126"/>
  <c r="F20" i="126"/>
  <c r="E20" i="126"/>
  <c r="C20" i="126"/>
  <c r="CX19" i="126"/>
  <c r="CZ19" i="126" s="1"/>
  <c r="CP19" i="126"/>
  <c r="CR19" i="126" s="1"/>
  <c r="CH19" i="126"/>
  <c r="CJ19" i="126" s="1"/>
  <c r="BZ19" i="126"/>
  <c r="CB19" i="126" s="1"/>
  <c r="BR19" i="126"/>
  <c r="BT19" i="126" s="1"/>
  <c r="BQ19" i="126"/>
  <c r="E19" i="126" s="1"/>
  <c r="BJ19" i="126"/>
  <c r="BL19" i="126" s="1"/>
  <c r="BD19" i="126"/>
  <c r="BB19" i="126"/>
  <c r="AT19" i="126"/>
  <c r="AV19" i="126" s="1"/>
  <c r="AL19" i="126"/>
  <c r="AN19" i="126" s="1"/>
  <c r="AD19" i="126"/>
  <c r="AF19" i="126" s="1"/>
  <c r="X19" i="126"/>
  <c r="V19" i="126"/>
  <c r="N19" i="126"/>
  <c r="P19" i="126" s="1"/>
  <c r="C19" i="126"/>
  <c r="CZ18" i="126"/>
  <c r="CR18" i="126"/>
  <c r="CJ18" i="126"/>
  <c r="CB18" i="126"/>
  <c r="BT18" i="126"/>
  <c r="BL18" i="126"/>
  <c r="BD18" i="126"/>
  <c r="AV18" i="126"/>
  <c r="AN18" i="126"/>
  <c r="AF18" i="126"/>
  <c r="X18" i="126"/>
  <c r="P18" i="126"/>
  <c r="F18" i="126"/>
  <c r="E18" i="126"/>
  <c r="C18" i="126"/>
  <c r="CZ17" i="126"/>
  <c r="CX17" i="126"/>
  <c r="CH17" i="126"/>
  <c r="CJ17" i="126" s="1"/>
  <c r="CB17" i="126"/>
  <c r="BR17" i="126"/>
  <c r="BT17" i="126" s="1"/>
  <c r="BJ17" i="126"/>
  <c r="BD17" i="126"/>
  <c r="AV17" i="126"/>
  <c r="AT17" i="126"/>
  <c r="AL17" i="126"/>
  <c r="AN17" i="126" s="1"/>
  <c r="AD17" i="126"/>
  <c r="AF17" i="126" s="1"/>
  <c r="X17" i="126"/>
  <c r="V17" i="126"/>
  <c r="P17" i="126"/>
  <c r="N17" i="126"/>
  <c r="E17" i="126"/>
  <c r="C17" i="126"/>
  <c r="CW16" i="126"/>
  <c r="CM16" i="126"/>
  <c r="CG16" i="126"/>
  <c r="BY16" i="126"/>
  <c r="BQ16" i="126"/>
  <c r="BI16" i="126"/>
  <c r="BA16" i="126"/>
  <c r="AS16" i="126"/>
  <c r="AK16" i="126"/>
  <c r="AC16" i="126"/>
  <c r="U16" i="126"/>
  <c r="M16" i="126"/>
  <c r="G16" i="126"/>
  <c r="CM15" i="126"/>
  <c r="C15" i="126" s="1"/>
  <c r="AK15" i="126"/>
  <c r="M15" i="126"/>
  <c r="E15" i="126" s="1"/>
  <c r="G15" i="126"/>
  <c r="E14" i="126"/>
  <c r="C14" i="126"/>
  <c r="BK13" i="126"/>
  <c r="G13" i="126" s="1"/>
  <c r="E13" i="126"/>
  <c r="C13" i="126"/>
  <c r="CX12" i="126"/>
  <c r="CZ12" i="126" s="1"/>
  <c r="CP12" i="126"/>
  <c r="CH12" i="126"/>
  <c r="CJ12" i="126" s="1"/>
  <c r="BZ12" i="126"/>
  <c r="CB12" i="126" s="1"/>
  <c r="BT12" i="126"/>
  <c r="BR12" i="126"/>
  <c r="BK12" i="126"/>
  <c r="G12" i="126" s="1"/>
  <c r="BJ12" i="126"/>
  <c r="BD12" i="126"/>
  <c r="AY12" i="126"/>
  <c r="BB12" i="126" s="1"/>
  <c r="AV12" i="126"/>
  <c r="AT12" i="126"/>
  <c r="AN12" i="126"/>
  <c r="AL12" i="126"/>
  <c r="AO12" i="126" s="1"/>
  <c r="AF12" i="126"/>
  <c r="AD12" i="126"/>
  <c r="AC12" i="126"/>
  <c r="AC11" i="126" s="1"/>
  <c r="V12" i="126"/>
  <c r="X12" i="126" s="1"/>
  <c r="U12" i="126"/>
  <c r="U11" i="126" s="1"/>
  <c r="N12" i="126"/>
  <c r="P12" i="126" s="1"/>
  <c r="M12" i="126"/>
  <c r="C12" i="126"/>
  <c r="CY11" i="126"/>
  <c r="CW11" i="126"/>
  <c r="CV11" i="126"/>
  <c r="CU11" i="126"/>
  <c r="CQ11" i="126"/>
  <c r="CQ7" i="126" s="1"/>
  <c r="CO11" i="126"/>
  <c r="CN11" i="126"/>
  <c r="CM11" i="126"/>
  <c r="CI11" i="126"/>
  <c r="CG11" i="126"/>
  <c r="CF11" i="126"/>
  <c r="CE11" i="126"/>
  <c r="CA11" i="126"/>
  <c r="BY11" i="126"/>
  <c r="BX11" i="126"/>
  <c r="BW11" i="126"/>
  <c r="BS11" i="126"/>
  <c r="BQ11" i="126"/>
  <c r="BP11" i="126"/>
  <c r="BO11" i="126"/>
  <c r="BI11" i="126"/>
  <c r="BH11" i="126"/>
  <c r="BG11" i="126"/>
  <c r="BC11" i="126"/>
  <c r="BC7" i="126" s="1"/>
  <c r="BA11" i="126"/>
  <c r="AZ11" i="126"/>
  <c r="AZ7" i="126" s="1"/>
  <c r="AY11" i="126"/>
  <c r="AU11" i="126"/>
  <c r="AU7" i="126" s="1"/>
  <c r="AS11" i="126"/>
  <c r="AR11" i="126"/>
  <c r="AQ11" i="126"/>
  <c r="AM11" i="126"/>
  <c r="AM7" i="126" s="1"/>
  <c r="AK11" i="126"/>
  <c r="AJ11" i="126"/>
  <c r="AJ7" i="126" s="1"/>
  <c r="AI11" i="126"/>
  <c r="AE11" i="126"/>
  <c r="AE7" i="126" s="1"/>
  <c r="AB11" i="126"/>
  <c r="AA11" i="126"/>
  <c r="W11" i="126"/>
  <c r="T11" i="126"/>
  <c r="S11" i="126"/>
  <c r="O11" i="126"/>
  <c r="L11" i="126"/>
  <c r="L7" i="126" s="1"/>
  <c r="K11" i="126"/>
  <c r="DB10" i="126"/>
  <c r="DA10" i="126"/>
  <c r="CZ10" i="126"/>
  <c r="CX10" i="126"/>
  <c r="CX45" i="126" s="1"/>
  <c r="CW10" i="126"/>
  <c r="CP10" i="126"/>
  <c r="CT10" i="126" s="1"/>
  <c r="CO10" i="126"/>
  <c r="CL10" i="126"/>
  <c r="CH10" i="126"/>
  <c r="CG10" i="126"/>
  <c r="BZ10" i="126"/>
  <c r="CC10" i="126" s="1"/>
  <c r="BY10" i="126"/>
  <c r="BV10" i="126"/>
  <c r="BT10" i="126"/>
  <c r="BR10" i="126"/>
  <c r="BR45" i="126" s="1"/>
  <c r="BQ10" i="126"/>
  <c r="BN10" i="126"/>
  <c r="BM10" i="126"/>
  <c r="BJ10" i="126"/>
  <c r="BI10" i="126"/>
  <c r="BD10" i="126"/>
  <c r="BB10" i="126"/>
  <c r="BF10" i="126" s="1"/>
  <c r="BA10" i="126"/>
  <c r="AW10" i="126"/>
  <c r="AV10" i="126"/>
  <c r="AT10" i="126"/>
  <c r="AS10" i="126"/>
  <c r="AL10" i="126"/>
  <c r="AL45" i="126" s="1"/>
  <c r="AK10" i="126"/>
  <c r="AD10" i="126"/>
  <c r="AH10" i="126" s="1"/>
  <c r="AC10" i="126"/>
  <c r="V10" i="126"/>
  <c r="Z10" i="126" s="1"/>
  <c r="U10" i="126"/>
  <c r="N10" i="126"/>
  <c r="Q10" i="126" s="1"/>
  <c r="M10" i="126"/>
  <c r="G10" i="126"/>
  <c r="C10" i="126"/>
  <c r="G8" i="126"/>
  <c r="CY7" i="126"/>
  <c r="CV7" i="126"/>
  <c r="CN7" i="126"/>
  <c r="CI7" i="126"/>
  <c r="CF7" i="126"/>
  <c r="CA7" i="126"/>
  <c r="BX7" i="126"/>
  <c r="BS7" i="126"/>
  <c r="BP7" i="126"/>
  <c r="BH7" i="126"/>
  <c r="AR7" i="126"/>
  <c r="AB7" i="126"/>
  <c r="W7" i="126"/>
  <c r="T7" i="126"/>
  <c r="O7" i="126"/>
  <c r="D7" i="126"/>
  <c r="CV6" i="126"/>
  <c r="CN6" i="126"/>
  <c r="CF6" i="126"/>
  <c r="BX6" i="126"/>
  <c r="BP6" i="126"/>
  <c r="BH6" i="126"/>
  <c r="AZ6" i="126"/>
  <c r="AR6" i="126"/>
  <c r="AJ6" i="126"/>
  <c r="AB6" i="126"/>
  <c r="T6" i="126"/>
  <c r="L6" i="126"/>
  <c r="D6" i="126"/>
  <c r="M18" i="115"/>
  <c r="N18" i="115" s="1"/>
  <c r="M17" i="115"/>
  <c r="M16" i="115"/>
  <c r="M15" i="115"/>
  <c r="M14" i="115"/>
  <c r="N14" i="115" s="1"/>
  <c r="M13" i="115"/>
  <c r="M12" i="115"/>
  <c r="N12" i="115" s="1"/>
  <c r="M11" i="115"/>
  <c r="M10" i="115"/>
  <c r="N10" i="115" s="1"/>
  <c r="M9" i="115"/>
  <c r="M8" i="115"/>
  <c r="M7" i="115"/>
  <c r="CI31" i="75"/>
  <c r="BS31" i="75"/>
  <c r="BC31" i="75"/>
  <c r="W31" i="75"/>
  <c r="CP47" i="75"/>
  <c r="L19" i="115"/>
  <c r="K19" i="115"/>
  <c r="J19" i="115"/>
  <c r="I19" i="115"/>
  <c r="H19" i="115"/>
  <c r="G19" i="115"/>
  <c r="F19" i="115"/>
  <c r="E19" i="115"/>
  <c r="D19" i="115"/>
  <c r="C18" i="115"/>
  <c r="CY31" i="75" s="1"/>
  <c r="C17" i="115"/>
  <c r="CQ31" i="75" s="1"/>
  <c r="C16" i="115"/>
  <c r="CI31" i="126" s="1"/>
  <c r="C15" i="115"/>
  <c r="CA31" i="126" s="1"/>
  <c r="C14" i="115"/>
  <c r="BS31" i="126" s="1"/>
  <c r="C13" i="115"/>
  <c r="BK31" i="126" s="1"/>
  <c r="C12" i="115"/>
  <c r="BC31" i="126" s="1"/>
  <c r="C11" i="115"/>
  <c r="AU31" i="126" s="1"/>
  <c r="C10" i="115"/>
  <c r="AM31" i="75" s="1"/>
  <c r="C9" i="115"/>
  <c r="AE31" i="75" s="1"/>
  <c r="C8" i="115"/>
  <c r="W31" i="126" s="1"/>
  <c r="W34" i="126" s="1"/>
  <c r="C7" i="115"/>
  <c r="C19" i="115" s="1"/>
  <c r="N15" i="115" l="1"/>
  <c r="O31" i="126"/>
  <c r="BK31" i="75"/>
  <c r="N9" i="115"/>
  <c r="N17" i="115"/>
  <c r="H20" i="126"/>
  <c r="P21" i="126"/>
  <c r="AH21" i="126"/>
  <c r="BU21" i="126"/>
  <c r="F22" i="126"/>
  <c r="Q21" i="126"/>
  <c r="O31" i="75"/>
  <c r="CA31" i="75"/>
  <c r="CR21" i="126"/>
  <c r="AY26" i="126"/>
  <c r="AE31" i="126"/>
  <c r="AE34" i="126" s="1"/>
  <c r="CQ31" i="126"/>
  <c r="E33" i="126"/>
  <c r="CT21" i="126"/>
  <c r="E10" i="126"/>
  <c r="AN10" i="126"/>
  <c r="H18" i="126"/>
  <c r="E28" i="126"/>
  <c r="AM31" i="126"/>
  <c r="CY31" i="126"/>
  <c r="F19" i="126"/>
  <c r="N11" i="115"/>
  <c r="AO10" i="126"/>
  <c r="C16" i="126"/>
  <c r="AV21" i="126"/>
  <c r="AQ26" i="126"/>
  <c r="AZ34" i="126"/>
  <c r="AU31" i="75"/>
  <c r="N7" i="115"/>
  <c r="AP10" i="126"/>
  <c r="BU10" i="126"/>
  <c r="E21" i="126"/>
  <c r="BX34" i="126"/>
  <c r="H22" i="126"/>
  <c r="E22" i="126"/>
  <c r="AM34" i="126"/>
  <c r="BS34" i="126"/>
  <c r="CI34" i="126"/>
  <c r="CY34" i="126"/>
  <c r="AU34" i="126"/>
  <c r="BK34" i="126"/>
  <c r="CQ34" i="126"/>
  <c r="G32" i="126"/>
  <c r="F10" i="126"/>
  <c r="BZ45" i="126"/>
  <c r="CD10" i="126"/>
  <c r="CH45" i="126"/>
  <c r="CK10" i="126"/>
  <c r="CP45" i="126"/>
  <c r="CR10" i="126"/>
  <c r="E12" i="126"/>
  <c r="CB10" i="126"/>
  <c r="CJ10" i="126"/>
  <c r="CS10" i="126"/>
  <c r="C11" i="126"/>
  <c r="BK11" i="126"/>
  <c r="F12" i="126"/>
  <c r="I12" i="126" s="1"/>
  <c r="N45" i="126"/>
  <c r="R10" i="126"/>
  <c r="V45" i="126"/>
  <c r="Y10" i="126"/>
  <c r="AD45" i="126"/>
  <c r="AF10" i="126"/>
  <c r="CR12" i="126"/>
  <c r="P10" i="126"/>
  <c r="X10" i="126"/>
  <c r="AG10" i="126"/>
  <c r="AT45" i="126"/>
  <c r="AX10" i="126"/>
  <c r="BB45" i="126"/>
  <c r="BE10" i="126"/>
  <c r="BJ45" i="126"/>
  <c r="BL10" i="126"/>
  <c r="M11" i="126"/>
  <c r="BL12" i="126"/>
  <c r="H19" i="126"/>
  <c r="CO16" i="126"/>
  <c r="BL17" i="126"/>
  <c r="Z21" i="126"/>
  <c r="AN21" i="126"/>
  <c r="BF21" i="126"/>
  <c r="BT21" i="126"/>
  <c r="CL21" i="126"/>
  <c r="CZ21" i="126"/>
  <c r="AO21" i="126"/>
  <c r="F21" i="126"/>
  <c r="X21" i="126"/>
  <c r="BD21" i="126"/>
  <c r="CJ21" i="126"/>
  <c r="L34" i="126"/>
  <c r="D32" i="126"/>
  <c r="M32" i="126"/>
  <c r="AB34" i="126"/>
  <c r="AC32" i="126"/>
  <c r="CA34" i="126"/>
  <c r="BI32" i="126"/>
  <c r="E35" i="126"/>
  <c r="AK32" i="126"/>
  <c r="N8" i="115"/>
  <c r="N16" i="115"/>
  <c r="N13" i="115"/>
  <c r="M19" i="115"/>
  <c r="N19" i="115" s="1"/>
  <c r="H21" i="126" l="1"/>
  <c r="H12" i="126"/>
  <c r="O34" i="126"/>
  <c r="G31" i="126"/>
  <c r="G26" i="126" s="1"/>
  <c r="G34" i="126"/>
  <c r="J21" i="126"/>
  <c r="I21" i="126"/>
  <c r="G11" i="126"/>
  <c r="G7" i="126" s="1"/>
  <c r="BK7" i="126"/>
  <c r="D34" i="126"/>
  <c r="E11" i="126"/>
  <c r="F45" i="126"/>
  <c r="I10" i="126"/>
  <c r="J10" i="126"/>
  <c r="H10" i="126"/>
  <c r="E32" i="126"/>
  <c r="E16" i="126"/>
  <c r="N36" i="102" l="1"/>
  <c r="N34" i="102"/>
  <c r="N30" i="102"/>
  <c r="N24" i="102"/>
  <c r="M34" i="102"/>
  <c r="M30" i="102"/>
  <c r="M24" i="102"/>
  <c r="M17" i="102"/>
  <c r="M16" i="102"/>
  <c r="T37" i="2"/>
  <c r="N35" i="102" s="1"/>
  <c r="T32" i="2"/>
  <c r="N32" i="102" s="1"/>
  <c r="T16" i="2"/>
  <c r="N23" i="102" s="1"/>
  <c r="T15" i="2"/>
  <c r="N22" i="102" s="1"/>
  <c r="S41" i="2"/>
  <c r="M36" i="102" s="1"/>
  <c r="T42" i="1" l="1"/>
  <c r="V42" i="1" s="1"/>
  <c r="T54" i="1"/>
  <c r="Z54" i="1" s="1"/>
  <c r="AF54" i="1" s="1"/>
  <c r="AL54" i="1" s="1"/>
  <c r="T53" i="1"/>
  <c r="Z53" i="1" s="1"/>
  <c r="AF53" i="1" s="1"/>
  <c r="AL53" i="1" s="1"/>
  <c r="Z42" i="1" l="1"/>
  <c r="CH22" i="75"/>
  <c r="T41" i="1"/>
  <c r="JM18" i="104"/>
  <c r="IY18" i="104"/>
  <c r="JC18" i="104" s="1"/>
  <c r="IM18" i="104"/>
  <c r="IR18" i="104" s="1"/>
  <c r="ID18" i="104"/>
  <c r="IH18" i="104" s="1"/>
  <c r="HX18" i="104"/>
  <c r="HU18" i="104" s="1"/>
  <c r="HY18" i="104" s="1"/>
  <c r="HI18" i="104"/>
  <c r="HM18" i="104" s="1"/>
  <c r="HW18" i="104" s="1"/>
  <c r="HB18" i="104"/>
  <c r="HC18" i="104" s="1"/>
  <c r="GZ18" i="104" s="1"/>
  <c r="HD18" i="104" s="1"/>
  <c r="GN18" i="104"/>
  <c r="GR18" i="104" s="1"/>
  <c r="GV18" i="104" s="1"/>
  <c r="FW18" i="104"/>
  <c r="GG18" i="104" s="1"/>
  <c r="FS18" i="104"/>
  <c r="EX18" i="104"/>
  <c r="FB18" i="104" s="1"/>
  <c r="FL18" i="104" s="1"/>
  <c r="EL18" i="104"/>
  <c r="EQ18" i="104" s="1"/>
  <c r="ER18" i="104" s="1"/>
  <c r="EG18" i="104"/>
  <c r="EC18" i="104"/>
  <c r="DH18" i="104"/>
  <c r="DL18" i="104" s="1"/>
  <c r="CV18" i="104"/>
  <c r="DA18" i="104" s="1"/>
  <c r="CM18" i="104"/>
  <c r="CQ18" i="104" s="1"/>
  <c r="BR18" i="104"/>
  <c r="BW18" i="104" s="1"/>
  <c r="BQ18" i="104"/>
  <c r="BJ18" i="104"/>
  <c r="BH18" i="104"/>
  <c r="BL18" i="104" s="1"/>
  <c r="AW18" i="104"/>
  <c r="BB18" i="104" s="1"/>
  <c r="AV18" i="104"/>
  <c r="AM18" i="104"/>
  <c r="R18" i="104" s="1"/>
  <c r="R15" i="104" s="1"/>
  <c r="AB18" i="104"/>
  <c r="G18" i="104" s="1"/>
  <c r="AA18" i="104"/>
  <c r="T18" i="104"/>
  <c r="Q18" i="104"/>
  <c r="M18" i="104"/>
  <c r="J18" i="104"/>
  <c r="I18" i="104"/>
  <c r="H18" i="104"/>
  <c r="F18" i="104"/>
  <c r="E18" i="104"/>
  <c r="D18" i="104"/>
  <c r="C18" i="104"/>
  <c r="JN17" i="104"/>
  <c r="JM17" i="104"/>
  <c r="JK17" i="104" s="1"/>
  <c r="JO17" i="104" s="1"/>
  <c r="IY17" i="104"/>
  <c r="JC17" i="104" s="1"/>
  <c r="IM17" i="104"/>
  <c r="IR17" i="104" s="1"/>
  <c r="IH17" i="104"/>
  <c r="IH15" i="104" s="1"/>
  <c r="ID17" i="104"/>
  <c r="HI17" i="104"/>
  <c r="HH17" i="104"/>
  <c r="HM17" i="104" s="1"/>
  <c r="HW17" i="104" s="1"/>
  <c r="HB17" i="104"/>
  <c r="HC17" i="104" s="1"/>
  <c r="GZ17" i="104" s="1"/>
  <c r="HD17" i="104" s="1"/>
  <c r="GR17" i="104"/>
  <c r="GV17" i="104" s="1"/>
  <c r="GN17" i="104"/>
  <c r="FS17" i="104"/>
  <c r="FW17" i="104" s="1"/>
  <c r="EX17" i="104"/>
  <c r="FB17" i="104" s="1"/>
  <c r="FL17" i="104" s="1"/>
  <c r="FL15" i="104" s="1"/>
  <c r="EL17" i="104"/>
  <c r="EQ17" i="104" s="1"/>
  <c r="EC17" i="104"/>
  <c r="EG17" i="104" s="1"/>
  <c r="EB17" i="104"/>
  <c r="DS17" i="104"/>
  <c r="DH17" i="104"/>
  <c r="DL17" i="104" s="1"/>
  <c r="DV17" i="104" s="1"/>
  <c r="CV17" i="104"/>
  <c r="DA17" i="104" s="1"/>
  <c r="CM17" i="104"/>
  <c r="CL17" i="104"/>
  <c r="F17" i="104" s="1"/>
  <c r="CA17" i="104"/>
  <c r="BR17" i="104"/>
  <c r="BV17" i="104" s="1"/>
  <c r="AW17" i="104"/>
  <c r="BA17" i="104" s="1"/>
  <c r="BK17" i="104" s="1"/>
  <c r="AV17" i="104"/>
  <c r="AK17" i="104"/>
  <c r="AP17" i="104" s="1"/>
  <c r="AB17" i="104"/>
  <c r="AA17" i="104"/>
  <c r="T17" i="104"/>
  <c r="R17" i="104"/>
  <c r="Q17" i="104"/>
  <c r="N17" i="104"/>
  <c r="M17" i="104"/>
  <c r="L17" i="104"/>
  <c r="J17" i="104"/>
  <c r="I17" i="104"/>
  <c r="H17" i="104"/>
  <c r="E17" i="104"/>
  <c r="D17" i="104"/>
  <c r="C17" i="104"/>
  <c r="JN16" i="104"/>
  <c r="JK16" i="104" s="1"/>
  <c r="JD16" i="104"/>
  <c r="IY16" i="104"/>
  <c r="IY15" i="104" s="1"/>
  <c r="IQ16" i="104"/>
  <c r="IK16" i="104"/>
  <c r="IF16" i="104"/>
  <c r="ID16" i="104" s="1"/>
  <c r="HI16" i="104"/>
  <c r="HM16" i="104" s="1"/>
  <c r="GW16" i="104"/>
  <c r="HB16" i="104" s="1"/>
  <c r="GN16" i="104"/>
  <c r="GR16" i="104" s="1"/>
  <c r="FS16" i="104"/>
  <c r="FS15" i="104" s="1"/>
  <c r="FM16" i="104"/>
  <c r="FJ16" i="104" s="1"/>
  <c r="FB16" i="104"/>
  <c r="EX16" i="104"/>
  <c r="EL16" i="104"/>
  <c r="EQ16" i="104" s="1"/>
  <c r="EC16" i="104"/>
  <c r="EG16" i="104" s="1"/>
  <c r="DH16" i="104"/>
  <c r="DL16" i="104" s="1"/>
  <c r="DV16" i="104" s="1"/>
  <c r="CM16" i="104"/>
  <c r="CM15" i="104" s="1"/>
  <c r="BR16" i="104"/>
  <c r="BW16" i="104" s="1"/>
  <c r="AW16" i="104"/>
  <c r="BA16" i="104" s="1"/>
  <c r="AK16" i="104"/>
  <c r="AP16" i="104" s="1"/>
  <c r="AB16" i="104"/>
  <c r="AF16" i="104" s="1"/>
  <c r="T16" i="104"/>
  <c r="R16" i="104"/>
  <c r="Q16" i="104"/>
  <c r="M16" i="104"/>
  <c r="J16" i="104"/>
  <c r="I16" i="104"/>
  <c r="I15" i="104" s="1"/>
  <c r="H16" i="104"/>
  <c r="F16" i="104"/>
  <c r="E16" i="104"/>
  <c r="D16" i="104"/>
  <c r="C16" i="104"/>
  <c r="C15" i="104" s="1"/>
  <c r="JM15" i="104"/>
  <c r="JL15" i="104"/>
  <c r="JJ15" i="104"/>
  <c r="JI15" i="104"/>
  <c r="JG15" i="104"/>
  <c r="JF15" i="104"/>
  <c r="JE15" i="104"/>
  <c r="JD15" i="104"/>
  <c r="JB15" i="104"/>
  <c r="JA15" i="104"/>
  <c r="IZ15" i="104"/>
  <c r="IX15" i="104"/>
  <c r="IW15" i="104"/>
  <c r="IV15" i="104"/>
  <c r="IU15" i="104"/>
  <c r="IO15" i="104"/>
  <c r="IN15" i="104"/>
  <c r="IL15" i="104"/>
  <c r="IK15" i="104"/>
  <c r="IJ15" i="104"/>
  <c r="IG15" i="104"/>
  <c r="IF15" i="104"/>
  <c r="IE15" i="104"/>
  <c r="IC15" i="104"/>
  <c r="IB15" i="104"/>
  <c r="IA15" i="104"/>
  <c r="HZ15" i="104"/>
  <c r="HV15" i="104"/>
  <c r="HT15" i="104"/>
  <c r="HS15" i="104"/>
  <c r="HR15" i="104"/>
  <c r="HQ15" i="104"/>
  <c r="HP15" i="104"/>
  <c r="HO15" i="104"/>
  <c r="HN15" i="104"/>
  <c r="HL15" i="104"/>
  <c r="HK15" i="104"/>
  <c r="HJ15" i="104"/>
  <c r="HI15" i="104"/>
  <c r="HH15" i="104"/>
  <c r="HG15" i="104"/>
  <c r="HF15" i="104"/>
  <c r="HE15" i="104"/>
  <c r="HA15" i="104"/>
  <c r="GY15" i="104"/>
  <c r="GX15" i="104"/>
  <c r="GW15" i="104"/>
  <c r="GU15" i="104"/>
  <c r="GT15" i="104"/>
  <c r="GS15" i="104"/>
  <c r="GQ15" i="104"/>
  <c r="GP15" i="104"/>
  <c r="GO15" i="104"/>
  <c r="GN15" i="104"/>
  <c r="GM15" i="104"/>
  <c r="GL15" i="104"/>
  <c r="GK15" i="104"/>
  <c r="GJ15" i="104"/>
  <c r="GF15" i="104"/>
  <c r="GD15" i="104"/>
  <c r="GC15" i="104"/>
  <c r="GB15" i="104"/>
  <c r="FZ15" i="104"/>
  <c r="FY15" i="104"/>
  <c r="FX15" i="104"/>
  <c r="FV15" i="104"/>
  <c r="FU15" i="104"/>
  <c r="FT15" i="104"/>
  <c r="FR15" i="104"/>
  <c r="FQ15" i="104"/>
  <c r="FP15" i="104"/>
  <c r="FO15" i="104"/>
  <c r="FK15" i="104"/>
  <c r="FI15" i="104"/>
  <c r="FH15" i="104"/>
  <c r="FG15" i="104"/>
  <c r="FE15" i="104"/>
  <c r="FD15" i="104"/>
  <c r="FC15" i="104"/>
  <c r="FA15" i="104"/>
  <c r="EZ15" i="104"/>
  <c r="EY15" i="104"/>
  <c r="EX15" i="104"/>
  <c r="EW15" i="104"/>
  <c r="EV15" i="104"/>
  <c r="EU15" i="104"/>
  <c r="ET15" i="104"/>
  <c r="EP15" i="104"/>
  <c r="EN15" i="104"/>
  <c r="EM15" i="104"/>
  <c r="EL15" i="104"/>
  <c r="EK15" i="104"/>
  <c r="EJ15" i="104"/>
  <c r="EI15" i="104"/>
  <c r="EH15" i="104"/>
  <c r="EF15" i="104"/>
  <c r="EE15" i="104"/>
  <c r="ED15" i="104"/>
  <c r="EC15" i="104"/>
  <c r="EB15" i="104"/>
  <c r="EA15" i="104"/>
  <c r="DZ15" i="104"/>
  <c r="DY15" i="104"/>
  <c r="DU15" i="104"/>
  <c r="DS15" i="104"/>
  <c r="DR15" i="104"/>
  <c r="DQ15" i="104"/>
  <c r="DO15" i="104"/>
  <c r="DN15" i="104"/>
  <c r="DM15" i="104"/>
  <c r="DK15" i="104"/>
  <c r="DJ15" i="104"/>
  <c r="DI15" i="104"/>
  <c r="DH15" i="104"/>
  <c r="DG15" i="104"/>
  <c r="DF15" i="104"/>
  <c r="DE15" i="104"/>
  <c r="DD15" i="104"/>
  <c r="CZ15" i="104"/>
  <c r="CX15" i="104"/>
  <c r="CW15" i="104"/>
  <c r="CU15" i="104"/>
  <c r="CS15" i="104"/>
  <c r="CP15" i="104"/>
  <c r="CO15" i="104"/>
  <c r="CN15" i="104"/>
  <c r="CL15" i="104"/>
  <c r="CK15" i="104"/>
  <c r="CJ15" i="104"/>
  <c r="CI15" i="104"/>
  <c r="CE15" i="104"/>
  <c r="CC15" i="104"/>
  <c r="CB15" i="104"/>
  <c r="BZ15" i="104"/>
  <c r="BX15" i="104"/>
  <c r="BU15" i="104"/>
  <c r="BT15" i="104"/>
  <c r="BS15" i="104"/>
  <c r="BR15" i="104"/>
  <c r="BQ15" i="104"/>
  <c r="BP15" i="104"/>
  <c r="BO15" i="104"/>
  <c r="BN15" i="104"/>
  <c r="BJ15" i="104"/>
  <c r="BH15" i="104"/>
  <c r="BG15" i="104"/>
  <c r="BF15" i="104"/>
  <c r="BE15" i="104"/>
  <c r="BC15" i="104"/>
  <c r="AZ15" i="104"/>
  <c r="AY15" i="104"/>
  <c r="AX15" i="104"/>
  <c r="AW15" i="104"/>
  <c r="AV15" i="104"/>
  <c r="AU15" i="104"/>
  <c r="AT15" i="104"/>
  <c r="AS15" i="104"/>
  <c r="AO15" i="104"/>
  <c r="AM15" i="104"/>
  <c r="AL15" i="104"/>
  <c r="AJ15" i="104"/>
  <c r="AH15" i="104"/>
  <c r="AE15" i="104"/>
  <c r="AD15" i="104"/>
  <c r="AC15" i="104"/>
  <c r="AB15" i="104"/>
  <c r="AA15" i="104"/>
  <c r="Z15" i="104"/>
  <c r="Y15" i="104"/>
  <c r="X15" i="104"/>
  <c r="T15" i="104"/>
  <c r="Q15" i="104"/>
  <c r="M15" i="104"/>
  <c r="J15" i="104"/>
  <c r="H15" i="104"/>
  <c r="E15" i="104"/>
  <c r="D15" i="104"/>
  <c r="JN14" i="104"/>
  <c r="JD14" i="104"/>
  <c r="JH14" i="104" s="1"/>
  <c r="JM14" i="104" s="1"/>
  <c r="II14" i="104"/>
  <c r="IM14" i="104" s="1"/>
  <c r="IR14" i="104" s="1"/>
  <c r="HR14" i="104"/>
  <c r="GR14" i="104"/>
  <c r="GH14" i="104"/>
  <c r="FX14" i="104"/>
  <c r="FM14" i="104"/>
  <c r="FF14" i="104"/>
  <c r="ER14" i="104"/>
  <c r="EH14" i="104"/>
  <c r="EL14" i="104" s="1"/>
  <c r="EQ14" i="104" s="1"/>
  <c r="DM14" i="104"/>
  <c r="DB14" i="104"/>
  <c r="CR14" i="104"/>
  <c r="CV14" i="104" s="1"/>
  <c r="DA14" i="104" s="1"/>
  <c r="CG14" i="104"/>
  <c r="BW14" i="104"/>
  <c r="CA14" i="104" s="1"/>
  <c r="BL14" i="104"/>
  <c r="V14" i="104" s="1"/>
  <c r="BB14" i="104"/>
  <c r="BF14" i="104" s="1"/>
  <c r="AK14" i="104"/>
  <c r="AP14" i="104" s="1"/>
  <c r="W14" i="104"/>
  <c r="T14" i="104"/>
  <c r="S14" i="104"/>
  <c r="R14" i="104"/>
  <c r="Q14" i="104"/>
  <c r="N14" i="104"/>
  <c r="M14" i="104"/>
  <c r="L14" i="104"/>
  <c r="J14" i="104"/>
  <c r="I14" i="104"/>
  <c r="H14" i="104"/>
  <c r="G14" i="104"/>
  <c r="F14" i="104"/>
  <c r="E14" i="104"/>
  <c r="D14" i="104"/>
  <c r="C14" i="104"/>
  <c r="JL13" i="104"/>
  <c r="JD13" i="104"/>
  <c r="IY13" i="104"/>
  <c r="ID13" i="104"/>
  <c r="II13" i="104" s="1"/>
  <c r="IM13" i="104" s="1"/>
  <c r="IR13" i="104" s="1"/>
  <c r="HN13" i="104"/>
  <c r="HI13" i="104"/>
  <c r="HC13" i="104"/>
  <c r="GZ13" i="104" s="1"/>
  <c r="HD13" i="104" s="1"/>
  <c r="GN13" i="104"/>
  <c r="GR13" i="104" s="1"/>
  <c r="GV13" i="104" s="1"/>
  <c r="GG13" i="104"/>
  <c r="GH13" i="104" s="1"/>
  <c r="GE13" i="104" s="1"/>
  <c r="GI13" i="104" s="1"/>
  <c r="FZ13" i="104"/>
  <c r="FS13" i="104"/>
  <c r="FX13" i="104" s="1"/>
  <c r="EX13" i="104"/>
  <c r="FB13" i="104" s="1"/>
  <c r="EC13" i="104"/>
  <c r="EH13" i="104" s="1"/>
  <c r="EL13" i="104" s="1"/>
  <c r="EQ13" i="104" s="1"/>
  <c r="DV13" i="104"/>
  <c r="DW13" i="104" s="1"/>
  <c r="DH13" i="104"/>
  <c r="DM13" i="104" s="1"/>
  <c r="CM13" i="104"/>
  <c r="CR13" i="104" s="1"/>
  <c r="CV13" i="104" s="1"/>
  <c r="DA13" i="104" s="1"/>
  <c r="BR13" i="104"/>
  <c r="BW13" i="104" s="1"/>
  <c r="BK13" i="104"/>
  <c r="BL13" i="104" s="1"/>
  <c r="BI13" i="104" s="1"/>
  <c r="BM13" i="104" s="1"/>
  <c r="AW13" i="104"/>
  <c r="BB13" i="104" s="1"/>
  <c r="BD13" i="104" s="1"/>
  <c r="AB13" i="104"/>
  <c r="AG13" i="104" s="1"/>
  <c r="AK13" i="104" s="1"/>
  <c r="T13" i="104"/>
  <c r="R13" i="104"/>
  <c r="Q13" i="104"/>
  <c r="M13" i="104"/>
  <c r="J13" i="104"/>
  <c r="I13" i="104"/>
  <c r="H13" i="104"/>
  <c r="F13" i="104"/>
  <c r="E13" i="104"/>
  <c r="D13" i="104"/>
  <c r="C13" i="104"/>
  <c r="JL12" i="104"/>
  <c r="IY12" i="104"/>
  <c r="JD12" i="104" s="1"/>
  <c r="JH12" i="104" s="1"/>
  <c r="JM12" i="104" s="1"/>
  <c r="ID12" i="104"/>
  <c r="II12" i="104" s="1"/>
  <c r="IM12" i="104" s="1"/>
  <c r="IR12" i="104" s="1"/>
  <c r="HR12" i="104"/>
  <c r="HI12" i="104"/>
  <c r="HM12" i="104" s="1"/>
  <c r="GN12" i="104"/>
  <c r="GS12" i="104" s="1"/>
  <c r="FS12" i="104"/>
  <c r="FX12" i="104" s="1"/>
  <c r="FX10" i="104" s="1"/>
  <c r="FX19" i="104" s="1"/>
  <c r="EX12" i="104"/>
  <c r="FB12" i="104" s="1"/>
  <c r="EC12" i="104"/>
  <c r="EG12" i="104" s="1"/>
  <c r="EG10" i="104" s="1"/>
  <c r="DL12" i="104"/>
  <c r="DV12" i="104" s="1"/>
  <c r="DH12" i="104"/>
  <c r="CM12" i="104"/>
  <c r="CR12" i="104" s="1"/>
  <c r="CV12" i="104" s="1"/>
  <c r="DA12" i="104" s="1"/>
  <c r="CJ12" i="104"/>
  <c r="CG12" i="104"/>
  <c r="CD12" i="104"/>
  <c r="CH12" i="104" s="1"/>
  <c r="CA12" i="104"/>
  <c r="BR12" i="104"/>
  <c r="BV12" i="104" s="1"/>
  <c r="BK12" i="104"/>
  <c r="BL12" i="104" s="1"/>
  <c r="BI12" i="104" s="1"/>
  <c r="BM12" i="104" s="1"/>
  <c r="AW12" i="104"/>
  <c r="BB12" i="104" s="1"/>
  <c r="AK12" i="104"/>
  <c r="AP12" i="104" s="1"/>
  <c r="AB12" i="104"/>
  <c r="AF12" i="104" s="1"/>
  <c r="T12" i="104"/>
  <c r="R12" i="104"/>
  <c r="Q12" i="104"/>
  <c r="M12" i="104"/>
  <c r="J12" i="104"/>
  <c r="I12" i="104"/>
  <c r="H12" i="104"/>
  <c r="F12" i="104"/>
  <c r="E12" i="104"/>
  <c r="D12" i="104"/>
  <c r="C12" i="104"/>
  <c r="IY11" i="104"/>
  <c r="JD11" i="104" s="1"/>
  <c r="IL11" i="104"/>
  <c r="IF11" i="104"/>
  <c r="ID11" i="104" s="1"/>
  <c r="HI11" i="104"/>
  <c r="HN11" i="104" s="1"/>
  <c r="HD11" i="104"/>
  <c r="HC11" i="104"/>
  <c r="GZ11" i="104"/>
  <c r="GR11" i="104"/>
  <c r="GV11" i="104" s="1"/>
  <c r="GN11" i="104"/>
  <c r="GH11" i="104"/>
  <c r="GE11" i="104" s="1"/>
  <c r="GI11" i="104" s="1"/>
  <c r="FZ11" i="104"/>
  <c r="FS11" i="104"/>
  <c r="FW11" i="104" s="1"/>
  <c r="FM11" i="104"/>
  <c r="FJ11" i="104" s="1"/>
  <c r="FN11" i="104" s="1"/>
  <c r="EX11" i="104"/>
  <c r="FB11" i="104" s="1"/>
  <c r="EC11" i="104"/>
  <c r="EH11" i="104" s="1"/>
  <c r="DV11" i="104"/>
  <c r="DW11" i="104" s="1"/>
  <c r="DT11" i="104" s="1"/>
  <c r="DM11" i="104"/>
  <c r="DO11" i="104" s="1"/>
  <c r="DH11" i="104"/>
  <c r="CM11" i="104"/>
  <c r="CR11" i="104" s="1"/>
  <c r="BR11" i="104"/>
  <c r="BW11" i="104" s="1"/>
  <c r="BD11" i="104"/>
  <c r="BF11" i="104" s="1"/>
  <c r="AW11" i="104"/>
  <c r="BA11" i="104" s="1"/>
  <c r="AB11" i="104"/>
  <c r="AG11" i="104" s="1"/>
  <c r="T11" i="104"/>
  <c r="R11" i="104"/>
  <c r="Q11" i="104"/>
  <c r="M11" i="104"/>
  <c r="J11" i="104"/>
  <c r="I11" i="104"/>
  <c r="H11" i="104"/>
  <c r="F11" i="104"/>
  <c r="E11" i="104"/>
  <c r="D11" i="104"/>
  <c r="C11" i="104"/>
  <c r="C10" i="104" s="1"/>
  <c r="C19" i="104" s="1"/>
  <c r="JL10" i="104"/>
  <c r="JL19" i="104" s="1"/>
  <c r="JJ10" i="104"/>
  <c r="JJ19" i="104" s="1"/>
  <c r="JI10" i="104"/>
  <c r="JI19" i="104" s="1"/>
  <c r="JG10" i="104"/>
  <c r="JG19" i="104" s="1"/>
  <c r="JE10" i="104"/>
  <c r="JE19" i="104" s="1"/>
  <c r="JC10" i="104"/>
  <c r="JB10" i="104"/>
  <c r="JB19" i="104" s="1"/>
  <c r="JA10" i="104"/>
  <c r="JA19" i="104" s="1"/>
  <c r="IZ10" i="104"/>
  <c r="IZ19" i="104" s="1"/>
  <c r="IX10" i="104"/>
  <c r="IX19" i="104" s="1"/>
  <c r="IW10" i="104"/>
  <c r="IW19" i="104" s="1"/>
  <c r="IV10" i="104"/>
  <c r="IV19" i="104" s="1"/>
  <c r="IU10" i="104"/>
  <c r="IU19" i="104" s="1"/>
  <c r="IQ10" i="104"/>
  <c r="IO10" i="104"/>
  <c r="IO19" i="104" s="1"/>
  <c r="IN10" i="104"/>
  <c r="IN19" i="104" s="1"/>
  <c r="IL10" i="104"/>
  <c r="IL19" i="104" s="1"/>
  <c r="IK10" i="104"/>
  <c r="IK19" i="104" s="1"/>
  <c r="IJ10" i="104"/>
  <c r="IJ19" i="104" s="1"/>
  <c r="IH10" i="104"/>
  <c r="IH19" i="104" s="1"/>
  <c r="IG10" i="104"/>
  <c r="IG19" i="104" s="1"/>
  <c r="IF10" i="104"/>
  <c r="IF19" i="104" s="1"/>
  <c r="IE10" i="104"/>
  <c r="IE19" i="104" s="1"/>
  <c r="IC10" i="104"/>
  <c r="IC19" i="104" s="1"/>
  <c r="IB10" i="104"/>
  <c r="IB19" i="104" s="1"/>
  <c r="IA10" i="104"/>
  <c r="IA19" i="104" s="1"/>
  <c r="HZ10" i="104"/>
  <c r="HZ19" i="104" s="1"/>
  <c r="HV10" i="104"/>
  <c r="HV19" i="104" s="1"/>
  <c r="HT10" i="104"/>
  <c r="HT19" i="104" s="1"/>
  <c r="HS10" i="104"/>
  <c r="HS19" i="104" s="1"/>
  <c r="HQ10" i="104"/>
  <c r="HQ19" i="104" s="1"/>
  <c r="HO10" i="104"/>
  <c r="HO19" i="104" s="1"/>
  <c r="HL10" i="104"/>
  <c r="HL19" i="104" s="1"/>
  <c r="HK10" i="104"/>
  <c r="HK19" i="104" s="1"/>
  <c r="HJ10" i="104"/>
  <c r="HJ19" i="104" s="1"/>
  <c r="HI10" i="104"/>
  <c r="HI19" i="104" s="1"/>
  <c r="HH10" i="104"/>
  <c r="HH19" i="104" s="1"/>
  <c r="HG10" i="104"/>
  <c r="HG19" i="104" s="1"/>
  <c r="HF10" i="104"/>
  <c r="HF19" i="104" s="1"/>
  <c r="HE10" i="104"/>
  <c r="HE19" i="104" s="1"/>
  <c r="HA10" i="104"/>
  <c r="HA19" i="104" s="1"/>
  <c r="GY10" i="104"/>
  <c r="GY19" i="104" s="1"/>
  <c r="GX10" i="104"/>
  <c r="GX19" i="104" s="1"/>
  <c r="GW10" i="104"/>
  <c r="GW19" i="104" s="1"/>
  <c r="GT10" i="104"/>
  <c r="GT19" i="104" s="1"/>
  <c r="GQ10" i="104"/>
  <c r="GQ19" i="104" s="1"/>
  <c r="GP10" i="104"/>
  <c r="GP19" i="104" s="1"/>
  <c r="GO10" i="104"/>
  <c r="GO19" i="104" s="1"/>
  <c r="GN10" i="104"/>
  <c r="GN19" i="104" s="1"/>
  <c r="GM10" i="104"/>
  <c r="GM19" i="104" s="1"/>
  <c r="GL10" i="104"/>
  <c r="GL19" i="104" s="1"/>
  <c r="GK10" i="104"/>
  <c r="GK19" i="104" s="1"/>
  <c r="GJ10" i="104"/>
  <c r="GJ19" i="104" s="1"/>
  <c r="GF10" i="104"/>
  <c r="GF19" i="104" s="1"/>
  <c r="GD10" i="104"/>
  <c r="GD19" i="104" s="1"/>
  <c r="GC10" i="104"/>
  <c r="GC19" i="104" s="1"/>
  <c r="GB10" i="104"/>
  <c r="GB19" i="104" s="1"/>
  <c r="FZ10" i="104"/>
  <c r="FZ19" i="104" s="1"/>
  <c r="FY10" i="104"/>
  <c r="FY19" i="104" s="1"/>
  <c r="FV10" i="104"/>
  <c r="FV19" i="104" s="1"/>
  <c r="FU10" i="104"/>
  <c r="FU19" i="104" s="1"/>
  <c r="FT10" i="104"/>
  <c r="FT19" i="104" s="1"/>
  <c r="FR10" i="104"/>
  <c r="FR19" i="104" s="1"/>
  <c r="FQ10" i="104"/>
  <c r="FQ19" i="104" s="1"/>
  <c r="FP10" i="104"/>
  <c r="FP19" i="104" s="1"/>
  <c r="FO10" i="104"/>
  <c r="FO19" i="104" s="1"/>
  <c r="FK10" i="104"/>
  <c r="FK19" i="104" s="1"/>
  <c r="FI10" i="104"/>
  <c r="FI19" i="104" s="1"/>
  <c r="FH10" i="104"/>
  <c r="FH19" i="104" s="1"/>
  <c r="FG10" i="104"/>
  <c r="FG19" i="104" s="1"/>
  <c r="FE10" i="104"/>
  <c r="FE19" i="104" s="1"/>
  <c r="FD10" i="104"/>
  <c r="FD19" i="104" s="1"/>
  <c r="FC10" i="104"/>
  <c r="FC19" i="104" s="1"/>
  <c r="FA10" i="104"/>
  <c r="FA19" i="104" s="1"/>
  <c r="EZ10" i="104"/>
  <c r="EZ19" i="104" s="1"/>
  <c r="EY10" i="104"/>
  <c r="EY19" i="104" s="1"/>
  <c r="EX10" i="104"/>
  <c r="EX19" i="104" s="1"/>
  <c r="EW10" i="104"/>
  <c r="EW19" i="104" s="1"/>
  <c r="EV10" i="104"/>
  <c r="EV19" i="104" s="1"/>
  <c r="EU10" i="104"/>
  <c r="EU19" i="104" s="1"/>
  <c r="ET10" i="104"/>
  <c r="ET19" i="104" s="1"/>
  <c r="EP10" i="104"/>
  <c r="EP19" i="104" s="1"/>
  <c r="EN10" i="104"/>
  <c r="EN19" i="104" s="1"/>
  <c r="EM10" i="104"/>
  <c r="EM19" i="104" s="1"/>
  <c r="EK10" i="104"/>
  <c r="EK19" i="104" s="1"/>
  <c r="EI10" i="104"/>
  <c r="EI19" i="104" s="1"/>
  <c r="EF10" i="104"/>
  <c r="EF19" i="104" s="1"/>
  <c r="EE10" i="104"/>
  <c r="EE19" i="104" s="1"/>
  <c r="ED10" i="104"/>
  <c r="ED19" i="104" s="1"/>
  <c r="EC10" i="104"/>
  <c r="EC19" i="104" s="1"/>
  <c r="EB10" i="104"/>
  <c r="EB19" i="104" s="1"/>
  <c r="EA10" i="104"/>
  <c r="EA19" i="104" s="1"/>
  <c r="DZ10" i="104"/>
  <c r="DZ19" i="104" s="1"/>
  <c r="DY10" i="104"/>
  <c r="DY19" i="104" s="1"/>
  <c r="DU10" i="104"/>
  <c r="DU19" i="104" s="1"/>
  <c r="DS10" i="104"/>
  <c r="DS19" i="104" s="1"/>
  <c r="DR10" i="104"/>
  <c r="DR19" i="104" s="1"/>
  <c r="DQ10" i="104"/>
  <c r="DQ19" i="104" s="1"/>
  <c r="DP10" i="104"/>
  <c r="DN10" i="104"/>
  <c r="DN19" i="104" s="1"/>
  <c r="DL10" i="104"/>
  <c r="DK10" i="104"/>
  <c r="DK19" i="104" s="1"/>
  <c r="DJ10" i="104"/>
  <c r="DJ19" i="104" s="1"/>
  <c r="DI10" i="104"/>
  <c r="DI19" i="104" s="1"/>
  <c r="DH10" i="104"/>
  <c r="DH19" i="104" s="1"/>
  <c r="DG10" i="104"/>
  <c r="DG19" i="104" s="1"/>
  <c r="DF10" i="104"/>
  <c r="DF19" i="104" s="1"/>
  <c r="DE10" i="104"/>
  <c r="DE19" i="104" s="1"/>
  <c r="DD10" i="104"/>
  <c r="DD19" i="104" s="1"/>
  <c r="CZ10" i="104"/>
  <c r="CZ19" i="104" s="1"/>
  <c r="CX10" i="104"/>
  <c r="CX19" i="104" s="1"/>
  <c r="CW10" i="104"/>
  <c r="CW19" i="104" s="1"/>
  <c r="CU10" i="104"/>
  <c r="CU19" i="104" s="1"/>
  <c r="CT10" i="104"/>
  <c r="CS10" i="104"/>
  <c r="CS19" i="104" s="1"/>
  <c r="CQ10" i="104"/>
  <c r="CP10" i="104"/>
  <c r="CP19" i="104" s="1"/>
  <c r="CO10" i="104"/>
  <c r="CN10" i="104"/>
  <c r="CN19" i="104" s="1"/>
  <c r="CL10" i="104"/>
  <c r="CL19" i="104" s="1"/>
  <c r="CK10" i="104"/>
  <c r="CK19" i="104" s="1"/>
  <c r="CJ10" i="104"/>
  <c r="CJ19" i="104" s="1"/>
  <c r="CI10" i="104"/>
  <c r="CI19" i="104" s="1"/>
  <c r="CE10" i="104"/>
  <c r="CE19" i="104" s="1"/>
  <c r="CC10" i="104"/>
  <c r="CC19" i="104" s="1"/>
  <c r="CB10" i="104"/>
  <c r="CB19" i="104" s="1"/>
  <c r="BZ10" i="104"/>
  <c r="BZ19" i="104" s="1"/>
  <c r="BX10" i="104"/>
  <c r="BX19" i="104" s="1"/>
  <c r="BU10" i="104"/>
  <c r="BU19" i="104" s="1"/>
  <c r="BT10" i="104"/>
  <c r="BT19" i="104" s="1"/>
  <c r="BS10" i="104"/>
  <c r="BS19" i="104" s="1"/>
  <c r="BR10" i="104"/>
  <c r="BR19" i="104" s="1"/>
  <c r="BQ10" i="104"/>
  <c r="BQ19" i="104" s="1"/>
  <c r="BP10" i="104"/>
  <c r="BP19" i="104" s="1"/>
  <c r="BO10" i="104"/>
  <c r="BO19" i="104" s="1"/>
  <c r="BN10" i="104"/>
  <c r="BN19" i="104" s="1"/>
  <c r="BJ10" i="104"/>
  <c r="BJ19" i="104" s="1"/>
  <c r="BH10" i="104"/>
  <c r="BH19" i="104" s="1"/>
  <c r="BG10" i="104"/>
  <c r="BG19" i="104" s="1"/>
  <c r="BE10" i="104"/>
  <c r="BE19" i="104" s="1"/>
  <c r="BC10" i="104"/>
  <c r="BC19" i="104" s="1"/>
  <c r="AZ10" i="104"/>
  <c r="AZ19" i="104" s="1"/>
  <c r="AY10" i="104"/>
  <c r="AY19" i="104" s="1"/>
  <c r="AX10" i="104"/>
  <c r="AX19" i="104" s="1"/>
  <c r="AW10" i="104"/>
  <c r="AW19" i="104" s="1"/>
  <c r="AV10" i="104"/>
  <c r="AV19" i="104" s="1"/>
  <c r="AU10" i="104"/>
  <c r="AU19" i="104" s="1"/>
  <c r="AT10" i="104"/>
  <c r="AT19" i="104" s="1"/>
  <c r="AS10" i="104"/>
  <c r="AS19" i="104" s="1"/>
  <c r="AO10" i="104"/>
  <c r="AO19" i="104" s="1"/>
  <c r="AM10" i="104"/>
  <c r="AM19" i="104" s="1"/>
  <c r="AL10" i="104"/>
  <c r="AL19" i="104" s="1"/>
  <c r="AJ10" i="104"/>
  <c r="AJ19" i="104" s="1"/>
  <c r="AH10" i="104"/>
  <c r="AH19" i="104" s="1"/>
  <c r="AE10" i="104"/>
  <c r="AE19" i="104" s="1"/>
  <c r="AD10" i="104"/>
  <c r="AD19" i="104" s="1"/>
  <c r="AC10" i="104"/>
  <c r="AC19" i="104" s="1"/>
  <c r="AB10" i="104"/>
  <c r="AB19" i="104" s="1"/>
  <c r="AA10" i="104"/>
  <c r="AA19" i="104" s="1"/>
  <c r="Z10" i="104"/>
  <c r="Z19" i="104" s="1"/>
  <c r="Y10" i="104"/>
  <c r="Y19" i="104" s="1"/>
  <c r="X10" i="104"/>
  <c r="X19" i="104" s="1"/>
  <c r="T10" i="104"/>
  <c r="T19" i="104" s="1"/>
  <c r="R10" i="104"/>
  <c r="Q10" i="104"/>
  <c r="Q19" i="104" s="1"/>
  <c r="M10" i="104"/>
  <c r="M19" i="104" s="1"/>
  <c r="J10" i="104"/>
  <c r="J19" i="104" s="1"/>
  <c r="I10" i="104"/>
  <c r="H10" i="104"/>
  <c r="H19" i="104" s="1"/>
  <c r="F10" i="104"/>
  <c r="E10" i="104"/>
  <c r="E19" i="104" s="1"/>
  <c r="D10" i="104"/>
  <c r="D19" i="104" s="1"/>
  <c r="P32" i="77"/>
  <c r="O32" i="77"/>
  <c r="N32" i="77"/>
  <c r="M32" i="77"/>
  <c r="L32" i="77"/>
  <c r="K32" i="77"/>
  <c r="J32" i="77"/>
  <c r="I32" i="77"/>
  <c r="H32" i="77"/>
  <c r="G32" i="77"/>
  <c r="F32" i="77"/>
  <c r="E32" i="77"/>
  <c r="P31" i="77"/>
  <c r="P30" i="77" s="1"/>
  <c r="O31" i="77"/>
  <c r="O30" i="77" s="1"/>
  <c r="N31" i="77"/>
  <c r="N30" i="77" s="1"/>
  <c r="M31" i="77"/>
  <c r="M30" i="77" s="1"/>
  <c r="L31" i="77"/>
  <c r="K31" i="77"/>
  <c r="K30" i="77" s="1"/>
  <c r="J31" i="77"/>
  <c r="I31" i="77"/>
  <c r="H31" i="77"/>
  <c r="H30" i="77" s="1"/>
  <c r="G31" i="77"/>
  <c r="F31" i="77"/>
  <c r="E31" i="77"/>
  <c r="E30" i="77" s="1"/>
  <c r="GU12" i="104" l="1"/>
  <c r="GU10" i="104" s="1"/>
  <c r="GU19" i="104" s="1"/>
  <c r="GS10" i="104"/>
  <c r="GS19" i="104" s="1"/>
  <c r="GV16" i="104"/>
  <c r="GV15" i="104" s="1"/>
  <c r="GR15" i="104"/>
  <c r="EJ11" i="104"/>
  <c r="EJ10" i="104" s="1"/>
  <c r="EJ19" i="104" s="1"/>
  <c r="EG15" i="104"/>
  <c r="HW16" i="104"/>
  <c r="HM15" i="104"/>
  <c r="HP13" i="104"/>
  <c r="BY18" i="104"/>
  <c r="BY15" i="104" s="1"/>
  <c r="BV15" i="104"/>
  <c r="II11" i="104"/>
  <c r="ID10" i="104"/>
  <c r="G11" i="104"/>
  <c r="EO16" i="104"/>
  <c r="ES16" i="104" s="1"/>
  <c r="ER16" i="104"/>
  <c r="GG17" i="104"/>
  <c r="GA17" i="104"/>
  <c r="IS17" i="104"/>
  <c r="IP17" i="104" s="1"/>
  <c r="IT17" i="104" s="1"/>
  <c r="BK16" i="104"/>
  <c r="BA15" i="104"/>
  <c r="JC15" i="104"/>
  <c r="JF13" i="104"/>
  <c r="JF10" i="104" s="1"/>
  <c r="JF19" i="104" s="1"/>
  <c r="DV18" i="104"/>
  <c r="K18" i="104"/>
  <c r="DL15" i="104"/>
  <c r="CA16" i="104"/>
  <c r="BW15" i="104"/>
  <c r="AN17" i="104"/>
  <c r="AQ17" i="104"/>
  <c r="BD18" i="104"/>
  <c r="BD15" i="104" s="1"/>
  <c r="BB15" i="104"/>
  <c r="HR13" i="104"/>
  <c r="HW13" i="104" s="1"/>
  <c r="F15" i="104"/>
  <c r="AF15" i="104"/>
  <c r="FB15" i="104"/>
  <c r="P17" i="104"/>
  <c r="FF16" i="104"/>
  <c r="G12" i="104"/>
  <c r="GR12" i="104"/>
  <c r="EO18" i="104"/>
  <c r="ES18" i="104" s="1"/>
  <c r="DL19" i="104"/>
  <c r="R19" i="104"/>
  <c r="FF18" i="104"/>
  <c r="O18" i="104" s="1"/>
  <c r="JC19" i="104"/>
  <c r="EG19" i="104"/>
  <c r="G13" i="104"/>
  <c r="JH16" i="104"/>
  <c r="JH15" i="104" s="1"/>
  <c r="G17" i="104"/>
  <c r="AF17" i="104"/>
  <c r="AG18" i="104"/>
  <c r="AG15" i="104" s="1"/>
  <c r="L30" i="77"/>
  <c r="I30" i="77"/>
  <c r="F30" i="77"/>
  <c r="J30" i="77"/>
  <c r="D30" i="77" s="1"/>
  <c r="G30" i="77"/>
  <c r="AB42" i="1"/>
  <c r="AF42" i="1"/>
  <c r="CQ17" i="104"/>
  <c r="I19" i="104"/>
  <c r="CO19" i="104"/>
  <c r="F19" i="104"/>
  <c r="BA10" i="104"/>
  <c r="BA19" i="104" s="1"/>
  <c r="K11" i="104"/>
  <c r="BK11" i="104"/>
  <c r="DB12" i="104"/>
  <c r="CY12" i="104" s="1"/>
  <c r="DC12" i="104" s="1"/>
  <c r="IP12" i="104"/>
  <c r="IT12" i="104" s="1"/>
  <c r="IS12" i="104"/>
  <c r="AP13" i="104"/>
  <c r="ER13" i="104"/>
  <c r="EO13" i="104" s="1"/>
  <c r="ES13" i="104" s="1"/>
  <c r="IS13" i="104"/>
  <c r="IP13" i="104" s="1"/>
  <c r="IT13" i="104" s="1"/>
  <c r="GA11" i="104"/>
  <c r="GA10" i="104" s="1"/>
  <c r="HM10" i="104"/>
  <c r="HM19" i="104" s="1"/>
  <c r="HW12" i="104"/>
  <c r="HP11" i="104"/>
  <c r="HP10" i="104" s="1"/>
  <c r="HP19" i="104" s="1"/>
  <c r="JN12" i="104"/>
  <c r="JK12" i="104" s="1"/>
  <c r="JO12" i="104" s="1"/>
  <c r="DO13" i="104"/>
  <c r="DO10" i="104" s="1"/>
  <c r="DO19" i="104" s="1"/>
  <c r="DM10" i="104"/>
  <c r="DM19" i="104" s="1"/>
  <c r="FL13" i="104"/>
  <c r="K13" i="104"/>
  <c r="FF13" i="104"/>
  <c r="O13" i="104" s="1"/>
  <c r="HX13" i="104"/>
  <c r="HU13" i="104" s="1"/>
  <c r="HY13" i="104" s="1"/>
  <c r="L11" i="104"/>
  <c r="AG10" i="104"/>
  <c r="AG19" i="104" s="1"/>
  <c r="AI11" i="104"/>
  <c r="CA11" i="104"/>
  <c r="BW10" i="104"/>
  <c r="BW19" i="104" s="1"/>
  <c r="FF11" i="104"/>
  <c r="FB10" i="104"/>
  <c r="FB19" i="104" s="1"/>
  <c r="HN10" i="104"/>
  <c r="HN19" i="104" s="1"/>
  <c r="HR11" i="104"/>
  <c r="JH11" i="104"/>
  <c r="JD10" i="104"/>
  <c r="JD19" i="104" s="1"/>
  <c r="DW12" i="104"/>
  <c r="DT12" i="104" s="1"/>
  <c r="DV10" i="104"/>
  <c r="DV19" i="104" s="1"/>
  <c r="U14" i="104"/>
  <c r="DX11" i="104"/>
  <c r="IM11" i="104"/>
  <c r="II10" i="104"/>
  <c r="AF10" i="104"/>
  <c r="AF19" i="104" s="1"/>
  <c r="BV10" i="104"/>
  <c r="BV19" i="104" s="1"/>
  <c r="BY13" i="104"/>
  <c r="BY10" i="104" s="1"/>
  <c r="CA13" i="104"/>
  <c r="CF13" i="104" s="1"/>
  <c r="CV11" i="104"/>
  <c r="CR10" i="104"/>
  <c r="EL11" i="104"/>
  <c r="AQ12" i="104"/>
  <c r="FL12" i="104"/>
  <c r="FF12" i="104"/>
  <c r="DB13" i="104"/>
  <c r="CY13" i="104"/>
  <c r="DC13" i="104" s="1"/>
  <c r="BB10" i="104"/>
  <c r="BB19" i="104" s="1"/>
  <c r="BD12" i="104"/>
  <c r="CM10" i="104"/>
  <c r="CM19" i="104" s="1"/>
  <c r="FS10" i="104"/>
  <c r="FS19" i="104" s="1"/>
  <c r="IY10" i="104"/>
  <c r="IY19" i="104" s="1"/>
  <c r="EH12" i="104"/>
  <c r="EL12" i="104" s="1"/>
  <c r="EQ12" i="104" s="1"/>
  <c r="GV12" i="104"/>
  <c r="L13" i="104"/>
  <c r="DT13" i="104"/>
  <c r="DX13" i="104" s="1"/>
  <c r="P14" i="104"/>
  <c r="JO16" i="104"/>
  <c r="K17" i="104"/>
  <c r="DB17" i="104"/>
  <c r="CY17" i="104" s="1"/>
  <c r="DC17" i="104" s="1"/>
  <c r="FM17" i="104"/>
  <c r="AI18" i="104"/>
  <c r="L18" i="104"/>
  <c r="DP16" i="104"/>
  <c r="BL16" i="104"/>
  <c r="BK15" i="104"/>
  <c r="FW12" i="104"/>
  <c r="GG12" i="104" s="1"/>
  <c r="DW16" i="104"/>
  <c r="DV15" i="104"/>
  <c r="HX16" i="104"/>
  <c r="HX15" i="104" s="1"/>
  <c r="HW15" i="104"/>
  <c r="HU16" i="104"/>
  <c r="AR17" i="104"/>
  <c r="BL17" i="104"/>
  <c r="BI17" i="104" s="1"/>
  <c r="U17" i="104"/>
  <c r="CT16" i="104"/>
  <c r="CQ15" i="104"/>
  <c r="CQ19" i="104" s="1"/>
  <c r="DW17" i="104"/>
  <c r="DT17" i="104" s="1"/>
  <c r="DX17" i="104" s="1"/>
  <c r="GH17" i="104"/>
  <c r="GE17" i="104" s="1"/>
  <c r="GI17" i="104" s="1"/>
  <c r="HU17" i="104"/>
  <c r="HY17" i="104" s="1"/>
  <c r="HX17" i="104"/>
  <c r="O14" i="104"/>
  <c r="K14" i="104"/>
  <c r="GV14" i="104"/>
  <c r="FN16" i="104"/>
  <c r="II16" i="104"/>
  <c r="G16" i="104"/>
  <c r="G15" i="104" s="1"/>
  <c r="ID15" i="104"/>
  <c r="ID19" i="104" s="1"/>
  <c r="HB15" i="104"/>
  <c r="AQ16" i="104"/>
  <c r="AN16" i="104" s="1"/>
  <c r="CF16" i="104"/>
  <c r="CR16" i="104"/>
  <c r="FW16" i="104"/>
  <c r="HC16" i="104"/>
  <c r="HC15" i="104" s="1"/>
  <c r="CF17" i="104"/>
  <c r="ER17" i="104"/>
  <c r="ER15" i="104" s="1"/>
  <c r="FF17" i="104"/>
  <c r="O17" i="104" s="1"/>
  <c r="BI18" i="104"/>
  <c r="BM18" i="104" s="1"/>
  <c r="EQ15" i="104"/>
  <c r="IQ15" i="104"/>
  <c r="IQ19" i="104" s="1"/>
  <c r="DB18" i="104"/>
  <c r="CY18" i="104" s="1"/>
  <c r="DC18" i="104" s="1"/>
  <c r="DW18" i="104"/>
  <c r="DT18" i="104" s="1"/>
  <c r="DX18" i="104" s="1"/>
  <c r="FM18" i="104"/>
  <c r="FJ18" i="104" s="1"/>
  <c r="FN18" i="104" s="1"/>
  <c r="GH18" i="104"/>
  <c r="GE18" i="104" s="1"/>
  <c r="GI18" i="104" s="1"/>
  <c r="IS18" i="104"/>
  <c r="IP18" i="104" s="1"/>
  <c r="IT18" i="104" s="1"/>
  <c r="JN18" i="104"/>
  <c r="JN15" i="104" s="1"/>
  <c r="D32" i="77"/>
  <c r="D31" i="77"/>
  <c r="N13" i="104" l="1"/>
  <c r="JH13" i="104"/>
  <c r="JM13" i="104" s="1"/>
  <c r="G10" i="104"/>
  <c r="G19" i="104" s="1"/>
  <c r="P13" i="104"/>
  <c r="GV10" i="104"/>
  <c r="GV19" i="104" s="1"/>
  <c r="AT25" i="126"/>
  <c r="AT25" i="75"/>
  <c r="CA18" i="104"/>
  <c r="CF18" i="104" s="1"/>
  <c r="FM15" i="104"/>
  <c r="HB12" i="104"/>
  <c r="GR10" i="104"/>
  <c r="GR19" i="104" s="1"/>
  <c r="BY19" i="104"/>
  <c r="AH42" i="1"/>
  <c r="AL42" i="1"/>
  <c r="AN42" i="1" s="1"/>
  <c r="AR16" i="104"/>
  <c r="BM17" i="104"/>
  <c r="DX12" i="104"/>
  <c r="DT10" i="104"/>
  <c r="GG16" i="104"/>
  <c r="GA16" i="104"/>
  <c r="GA15" i="104" s="1"/>
  <c r="GA19" i="104" s="1"/>
  <c r="FW15" i="104"/>
  <c r="BL15" i="104"/>
  <c r="JK18" i="104"/>
  <c r="CG17" i="104"/>
  <c r="CD17" i="104" s="1"/>
  <c r="N16" i="104"/>
  <c r="CT15" i="104"/>
  <c r="CT19" i="104" s="1"/>
  <c r="K16" i="104"/>
  <c r="K15" i="104" s="1"/>
  <c r="N18" i="104"/>
  <c r="AI15" i="104"/>
  <c r="O12" i="104"/>
  <c r="CV10" i="104"/>
  <c r="DA11" i="104"/>
  <c r="DX10" i="104"/>
  <c r="CG16" i="104"/>
  <c r="CF15" i="104"/>
  <c r="II15" i="104"/>
  <c r="II19" i="104" s="1"/>
  <c r="IM16" i="104"/>
  <c r="EO17" i="104"/>
  <c r="FF15" i="104"/>
  <c r="BI16" i="104"/>
  <c r="AK18" i="104"/>
  <c r="GZ16" i="104"/>
  <c r="L12" i="104"/>
  <c r="L10" i="104" s="1"/>
  <c r="FM12" i="104"/>
  <c r="FM10" i="104" s="1"/>
  <c r="FL10" i="104"/>
  <c r="FL19" i="104" s="1"/>
  <c r="EL10" i="104"/>
  <c r="EL19" i="104" s="1"/>
  <c r="EQ11" i="104"/>
  <c r="CG13" i="104"/>
  <c r="CD13" i="104" s="1"/>
  <c r="CH13" i="104" s="1"/>
  <c r="CF11" i="104"/>
  <c r="CA10" i="104"/>
  <c r="HY16" i="104"/>
  <c r="HY15" i="104" s="1"/>
  <c r="HU15" i="104"/>
  <c r="GH12" i="104"/>
  <c r="GH10" i="104" s="1"/>
  <c r="GG10" i="104"/>
  <c r="DP15" i="104"/>
  <c r="DP19" i="104" s="1"/>
  <c r="FJ17" i="104"/>
  <c r="CA15" i="104"/>
  <c r="N12" i="104"/>
  <c r="BD10" i="104"/>
  <c r="BD19" i="104" s="1"/>
  <c r="EH10" i="104"/>
  <c r="EH19" i="104" s="1"/>
  <c r="IR11" i="104"/>
  <c r="IM10" i="104"/>
  <c r="JM11" i="104"/>
  <c r="JH10" i="104"/>
  <c r="JH19" i="104" s="1"/>
  <c r="N11" i="104"/>
  <c r="N10" i="104" s="1"/>
  <c r="AI10" i="104"/>
  <c r="AI19" i="104" s="1"/>
  <c r="HX12" i="104"/>
  <c r="BL11" i="104"/>
  <c r="BL10" i="104" s="1"/>
  <c r="BL19" i="104" s="1"/>
  <c r="BK10" i="104"/>
  <c r="BK19" i="104" s="1"/>
  <c r="CG18" i="104"/>
  <c r="CD18" i="104"/>
  <c r="CH18" i="104" s="1"/>
  <c r="DW15" i="104"/>
  <c r="ER12" i="104"/>
  <c r="EO12" i="104" s="1"/>
  <c r="ES12" i="104" s="1"/>
  <c r="BF12" i="104"/>
  <c r="HR10" i="104"/>
  <c r="HR19" i="104" s="1"/>
  <c r="HW11" i="104"/>
  <c r="FF10" i="104"/>
  <c r="O11" i="104"/>
  <c r="O10" i="104" s="1"/>
  <c r="AK11" i="104"/>
  <c r="FM13" i="104"/>
  <c r="FJ13" i="104" s="1"/>
  <c r="FN13" i="104" s="1"/>
  <c r="V17" i="104"/>
  <c r="L16" i="104"/>
  <c r="L15" i="104" s="1"/>
  <c r="CV16" i="104"/>
  <c r="CR15" i="104"/>
  <c r="CR19" i="104" s="1"/>
  <c r="DT16" i="104"/>
  <c r="DW10" i="104"/>
  <c r="DW19" i="104" s="1"/>
  <c r="AN12" i="104"/>
  <c r="K12" i="104"/>
  <c r="K10" i="104" s="1"/>
  <c r="K19" i="104" s="1"/>
  <c r="FW10" i="104"/>
  <c r="FW19" i="104" s="1"/>
  <c r="AQ13" i="104"/>
  <c r="U13" i="104"/>
  <c r="O16" i="104" l="1"/>
  <c r="O15" i="104" s="1"/>
  <c r="AV25" i="126"/>
  <c r="AW25" i="126"/>
  <c r="V25" i="126"/>
  <c r="V25" i="75"/>
  <c r="GG19" i="104"/>
  <c r="CG15" i="104"/>
  <c r="HB10" i="104"/>
  <c r="HB19" i="104" s="1"/>
  <c r="HC12" i="104"/>
  <c r="HC10" i="104" s="1"/>
  <c r="HC19" i="104" s="1"/>
  <c r="V13" i="104"/>
  <c r="AT16" i="126"/>
  <c r="AT16" i="75"/>
  <c r="U12" i="104"/>
  <c r="JN13" i="104"/>
  <c r="JK13" i="104"/>
  <c r="JO13" i="104" s="1"/>
  <c r="V16" i="126"/>
  <c r="V16" i="75"/>
  <c r="BJ25" i="126"/>
  <c r="BJ25" i="75"/>
  <c r="FM19" i="104"/>
  <c r="O19" i="104"/>
  <c r="CA19" i="104"/>
  <c r="FJ12" i="104"/>
  <c r="L19" i="104"/>
  <c r="CH17" i="104"/>
  <c r="S17" i="104"/>
  <c r="P11" i="104"/>
  <c r="AP11" i="104"/>
  <c r="AK10" i="104"/>
  <c r="AR12" i="104"/>
  <c r="BF10" i="104"/>
  <c r="BF19" i="104" s="1"/>
  <c r="P12" i="104"/>
  <c r="JO18" i="104"/>
  <c r="JO15" i="104" s="1"/>
  <c r="JK15" i="104"/>
  <c r="AN13" i="104"/>
  <c r="P16" i="104"/>
  <c r="P15" i="104" s="1"/>
  <c r="DA16" i="104"/>
  <c r="CV15" i="104"/>
  <c r="CV19" i="104" s="1"/>
  <c r="FF19" i="104"/>
  <c r="HU12" i="104"/>
  <c r="HY12" i="104" s="1"/>
  <c r="IS11" i="104"/>
  <c r="IS10" i="104" s="1"/>
  <c r="IR10" i="104"/>
  <c r="GE12" i="104"/>
  <c r="HD16" i="104"/>
  <c r="HD15" i="104" s="1"/>
  <c r="GZ15" i="104"/>
  <c r="N15" i="104"/>
  <c r="N19" i="104" s="1"/>
  <c r="GH16" i="104"/>
  <c r="GH15" i="104" s="1"/>
  <c r="GH19" i="104" s="1"/>
  <c r="GG15" i="104"/>
  <c r="JM10" i="104"/>
  <c r="JM19" i="104" s="1"/>
  <c r="JN11" i="104"/>
  <c r="JN10" i="104" s="1"/>
  <c r="JN19" i="104" s="1"/>
  <c r="FN17" i="104"/>
  <c r="FN15" i="104" s="1"/>
  <c r="FJ15" i="104"/>
  <c r="FN12" i="104"/>
  <c r="FN10" i="104" s="1"/>
  <c r="FJ10" i="104"/>
  <c r="AP18" i="104"/>
  <c r="P18" i="104"/>
  <c r="AK15" i="104"/>
  <c r="ES17" i="104"/>
  <c r="ES15" i="104" s="1"/>
  <c r="EO15" i="104"/>
  <c r="DB11" i="104"/>
  <c r="DB10" i="104" s="1"/>
  <c r="DA10" i="104"/>
  <c r="DX16" i="104"/>
  <c r="DX15" i="104" s="1"/>
  <c r="DX19" i="104" s="1"/>
  <c r="DT15" i="104"/>
  <c r="DT19" i="104" s="1"/>
  <c r="CF10" i="104"/>
  <c r="CF19" i="104" s="1"/>
  <c r="CG11" i="104"/>
  <c r="CG10" i="104" s="1"/>
  <c r="CG19" i="104" s="1"/>
  <c r="ER11" i="104"/>
  <c r="ER10" i="104" s="1"/>
  <c r="ER19" i="104" s="1"/>
  <c r="EQ10" i="104"/>
  <c r="EQ19" i="104" s="1"/>
  <c r="BM16" i="104"/>
  <c r="BM15" i="104" s="1"/>
  <c r="BI15" i="104"/>
  <c r="IR16" i="104"/>
  <c r="IM15" i="104"/>
  <c r="IM19" i="104" s="1"/>
  <c r="CD16" i="104"/>
  <c r="HX11" i="104"/>
  <c r="HX10" i="104" s="1"/>
  <c r="HX19" i="104" s="1"/>
  <c r="HW10" i="104"/>
  <c r="HW19" i="104" s="1"/>
  <c r="BI11" i="104"/>
  <c r="BR16" i="126" l="1"/>
  <c r="BR16" i="75"/>
  <c r="CH16" i="126"/>
  <c r="CH16" i="75"/>
  <c r="CY11" i="104"/>
  <c r="BJ16" i="126"/>
  <c r="BJ16" i="75"/>
  <c r="CH25" i="126"/>
  <c r="CH25" i="75"/>
  <c r="AW16" i="126"/>
  <c r="AV16" i="126"/>
  <c r="J41" i="77"/>
  <c r="BB16" i="126"/>
  <c r="BB16" i="75"/>
  <c r="FN19" i="104"/>
  <c r="BZ16" i="126"/>
  <c r="BZ16" i="75"/>
  <c r="BB25" i="126"/>
  <c r="BB25" i="75"/>
  <c r="CX16" i="126"/>
  <c r="CX16" i="75"/>
  <c r="Y16" i="126"/>
  <c r="X16" i="126"/>
  <c r="BZ25" i="126"/>
  <c r="BZ25" i="75"/>
  <c r="X25" i="126"/>
  <c r="Y25" i="126"/>
  <c r="BL25" i="126"/>
  <c r="BM25" i="126"/>
  <c r="AD25" i="126"/>
  <c r="AD25" i="75"/>
  <c r="CX25" i="126"/>
  <c r="CX25" i="75"/>
  <c r="AK19" i="104"/>
  <c r="GZ12" i="104"/>
  <c r="AD16" i="126"/>
  <c r="AD16" i="75"/>
  <c r="JK11" i="104"/>
  <c r="JK10" i="104" s="1"/>
  <c r="JK19" i="104" s="1"/>
  <c r="V12" i="104"/>
  <c r="BR25" i="126"/>
  <c r="BR25" i="75"/>
  <c r="U18" i="104"/>
  <c r="AQ18" i="104"/>
  <c r="AN18" i="104" s="1"/>
  <c r="AP15" i="104"/>
  <c r="JO11" i="104"/>
  <c r="JO10" i="104" s="1"/>
  <c r="JO19" i="104" s="1"/>
  <c r="EO11" i="104"/>
  <c r="HU11" i="104"/>
  <c r="CH16" i="104"/>
  <c r="CD15" i="104"/>
  <c r="IP11" i="104"/>
  <c r="S13" i="104"/>
  <c r="AR13" i="104"/>
  <c r="W13" i="104" s="1"/>
  <c r="AQ11" i="104"/>
  <c r="U11" i="104"/>
  <c r="U10" i="104" s="1"/>
  <c r="AP10" i="104"/>
  <c r="BM11" i="104"/>
  <c r="BM10" i="104" s="1"/>
  <c r="BM19" i="104" s="1"/>
  <c r="BI10" i="104"/>
  <c r="BI19" i="104" s="1"/>
  <c r="CD11" i="104"/>
  <c r="GE16" i="104"/>
  <c r="GI12" i="104"/>
  <c r="GI10" i="104" s="1"/>
  <c r="GE10" i="104"/>
  <c r="DB16" i="104"/>
  <c r="DA15" i="104"/>
  <c r="DA19" i="104" s="1"/>
  <c r="U16" i="104"/>
  <c r="P10" i="104"/>
  <c r="P19" i="104" s="1"/>
  <c r="IR15" i="104"/>
  <c r="IR19" i="104" s="1"/>
  <c r="IS16" i="104"/>
  <c r="IS15" i="104" s="1"/>
  <c r="IS19" i="104" s="1"/>
  <c r="CY10" i="104"/>
  <c r="DC11" i="104"/>
  <c r="DC10" i="104" s="1"/>
  <c r="W17" i="104"/>
  <c r="FJ19" i="104"/>
  <c r="CP25" i="126" l="1"/>
  <c r="CP25" i="75"/>
  <c r="CP16" i="75"/>
  <c r="O41" i="77"/>
  <c r="CP16" i="126"/>
  <c r="AF25" i="126"/>
  <c r="AG25" i="126"/>
  <c r="BM16" i="126"/>
  <c r="BL16" i="126"/>
  <c r="AF16" i="126"/>
  <c r="AG16" i="126"/>
  <c r="BE16" i="126"/>
  <c r="BD16" i="126"/>
  <c r="GZ10" i="104"/>
  <c r="GZ19" i="104" s="1"/>
  <c r="HD12" i="104"/>
  <c r="HD10" i="104" s="1"/>
  <c r="HD19" i="104" s="1"/>
  <c r="CZ16" i="126"/>
  <c r="DA16" i="126"/>
  <c r="D41" i="77"/>
  <c r="CK16" i="126"/>
  <c r="CJ16" i="126"/>
  <c r="AP19" i="104"/>
  <c r="BT25" i="126"/>
  <c r="BU25" i="126"/>
  <c r="BD25" i="126"/>
  <c r="BE25" i="126"/>
  <c r="S12" i="104"/>
  <c r="CZ25" i="126"/>
  <c r="DA25" i="126"/>
  <c r="CB25" i="126"/>
  <c r="CC25" i="126"/>
  <c r="CB16" i="126"/>
  <c r="CC16" i="126"/>
  <c r="CJ25" i="126"/>
  <c r="CK25" i="126"/>
  <c r="BU16" i="126"/>
  <c r="BT16" i="126"/>
  <c r="AL25" i="126"/>
  <c r="AO25" i="126" s="1"/>
  <c r="AL25" i="75"/>
  <c r="AR18" i="104"/>
  <c r="S18" i="104"/>
  <c r="AN15" i="104"/>
  <c r="IP16" i="104"/>
  <c r="U15" i="104"/>
  <c r="U19" i="104" s="1"/>
  <c r="D46" i="77" s="1"/>
  <c r="CD10" i="104"/>
  <c r="CD19" i="104" s="1"/>
  <c r="CH11" i="104"/>
  <c r="CH10" i="104" s="1"/>
  <c r="CH19" i="104" s="1"/>
  <c r="AD36" i="126" s="1"/>
  <c r="ES11" i="104"/>
  <c r="ES10" i="104" s="1"/>
  <c r="ES19" i="104" s="1"/>
  <c r="J38" i="77" s="1"/>
  <c r="EO10" i="104"/>
  <c r="EO19" i="104" s="1"/>
  <c r="DB15" i="104"/>
  <c r="DB19" i="104" s="1"/>
  <c r="AL16" i="75" s="1"/>
  <c r="V16" i="104"/>
  <c r="GI16" i="104"/>
  <c r="GI15" i="104" s="1"/>
  <c r="GI19" i="104" s="1"/>
  <c r="GE15" i="104"/>
  <c r="GE19" i="104" s="1"/>
  <c r="V11" i="104"/>
  <c r="V10" i="104" s="1"/>
  <c r="AQ10" i="104"/>
  <c r="AQ19" i="104" s="1"/>
  <c r="IT11" i="104"/>
  <c r="IT10" i="104" s="1"/>
  <c r="IP10" i="104"/>
  <c r="CH15" i="104"/>
  <c r="V18" i="104"/>
  <c r="AQ15" i="104"/>
  <c r="W12" i="104"/>
  <c r="CY16" i="104"/>
  <c r="AN11" i="104"/>
  <c r="HU10" i="104"/>
  <c r="HU19" i="104" s="1"/>
  <c r="HY11" i="104"/>
  <c r="HY10" i="104" s="1"/>
  <c r="HY19" i="104" s="1"/>
  <c r="N25" i="126" l="1"/>
  <c r="N25" i="75"/>
  <c r="CR16" i="126"/>
  <c r="CS16" i="126"/>
  <c r="AF36" i="126"/>
  <c r="AG36" i="126"/>
  <c r="N16" i="126"/>
  <c r="N16" i="75"/>
  <c r="CR25" i="126"/>
  <c r="CS25" i="126"/>
  <c r="AN25" i="126"/>
  <c r="AL16" i="126"/>
  <c r="AN10" i="104"/>
  <c r="AN19" i="104" s="1"/>
  <c r="AR11" i="104"/>
  <c r="S11" i="104"/>
  <c r="S10" i="104" s="1"/>
  <c r="DC16" i="104"/>
  <c r="CY15" i="104"/>
  <c r="CY19" i="104" s="1"/>
  <c r="S16" i="104"/>
  <c r="S15" i="104" s="1"/>
  <c r="V15" i="104"/>
  <c r="V19" i="104" s="1"/>
  <c r="IT16" i="104"/>
  <c r="IT15" i="104" s="1"/>
  <c r="IT19" i="104" s="1"/>
  <c r="O38" i="77" s="1"/>
  <c r="D38" i="77" s="1"/>
  <c r="IP15" i="104"/>
  <c r="IP19" i="104" s="1"/>
  <c r="W18" i="104"/>
  <c r="AR15" i="104"/>
  <c r="Q25" i="126" l="1"/>
  <c r="P25" i="126"/>
  <c r="H25" i="126" s="1"/>
  <c r="F25" i="126"/>
  <c r="I25" i="126" s="1"/>
  <c r="Q16" i="126"/>
  <c r="P16" i="126"/>
  <c r="S19" i="104"/>
  <c r="AN16" i="126"/>
  <c r="H16" i="126" s="1"/>
  <c r="AO16" i="126"/>
  <c r="F16" i="126"/>
  <c r="I16" i="126" s="1"/>
  <c r="DC15" i="104"/>
  <c r="DC19" i="104" s="1"/>
  <c r="W16" i="104"/>
  <c r="W15" i="104" s="1"/>
  <c r="W11" i="104"/>
  <c r="W10" i="104" s="1"/>
  <c r="AR10" i="104"/>
  <c r="AR19" i="104" s="1"/>
  <c r="W19" i="104" l="1"/>
  <c r="U150" i="125"/>
  <c r="AA167" i="125"/>
  <c r="Z167" i="125"/>
  <c r="U30" i="125" l="1"/>
  <c r="U29" i="125"/>
  <c r="U32" i="125"/>
  <c r="U33" i="125"/>
  <c r="U34" i="125"/>
  <c r="U35" i="125"/>
  <c r="U36" i="125"/>
  <c r="U37" i="125"/>
  <c r="U38" i="125"/>
  <c r="U39" i="125"/>
  <c r="X192" i="125"/>
  <c r="X194" i="125" s="1"/>
  <c r="W190" i="125"/>
  <c r="W187" i="125"/>
  <c r="Z186" i="125" s="1"/>
  <c r="X186" i="125"/>
  <c r="V186" i="125"/>
  <c r="X185" i="125"/>
  <c r="V185" i="125"/>
  <c r="Z184" i="125"/>
  <c r="X184" i="125"/>
  <c r="V184" i="125"/>
  <c r="Z183" i="125"/>
  <c r="X183" i="125"/>
  <c r="V183" i="125"/>
  <c r="Z182" i="125"/>
  <c r="X182" i="125"/>
  <c r="V182" i="125"/>
  <c r="Z181" i="125"/>
  <c r="X181" i="125"/>
  <c r="V181" i="125"/>
  <c r="Z180" i="125"/>
  <c r="X180" i="125"/>
  <c r="V180" i="125"/>
  <c r="Z179" i="125"/>
  <c r="X179" i="125"/>
  <c r="V179" i="125"/>
  <c r="Z178" i="125"/>
  <c r="X178" i="125"/>
  <c r="V178" i="125"/>
  <c r="Z177" i="125"/>
  <c r="X177" i="125"/>
  <c r="V177" i="125"/>
  <c r="Z176" i="125"/>
  <c r="X176" i="125"/>
  <c r="V176" i="125"/>
  <c r="Z175" i="125"/>
  <c r="X175" i="125"/>
  <c r="V175" i="125"/>
  <c r="Z174" i="125"/>
  <c r="X174" i="125"/>
  <c r="V174" i="125"/>
  <c r="R172" i="125"/>
  <c r="Z170" i="125"/>
  <c r="Z172" i="125" s="1"/>
  <c r="T170" i="125"/>
  <c r="T172" i="125" s="1"/>
  <c r="AA169" i="125"/>
  <c r="N167" i="125"/>
  <c r="AD158" i="125"/>
  <c r="U158" i="125"/>
  <c r="AD157" i="125"/>
  <c r="U157" i="125"/>
  <c r="AD155" i="125"/>
  <c r="U155" i="125"/>
  <c r="AD154" i="125"/>
  <c r="U154" i="125"/>
  <c r="AC153" i="125"/>
  <c r="AB153" i="125"/>
  <c r="AA153" i="125"/>
  <c r="Z153" i="125"/>
  <c r="Y153" i="125"/>
  <c r="T153" i="125"/>
  <c r="S153" i="125"/>
  <c r="S159" i="125" s="1"/>
  <c r="R153" i="125"/>
  <c r="R159" i="125" s="1"/>
  <c r="Q153" i="125"/>
  <c r="Q159" i="125" s="1"/>
  <c r="Q161" i="125" s="1"/>
  <c r="P153" i="125"/>
  <c r="P159" i="125" s="1"/>
  <c r="L153" i="125"/>
  <c r="L159" i="125" s="1"/>
  <c r="L161" i="125" s="1"/>
  <c r="K153" i="125"/>
  <c r="K159" i="125" s="1"/>
  <c r="J153" i="125"/>
  <c r="J159" i="125" s="1"/>
  <c r="J161" i="125" s="1"/>
  <c r="I153" i="125"/>
  <c r="I159" i="125" s="1"/>
  <c r="H153" i="125"/>
  <c r="H159" i="125" s="1"/>
  <c r="H161" i="125" s="1"/>
  <c r="G153" i="125"/>
  <c r="G159" i="125" s="1"/>
  <c r="F153" i="125"/>
  <c r="F159" i="125" s="1"/>
  <c r="F160" i="125" s="1"/>
  <c r="E153" i="125"/>
  <c r="E159" i="125" s="1"/>
  <c r="E160" i="125" s="1"/>
  <c r="D153" i="125"/>
  <c r="D159" i="125" s="1"/>
  <c r="D160" i="125" s="1"/>
  <c r="C153" i="125"/>
  <c r="C159" i="125" s="1"/>
  <c r="C160" i="125" s="1"/>
  <c r="R152" i="125"/>
  <c r="Q152" i="125"/>
  <c r="P152" i="125"/>
  <c r="L152" i="125"/>
  <c r="K152" i="125"/>
  <c r="J152" i="125"/>
  <c r="I152" i="125"/>
  <c r="H152" i="125"/>
  <c r="F151" i="125"/>
  <c r="E151" i="125"/>
  <c r="D151" i="125"/>
  <c r="C151" i="125"/>
  <c r="AD150" i="125"/>
  <c r="S149" i="125"/>
  <c r="S151" i="125" s="1"/>
  <c r="R149" i="125"/>
  <c r="R151" i="125" s="1"/>
  <c r="Q149" i="125"/>
  <c r="Q151" i="125" s="1"/>
  <c r="Y148" i="125"/>
  <c r="Y156" i="125" s="1"/>
  <c r="Y147" i="125"/>
  <c r="T147" i="125"/>
  <c r="P147" i="125"/>
  <c r="U147" i="125" s="1"/>
  <c r="L147" i="125"/>
  <c r="K147" i="125"/>
  <c r="J147" i="125"/>
  <c r="I147" i="125"/>
  <c r="H147" i="125"/>
  <c r="M145" i="125"/>
  <c r="F145" i="125"/>
  <c r="F142" i="125" s="1"/>
  <c r="F137" i="125" s="1"/>
  <c r="E145" i="125"/>
  <c r="D145" i="125"/>
  <c r="D142" i="125" s="1"/>
  <c r="D137" i="125" s="1"/>
  <c r="C145" i="125"/>
  <c r="U144" i="125"/>
  <c r="P144" i="125"/>
  <c r="I144" i="125"/>
  <c r="J144" i="125" s="1"/>
  <c r="K144" i="125" s="1"/>
  <c r="K143" i="125" s="1"/>
  <c r="S143" i="125"/>
  <c r="R143" i="125"/>
  <c r="R138" i="125" s="1"/>
  <c r="Q143" i="125"/>
  <c r="P143" i="125"/>
  <c r="P138" i="125" s="1"/>
  <c r="I143" i="125"/>
  <c r="H143" i="125"/>
  <c r="G143" i="125"/>
  <c r="S142" i="125"/>
  <c r="R142" i="125"/>
  <c r="Q142" i="125"/>
  <c r="P142" i="125"/>
  <c r="E142" i="125"/>
  <c r="E137" i="125" s="1"/>
  <c r="C142" i="125"/>
  <c r="S140" i="125"/>
  <c r="R140" i="125"/>
  <c r="Q140" i="125"/>
  <c r="P140" i="125"/>
  <c r="L140" i="125"/>
  <c r="K140" i="125"/>
  <c r="J140" i="125"/>
  <c r="I140" i="125"/>
  <c r="H140" i="125"/>
  <c r="M139" i="125"/>
  <c r="S138" i="125"/>
  <c r="Q138" i="125"/>
  <c r="H138" i="125"/>
  <c r="G138" i="125"/>
  <c r="C137" i="125"/>
  <c r="S135" i="125"/>
  <c r="R135" i="125"/>
  <c r="Q135" i="125"/>
  <c r="Q136" i="125" s="1"/>
  <c r="P135" i="125"/>
  <c r="L135" i="125"/>
  <c r="L136" i="125" s="1"/>
  <c r="K135" i="125"/>
  <c r="J135" i="125"/>
  <c r="I135" i="125"/>
  <c r="H135" i="125"/>
  <c r="G135" i="125"/>
  <c r="F135" i="125"/>
  <c r="E135" i="125"/>
  <c r="D135" i="125"/>
  <c r="C135" i="125"/>
  <c r="AD134" i="125"/>
  <c r="AC133" i="125"/>
  <c r="AB133" i="125"/>
  <c r="AA133" i="125"/>
  <c r="Z133" i="125"/>
  <c r="AD133" i="125" s="1"/>
  <c r="Y133" i="125"/>
  <c r="T133" i="125"/>
  <c r="S133" i="125"/>
  <c r="R133" i="125"/>
  <c r="Q133" i="125"/>
  <c r="P133" i="125"/>
  <c r="L133" i="125"/>
  <c r="K133" i="125"/>
  <c r="J133" i="125"/>
  <c r="I133" i="125"/>
  <c r="H133" i="125"/>
  <c r="AH131" i="125"/>
  <c r="AH132" i="125" s="1"/>
  <c r="S125" i="125"/>
  <c r="R125" i="125"/>
  <c r="Q125" i="125"/>
  <c r="P125" i="125"/>
  <c r="L125" i="125"/>
  <c r="K125" i="125"/>
  <c r="J125" i="125"/>
  <c r="I125" i="125"/>
  <c r="I126" i="125" s="1"/>
  <c r="H125" i="125"/>
  <c r="G125" i="125"/>
  <c r="F125" i="125"/>
  <c r="E125" i="125"/>
  <c r="D125" i="125"/>
  <c r="C125" i="125"/>
  <c r="S122" i="125"/>
  <c r="R122" i="125"/>
  <c r="Q122" i="125"/>
  <c r="P122" i="125"/>
  <c r="L122" i="125"/>
  <c r="K122" i="125"/>
  <c r="J122" i="125"/>
  <c r="I122" i="125"/>
  <c r="H122" i="125"/>
  <c r="G122" i="125"/>
  <c r="F122" i="125"/>
  <c r="E122" i="125"/>
  <c r="D122" i="125"/>
  <c r="C122" i="125"/>
  <c r="S119" i="125"/>
  <c r="R119" i="125"/>
  <c r="R120" i="125" s="1"/>
  <c r="Q119" i="125"/>
  <c r="P119" i="125"/>
  <c r="L119" i="125"/>
  <c r="K119" i="125"/>
  <c r="L120" i="125" s="1"/>
  <c r="J119" i="125"/>
  <c r="I119" i="125"/>
  <c r="H119" i="125"/>
  <c r="G119" i="125"/>
  <c r="F119" i="125"/>
  <c r="E119" i="125"/>
  <c r="D119" i="125"/>
  <c r="C119" i="125"/>
  <c r="S116" i="125"/>
  <c r="R116" i="125"/>
  <c r="Q116" i="125"/>
  <c r="P116" i="125"/>
  <c r="L116" i="125"/>
  <c r="K116" i="125"/>
  <c r="K117" i="125" s="1"/>
  <c r="J116" i="125"/>
  <c r="I116" i="125"/>
  <c r="H116" i="125"/>
  <c r="G116" i="125"/>
  <c r="F116" i="125"/>
  <c r="E116" i="125"/>
  <c r="D116" i="125"/>
  <c r="C116" i="125"/>
  <c r="S113" i="125"/>
  <c r="R113" i="125"/>
  <c r="Q113" i="125"/>
  <c r="Q114" i="125" s="1"/>
  <c r="P113" i="125"/>
  <c r="P114" i="125" s="1"/>
  <c r="L113" i="125"/>
  <c r="K113" i="125"/>
  <c r="K114" i="125" s="1"/>
  <c r="J113" i="125"/>
  <c r="I113" i="125"/>
  <c r="I114" i="125" s="1"/>
  <c r="H113" i="125"/>
  <c r="G113" i="125"/>
  <c r="F113" i="125"/>
  <c r="E113" i="125"/>
  <c r="D113" i="125"/>
  <c r="C113" i="125"/>
  <c r="S110" i="125"/>
  <c r="R110" i="125"/>
  <c r="Q110" i="125"/>
  <c r="Q111" i="125" s="1"/>
  <c r="P110" i="125"/>
  <c r="P111" i="125" s="1"/>
  <c r="L110" i="125"/>
  <c r="K110" i="125"/>
  <c r="J110" i="125"/>
  <c r="J111" i="125" s="1"/>
  <c r="I110" i="125"/>
  <c r="I111" i="125" s="1"/>
  <c r="H110" i="125"/>
  <c r="G110" i="125"/>
  <c r="S108" i="125"/>
  <c r="S107" i="125"/>
  <c r="R107" i="125"/>
  <c r="Q107" i="125"/>
  <c r="P107" i="125"/>
  <c r="L107" i="125"/>
  <c r="K107" i="125"/>
  <c r="J107" i="125"/>
  <c r="I107" i="125"/>
  <c r="I108" i="125" s="1"/>
  <c r="H107" i="125"/>
  <c r="G107" i="125"/>
  <c r="F107" i="125"/>
  <c r="E107" i="125"/>
  <c r="D107" i="125"/>
  <c r="C107" i="125"/>
  <c r="AD106" i="125"/>
  <c r="S100" i="125"/>
  <c r="R100" i="125"/>
  <c r="Q100" i="125"/>
  <c r="R101" i="125" s="1"/>
  <c r="P100" i="125"/>
  <c r="P101" i="125" s="1"/>
  <c r="L100" i="125"/>
  <c r="K100" i="125"/>
  <c r="J100" i="125"/>
  <c r="I100" i="125"/>
  <c r="H100" i="125"/>
  <c r="G100" i="125"/>
  <c r="F100" i="125"/>
  <c r="E100" i="125"/>
  <c r="D100" i="125"/>
  <c r="C100" i="125"/>
  <c r="S97" i="125"/>
  <c r="R97" i="125"/>
  <c r="Q97" i="125"/>
  <c r="R98" i="125" s="1"/>
  <c r="P97" i="125"/>
  <c r="Q98" i="125" s="1"/>
  <c r="L97" i="125"/>
  <c r="K97" i="125"/>
  <c r="J97" i="125"/>
  <c r="I97" i="125"/>
  <c r="H97" i="125"/>
  <c r="G97" i="125"/>
  <c r="F97" i="125"/>
  <c r="E97" i="125"/>
  <c r="D97" i="125"/>
  <c r="C97" i="125"/>
  <c r="S94" i="125"/>
  <c r="R94" i="125"/>
  <c r="Q94" i="125"/>
  <c r="P94" i="125"/>
  <c r="L94" i="125"/>
  <c r="K94" i="125"/>
  <c r="J94" i="125"/>
  <c r="I94" i="125"/>
  <c r="J95" i="125" s="1"/>
  <c r="H94" i="125"/>
  <c r="G94" i="125"/>
  <c r="F94" i="125"/>
  <c r="E94" i="125"/>
  <c r="D94" i="125"/>
  <c r="C94" i="125"/>
  <c r="S91" i="125"/>
  <c r="R91" i="125"/>
  <c r="R92" i="125" s="1"/>
  <c r="Q91" i="125"/>
  <c r="Q92" i="125" s="1"/>
  <c r="P91" i="125"/>
  <c r="L91" i="125"/>
  <c r="K91" i="125"/>
  <c r="L92" i="125" s="1"/>
  <c r="J91" i="125"/>
  <c r="K92" i="125" s="1"/>
  <c r="I91" i="125"/>
  <c r="H91" i="125"/>
  <c r="G91" i="125"/>
  <c r="F91" i="125"/>
  <c r="E91" i="125"/>
  <c r="D91" i="125"/>
  <c r="C91" i="125"/>
  <c r="S88" i="125"/>
  <c r="R88" i="125"/>
  <c r="Q88" i="125"/>
  <c r="P88" i="125"/>
  <c r="L88" i="125"/>
  <c r="K88" i="125"/>
  <c r="J88" i="125"/>
  <c r="I88" i="125"/>
  <c r="J89" i="125" s="1"/>
  <c r="H88" i="125"/>
  <c r="H89" i="125" s="1"/>
  <c r="G88" i="125"/>
  <c r="F88" i="125"/>
  <c r="E88" i="125"/>
  <c r="D88" i="125"/>
  <c r="C88" i="125"/>
  <c r="S85" i="125"/>
  <c r="R85" i="125"/>
  <c r="R86" i="125" s="1"/>
  <c r="Q85" i="125"/>
  <c r="P85" i="125"/>
  <c r="L85" i="125"/>
  <c r="K85" i="125"/>
  <c r="J85" i="125"/>
  <c r="I85" i="125"/>
  <c r="H85" i="125"/>
  <c r="G85" i="125"/>
  <c r="F85" i="125"/>
  <c r="E85" i="125"/>
  <c r="D85" i="125"/>
  <c r="C85" i="125"/>
  <c r="S82" i="125"/>
  <c r="R82" i="125"/>
  <c r="Q82" i="125"/>
  <c r="P82" i="125"/>
  <c r="L82" i="125"/>
  <c r="K82" i="125"/>
  <c r="J82" i="125"/>
  <c r="I82" i="125"/>
  <c r="H82" i="125"/>
  <c r="G82" i="125"/>
  <c r="F82" i="125"/>
  <c r="E82" i="125"/>
  <c r="D82" i="125"/>
  <c r="C82" i="125"/>
  <c r="S79" i="125"/>
  <c r="R79" i="125"/>
  <c r="Q79" i="125"/>
  <c r="P79" i="125"/>
  <c r="L79" i="125"/>
  <c r="L76" i="125" s="1"/>
  <c r="K79" i="125"/>
  <c r="J79" i="125"/>
  <c r="I79" i="125"/>
  <c r="H79" i="125"/>
  <c r="H76" i="125" s="1"/>
  <c r="G79" i="125"/>
  <c r="F79" i="125"/>
  <c r="E79" i="125"/>
  <c r="D79" i="125"/>
  <c r="D76" i="125" s="1"/>
  <c r="C79" i="125"/>
  <c r="S76" i="125"/>
  <c r="S77" i="125" s="1"/>
  <c r="R76" i="125"/>
  <c r="P76" i="125"/>
  <c r="K76" i="125"/>
  <c r="J76" i="125"/>
  <c r="G76" i="125"/>
  <c r="F76" i="125"/>
  <c r="E76" i="125"/>
  <c r="C76" i="125"/>
  <c r="AD75" i="125"/>
  <c r="S64" i="125"/>
  <c r="R64" i="125"/>
  <c r="Q64" i="125"/>
  <c r="P64" i="125"/>
  <c r="L64" i="125"/>
  <c r="L72" i="125" s="1"/>
  <c r="K64" i="125"/>
  <c r="J64" i="125"/>
  <c r="K72" i="125" s="1"/>
  <c r="I64" i="125"/>
  <c r="H64" i="125"/>
  <c r="H72" i="125" s="1"/>
  <c r="G64" i="125"/>
  <c r="F64" i="125"/>
  <c r="E64" i="125"/>
  <c r="D64" i="125"/>
  <c r="C64" i="125"/>
  <c r="S62" i="125"/>
  <c r="R62" i="125"/>
  <c r="Q62" i="125"/>
  <c r="P62" i="125"/>
  <c r="U62" i="125" s="1"/>
  <c r="L62" i="125"/>
  <c r="K62" i="125"/>
  <c r="J62" i="125"/>
  <c r="I62" i="125"/>
  <c r="H62" i="125"/>
  <c r="G62" i="125"/>
  <c r="F62" i="125"/>
  <c r="E62" i="125"/>
  <c r="D62" i="125"/>
  <c r="C62" i="125"/>
  <c r="S61" i="125"/>
  <c r="R61" i="125"/>
  <c r="Q61" i="125"/>
  <c r="P61" i="125"/>
  <c r="U61" i="125" s="1"/>
  <c r="L61" i="125"/>
  <c r="K61" i="125"/>
  <c r="J61" i="125"/>
  <c r="I61" i="125"/>
  <c r="H61" i="125"/>
  <c r="G61" i="125"/>
  <c r="F61" i="125"/>
  <c r="E61" i="125"/>
  <c r="D61" i="125"/>
  <c r="C61" i="125"/>
  <c r="S60" i="125"/>
  <c r="R60" i="125"/>
  <c r="Q60" i="125"/>
  <c r="P60" i="125"/>
  <c r="L60" i="125"/>
  <c r="K60" i="125"/>
  <c r="J60" i="125"/>
  <c r="I60" i="125"/>
  <c r="H60" i="125"/>
  <c r="G60" i="125"/>
  <c r="F60" i="125"/>
  <c r="E60" i="125"/>
  <c r="D60" i="125"/>
  <c r="C60" i="125"/>
  <c r="S59" i="125"/>
  <c r="R59" i="125"/>
  <c r="R58" i="125" s="1"/>
  <c r="S70" i="125" s="1"/>
  <c r="Q59" i="125"/>
  <c r="P59" i="125"/>
  <c r="L59" i="125"/>
  <c r="K59" i="125"/>
  <c r="K58" i="125" s="1"/>
  <c r="J59" i="125"/>
  <c r="I59" i="125"/>
  <c r="I58" i="125" s="1"/>
  <c r="H59" i="125"/>
  <c r="G59" i="125"/>
  <c r="G58" i="125" s="1"/>
  <c r="F59" i="125"/>
  <c r="E59" i="125"/>
  <c r="D59" i="125"/>
  <c r="C59" i="125"/>
  <c r="S58" i="125"/>
  <c r="Q58" i="125"/>
  <c r="Q70" i="125" s="1"/>
  <c r="P58" i="125"/>
  <c r="L58" i="125"/>
  <c r="J58" i="125"/>
  <c r="H58" i="125"/>
  <c r="F58" i="125"/>
  <c r="E58" i="125"/>
  <c r="D58" i="125"/>
  <c r="C58" i="125"/>
  <c r="AD56" i="125"/>
  <c r="U56" i="125"/>
  <c r="AD55" i="125"/>
  <c r="U55" i="125"/>
  <c r="AD54" i="125"/>
  <c r="U54" i="125"/>
  <c r="L54" i="125"/>
  <c r="K54" i="125"/>
  <c r="J54" i="125"/>
  <c r="I54" i="125"/>
  <c r="H54" i="125"/>
  <c r="G54" i="125"/>
  <c r="F54" i="125"/>
  <c r="E54" i="125"/>
  <c r="D54" i="125"/>
  <c r="C54" i="125"/>
  <c r="S51" i="125"/>
  <c r="R51" i="125"/>
  <c r="Q51" i="125"/>
  <c r="Q52" i="125" s="1"/>
  <c r="P51" i="125"/>
  <c r="L51" i="125"/>
  <c r="K51" i="125"/>
  <c r="K52" i="125" s="1"/>
  <c r="J51" i="125"/>
  <c r="I51" i="125"/>
  <c r="H51" i="125"/>
  <c r="G51" i="125"/>
  <c r="H52" i="125" s="1"/>
  <c r="F51" i="125"/>
  <c r="E51" i="125"/>
  <c r="D51" i="125"/>
  <c r="C51" i="125"/>
  <c r="R39" i="125"/>
  <c r="Q39" i="125"/>
  <c r="P39" i="125"/>
  <c r="L39" i="125"/>
  <c r="K39" i="125"/>
  <c r="J39" i="125"/>
  <c r="I39" i="125"/>
  <c r="H39" i="125"/>
  <c r="AD38" i="125"/>
  <c r="M38" i="125"/>
  <c r="AD37" i="125"/>
  <c r="M37" i="125"/>
  <c r="AD36" i="125"/>
  <c r="O36" i="125"/>
  <c r="M36" i="125"/>
  <c r="AD35" i="125"/>
  <c r="M35" i="125"/>
  <c r="AD34" i="125"/>
  <c r="O34" i="125"/>
  <c r="M34" i="125"/>
  <c r="AD33" i="125"/>
  <c r="O33" i="125"/>
  <c r="M33" i="125"/>
  <c r="AD32" i="125"/>
  <c r="O32" i="125"/>
  <c r="M32" i="125"/>
  <c r="T31" i="125"/>
  <c r="T152" i="125" s="1"/>
  <c r="S31" i="125"/>
  <c r="S152" i="125" s="1"/>
  <c r="O31" i="125"/>
  <c r="M31" i="125"/>
  <c r="F31" i="125"/>
  <c r="F152" i="125" s="1"/>
  <c r="E31" i="125"/>
  <c r="E152" i="125" s="1"/>
  <c r="D31" i="125"/>
  <c r="D152" i="125" s="1"/>
  <c r="C31" i="125"/>
  <c r="C152" i="125" s="1"/>
  <c r="AD30" i="125"/>
  <c r="AD29" i="125"/>
  <c r="M28" i="125"/>
  <c r="M97" i="125" s="1"/>
  <c r="AC27" i="125"/>
  <c r="AB27" i="125"/>
  <c r="AA27" i="125"/>
  <c r="Z27" i="125"/>
  <c r="Y27" i="125"/>
  <c r="T27" i="125"/>
  <c r="T94" i="125" s="1"/>
  <c r="U94" i="125" s="1"/>
  <c r="M27" i="125"/>
  <c r="AC26" i="125"/>
  <c r="AB26" i="125"/>
  <c r="AA26" i="125"/>
  <c r="Z26" i="125"/>
  <c r="T26" i="125"/>
  <c r="U26" i="125" s="1"/>
  <c r="M26" i="125"/>
  <c r="AC25" i="125"/>
  <c r="AC122" i="125" s="1"/>
  <c r="AB25" i="125"/>
  <c r="AB122" i="125" s="1"/>
  <c r="AA25" i="125"/>
  <c r="AA122" i="125" s="1"/>
  <c r="Z25" i="125"/>
  <c r="Z122" i="125" s="1"/>
  <c r="Y25" i="125"/>
  <c r="Y122" i="125" s="1"/>
  <c r="T25" i="125"/>
  <c r="T122" i="125" s="1"/>
  <c r="U122" i="125" s="1"/>
  <c r="M25" i="125"/>
  <c r="M122" i="125" s="1"/>
  <c r="AA24" i="125"/>
  <c r="Z24" i="125"/>
  <c r="Y24" i="125"/>
  <c r="T24" i="125"/>
  <c r="U24" i="125" s="1"/>
  <c r="M24" i="125"/>
  <c r="AC23" i="125"/>
  <c r="AB23" i="125"/>
  <c r="AA23" i="125"/>
  <c r="Z23" i="125"/>
  <c r="Y23" i="125"/>
  <c r="T23" i="125"/>
  <c r="U23" i="125" s="1"/>
  <c r="M23" i="125"/>
  <c r="AC22" i="125"/>
  <c r="AB22" i="125"/>
  <c r="AA22" i="125"/>
  <c r="Z22" i="125"/>
  <c r="Y22" i="125"/>
  <c r="T22" i="125"/>
  <c r="U22" i="125" s="1"/>
  <c r="X22" i="125" s="1"/>
  <c r="M22" i="125"/>
  <c r="AA21" i="125"/>
  <c r="AA119" i="125" s="1"/>
  <c r="Z21" i="125"/>
  <c r="Z119" i="125" s="1"/>
  <c r="T21" i="125"/>
  <c r="T119" i="125" s="1"/>
  <c r="U119" i="125" s="1"/>
  <c r="M21" i="125"/>
  <c r="M119" i="125" s="1"/>
  <c r="AC20" i="125"/>
  <c r="AC91" i="125" s="1"/>
  <c r="AB20" i="125"/>
  <c r="AB91" i="125" s="1"/>
  <c r="AA20" i="125"/>
  <c r="AA91" i="125" s="1"/>
  <c r="Z20" i="125"/>
  <c r="Z91" i="125" s="1"/>
  <c r="Y20" i="125"/>
  <c r="Y91" i="125" s="1"/>
  <c r="T20" i="125"/>
  <c r="T91" i="125" s="1"/>
  <c r="U91" i="125" s="1"/>
  <c r="M20" i="125"/>
  <c r="Y19" i="125"/>
  <c r="T19" i="125"/>
  <c r="T116" i="125" s="1"/>
  <c r="U116" i="125" s="1"/>
  <c r="M19" i="125"/>
  <c r="M116" i="125" s="1"/>
  <c r="Z18" i="125"/>
  <c r="Y18" i="125"/>
  <c r="T18" i="125"/>
  <c r="T88" i="125" s="1"/>
  <c r="U88" i="125" s="1"/>
  <c r="M18" i="125"/>
  <c r="Y17" i="125"/>
  <c r="Y110" i="125" s="1"/>
  <c r="T17" i="125"/>
  <c r="T110" i="125" s="1"/>
  <c r="U110" i="125" s="1"/>
  <c r="M17" i="125"/>
  <c r="M110" i="125" s="1"/>
  <c r="F17" i="125"/>
  <c r="F110" i="125" s="1"/>
  <c r="E17" i="125"/>
  <c r="E110" i="125" s="1"/>
  <c r="D17" i="125"/>
  <c r="D110" i="125" s="1"/>
  <c r="C17" i="125"/>
  <c r="AC16" i="125"/>
  <c r="AC113" i="125" s="1"/>
  <c r="AB16" i="125"/>
  <c r="AB113" i="125" s="1"/>
  <c r="AA16" i="125"/>
  <c r="AA113" i="125" s="1"/>
  <c r="Z16" i="125"/>
  <c r="Z113" i="125" s="1"/>
  <c r="T16" i="125"/>
  <c r="T113" i="125" s="1"/>
  <c r="U113" i="125" s="1"/>
  <c r="M16" i="125"/>
  <c r="AC15" i="125"/>
  <c r="AB15" i="125"/>
  <c r="AA15" i="125"/>
  <c r="Z15" i="125"/>
  <c r="Y15" i="125"/>
  <c r="T15" i="125"/>
  <c r="U15" i="125" s="1"/>
  <c r="X15" i="125" s="1"/>
  <c r="M15" i="125"/>
  <c r="T14" i="125"/>
  <c r="T107" i="125" s="1"/>
  <c r="U107" i="125" s="1"/>
  <c r="M14" i="125"/>
  <c r="M107" i="125" s="1"/>
  <c r="M13" i="125"/>
  <c r="M85" i="125" s="1"/>
  <c r="M12" i="125"/>
  <c r="M11" i="125"/>
  <c r="M10" i="125"/>
  <c r="S8" i="125"/>
  <c r="S7" i="125" s="1"/>
  <c r="R8" i="125"/>
  <c r="R9" i="125" s="1"/>
  <c r="Q8" i="125"/>
  <c r="Q9" i="125" s="1"/>
  <c r="P8" i="125"/>
  <c r="P129" i="125" s="1"/>
  <c r="L8" i="125"/>
  <c r="L9" i="125" s="1"/>
  <c r="K8" i="125"/>
  <c r="K9" i="125" s="1"/>
  <c r="J8" i="125"/>
  <c r="J7" i="125" s="1"/>
  <c r="I8" i="125"/>
  <c r="H8" i="125"/>
  <c r="H9" i="125" s="1"/>
  <c r="G8" i="125"/>
  <c r="G9" i="125" s="1"/>
  <c r="G48" i="125" s="1"/>
  <c r="E8" i="125"/>
  <c r="E45" i="125" s="1"/>
  <c r="D8" i="125"/>
  <c r="R7" i="125"/>
  <c r="P7" i="125"/>
  <c r="K7" i="125"/>
  <c r="K43" i="125" s="1"/>
  <c r="G7" i="125"/>
  <c r="G43" i="125" s="1"/>
  <c r="K86" i="125" l="1"/>
  <c r="Q117" i="125"/>
  <c r="P136" i="125"/>
  <c r="M147" i="125"/>
  <c r="J80" i="125"/>
  <c r="P83" i="125"/>
  <c r="S117" i="125"/>
  <c r="U133" i="125"/>
  <c r="H136" i="125"/>
  <c r="H70" i="125"/>
  <c r="Q83" i="125"/>
  <c r="H86" i="125"/>
  <c r="J108" i="125"/>
  <c r="S114" i="125"/>
  <c r="J117" i="125"/>
  <c r="Z185" i="125"/>
  <c r="U31" i="125"/>
  <c r="M54" i="125"/>
  <c r="H77" i="125"/>
  <c r="U19" i="125"/>
  <c r="U27" i="125"/>
  <c r="U16" i="125"/>
  <c r="U20" i="125"/>
  <c r="X20" i="125" s="1"/>
  <c r="U17" i="125"/>
  <c r="U21" i="125"/>
  <c r="U25" i="125"/>
  <c r="U14" i="125"/>
  <c r="U18" i="125"/>
  <c r="AD22" i="125"/>
  <c r="AG22" i="125" s="1"/>
  <c r="G45" i="125"/>
  <c r="G47" i="125" s="1"/>
  <c r="S52" i="125"/>
  <c r="N59" i="125"/>
  <c r="Q86" i="125"/>
  <c r="H92" i="125"/>
  <c r="AD153" i="125"/>
  <c r="P9" i="125"/>
  <c r="P42" i="125" s="1"/>
  <c r="T125" i="125"/>
  <c r="U125" i="125" s="1"/>
  <c r="K45" i="125"/>
  <c r="P52" i="125"/>
  <c r="L86" i="125"/>
  <c r="P89" i="125"/>
  <c r="Q95" i="125"/>
  <c r="Q108" i="125"/>
  <c r="I136" i="125"/>
  <c r="AD27" i="125"/>
  <c r="AG27" i="125" s="1"/>
  <c r="N39" i="125"/>
  <c r="G40" i="125"/>
  <c r="P45" i="125"/>
  <c r="L70" i="125"/>
  <c r="N61" i="125"/>
  <c r="N62" i="125"/>
  <c r="E7" i="125"/>
  <c r="E57" i="125" s="1"/>
  <c r="AD15" i="125"/>
  <c r="AG15" i="125" s="1"/>
  <c r="Y31" i="125"/>
  <c r="Y39" i="125" s="1"/>
  <c r="AG32" i="125"/>
  <c r="AG33" i="125"/>
  <c r="I70" i="125"/>
  <c r="N60" i="125"/>
  <c r="T61" i="125"/>
  <c r="V61" i="125" s="1"/>
  <c r="T62" i="125"/>
  <c r="V62" i="125" s="1"/>
  <c r="I80" i="125"/>
  <c r="Q89" i="125"/>
  <c r="L95" i="125"/>
  <c r="P98" i="125"/>
  <c r="K111" i="125"/>
  <c r="J114" i="125"/>
  <c r="H120" i="125"/>
  <c r="K136" i="125"/>
  <c r="R136" i="125"/>
  <c r="I138" i="125"/>
  <c r="J143" i="125"/>
  <c r="X18" i="125"/>
  <c r="H131" i="125"/>
  <c r="H48" i="125"/>
  <c r="H42" i="125"/>
  <c r="K47" i="125"/>
  <c r="AG36" i="125"/>
  <c r="Q131" i="125"/>
  <c r="Q132" i="125"/>
  <c r="Q130" i="125"/>
  <c r="Q42" i="125"/>
  <c r="Q48" i="125"/>
  <c r="R132" i="125"/>
  <c r="R130" i="125"/>
  <c r="R131" i="125"/>
  <c r="R48" i="125"/>
  <c r="R42" i="125"/>
  <c r="T114" i="125"/>
  <c r="Y111" i="125"/>
  <c r="R163" i="125"/>
  <c r="R57" i="125"/>
  <c r="R73" i="125"/>
  <c r="S81" i="125" s="1"/>
  <c r="R43" i="125"/>
  <c r="L129" i="125"/>
  <c r="L130" i="125"/>
  <c r="L45" i="125"/>
  <c r="L7" i="125"/>
  <c r="P69" i="125" s="1"/>
  <c r="T111" i="125"/>
  <c r="T117" i="125"/>
  <c r="G73" i="125"/>
  <c r="G103" i="125" s="1"/>
  <c r="G57" i="125"/>
  <c r="G68" i="125" s="1"/>
  <c r="I129" i="125"/>
  <c r="I130" i="125"/>
  <c r="I45" i="125"/>
  <c r="M8" i="125"/>
  <c r="I7" i="125"/>
  <c r="J128" i="125" s="1"/>
  <c r="F8" i="125"/>
  <c r="J130" i="125"/>
  <c r="J129" i="125"/>
  <c r="J45" i="125"/>
  <c r="J9" i="125"/>
  <c r="S129" i="125"/>
  <c r="S45" i="125"/>
  <c r="S9" i="125"/>
  <c r="E9" i="125"/>
  <c r="E48" i="125" s="1"/>
  <c r="K131" i="125"/>
  <c r="K48" i="125"/>
  <c r="M79" i="125"/>
  <c r="M59" i="125"/>
  <c r="M100" i="125"/>
  <c r="M64" i="125"/>
  <c r="AC114" i="125"/>
  <c r="M88" i="125"/>
  <c r="M61" i="125"/>
  <c r="X61" i="125" s="1"/>
  <c r="Z88" i="125"/>
  <c r="Z61" i="125"/>
  <c r="X19" i="125"/>
  <c r="M91" i="125"/>
  <c r="AB92" i="125"/>
  <c r="AA120" i="125"/>
  <c r="T123" i="125"/>
  <c r="X27" i="125"/>
  <c r="AB94" i="125"/>
  <c r="AB62" i="125"/>
  <c r="T39" i="125"/>
  <c r="K40" i="125"/>
  <c r="P46" i="125"/>
  <c r="E43" i="125"/>
  <c r="E47" i="125" s="1"/>
  <c r="E73" i="125"/>
  <c r="E103" i="125" s="1"/>
  <c r="Y116" i="125"/>
  <c r="Y92" i="125"/>
  <c r="AD91" i="125"/>
  <c r="AC92" i="125"/>
  <c r="T126" i="125"/>
  <c r="Z125" i="125"/>
  <c r="AD23" i="125"/>
  <c r="AB123" i="125"/>
  <c r="X26" i="125"/>
  <c r="E40" i="125"/>
  <c r="P163" i="125"/>
  <c r="P73" i="125"/>
  <c r="P93" i="125" s="1"/>
  <c r="P57" i="125"/>
  <c r="P43" i="125"/>
  <c r="P47" i="125" s="1"/>
  <c r="P40" i="125"/>
  <c r="D45" i="125"/>
  <c r="D7" i="125"/>
  <c r="Q129" i="125"/>
  <c r="Q45" i="125"/>
  <c r="Q7" i="125"/>
  <c r="R41" i="125" s="1"/>
  <c r="Z92" i="125"/>
  <c r="AD20" i="125"/>
  <c r="AD122" i="125"/>
  <c r="Y123" i="125"/>
  <c r="S39" i="125"/>
  <c r="K41" i="125"/>
  <c r="P78" i="125"/>
  <c r="J73" i="125"/>
  <c r="J118" i="125" s="1"/>
  <c r="J69" i="125"/>
  <c r="J57" i="125"/>
  <c r="J68" i="125" s="1"/>
  <c r="J43" i="125"/>
  <c r="J40" i="125"/>
  <c r="L131" i="125"/>
  <c r="L132" i="125"/>
  <c r="L42" i="125"/>
  <c r="L48" i="125"/>
  <c r="K128" i="125"/>
  <c r="K73" i="125"/>
  <c r="K90" i="125" s="1"/>
  <c r="K57" i="125"/>
  <c r="K66" i="125" s="1"/>
  <c r="K69" i="125"/>
  <c r="H129" i="125"/>
  <c r="H130" i="125"/>
  <c r="H45" i="125"/>
  <c r="H7" i="125"/>
  <c r="M82" i="125"/>
  <c r="M60" i="125"/>
  <c r="T92" i="125"/>
  <c r="AC123" i="125"/>
  <c r="M94" i="125"/>
  <c r="M62" i="125"/>
  <c r="X62" i="125" s="1"/>
  <c r="Z94" i="125"/>
  <c r="Z62" i="125"/>
  <c r="S128" i="125"/>
  <c r="S57" i="125"/>
  <c r="S73" i="125"/>
  <c r="S41" i="125"/>
  <c r="S69" i="125"/>
  <c r="S43" i="125"/>
  <c r="S53" i="125" s="1"/>
  <c r="S40" i="125"/>
  <c r="R129" i="125"/>
  <c r="R45" i="125"/>
  <c r="D9" i="125"/>
  <c r="D48" i="125" s="1"/>
  <c r="I9" i="125"/>
  <c r="P132" i="125"/>
  <c r="P131" i="125"/>
  <c r="P130" i="125"/>
  <c r="P48" i="125"/>
  <c r="T108" i="125"/>
  <c r="M113" i="125"/>
  <c r="AB114" i="125"/>
  <c r="C110" i="125"/>
  <c r="C8" i="125"/>
  <c r="T120" i="125"/>
  <c r="M125" i="125"/>
  <c r="Z123" i="125"/>
  <c r="AD25" i="125"/>
  <c r="AA94" i="125"/>
  <c r="AA62" i="125"/>
  <c r="Y152" i="125"/>
  <c r="Z31" i="125"/>
  <c r="R40" i="125"/>
  <c r="K130" i="125"/>
  <c r="K129" i="125"/>
  <c r="AA114" i="125"/>
  <c r="T89" i="125"/>
  <c r="Y88" i="125"/>
  <c r="Y61" i="125"/>
  <c r="AA92" i="125"/>
  <c r="AA125" i="125"/>
  <c r="AA123" i="125"/>
  <c r="T95" i="125"/>
  <c r="Y94" i="125"/>
  <c r="Y62" i="125"/>
  <c r="AC94" i="125"/>
  <c r="AC62" i="125"/>
  <c r="L52" i="125"/>
  <c r="G53" i="125"/>
  <c r="J70" i="125"/>
  <c r="I76" i="125"/>
  <c r="J77" i="125" s="1"/>
  <c r="P77" i="125"/>
  <c r="J78" i="125"/>
  <c r="R78" i="125"/>
  <c r="R80" i="125"/>
  <c r="K83" i="125"/>
  <c r="J99" i="125"/>
  <c r="K102" i="125"/>
  <c r="M51" i="125"/>
  <c r="K70" i="125"/>
  <c r="I72" i="125"/>
  <c r="P72" i="125"/>
  <c r="S78" i="125"/>
  <c r="L80" i="125"/>
  <c r="S80" i="125"/>
  <c r="L83" i="125"/>
  <c r="K99" i="125"/>
  <c r="U45" i="125"/>
  <c r="I52" i="125"/>
  <c r="R70" i="125"/>
  <c r="R72" i="125"/>
  <c r="J72" i="125"/>
  <c r="Q72" i="125"/>
  <c r="K78" i="125"/>
  <c r="K77" i="125"/>
  <c r="L77" i="125"/>
  <c r="Q80" i="125"/>
  <c r="Q76" i="125"/>
  <c r="R77" i="125" s="1"/>
  <c r="H80" i="125"/>
  <c r="I83" i="125"/>
  <c r="R84" i="125"/>
  <c r="R83" i="125"/>
  <c r="N86" i="125"/>
  <c r="K96" i="125"/>
  <c r="J52" i="125"/>
  <c r="R52" i="125"/>
  <c r="K53" i="125"/>
  <c r="N58" i="125"/>
  <c r="N64" i="125"/>
  <c r="R66" i="125"/>
  <c r="R68" i="125"/>
  <c r="P70" i="125"/>
  <c r="S72" i="125"/>
  <c r="P80" i="125"/>
  <c r="J83" i="125"/>
  <c r="S84" i="125"/>
  <c r="S83" i="125"/>
  <c r="H83" i="125"/>
  <c r="J84" i="125"/>
  <c r="P87" i="125"/>
  <c r="J102" i="125"/>
  <c r="K80" i="125"/>
  <c r="P86" i="125"/>
  <c r="J87" i="125"/>
  <c r="K89" i="125"/>
  <c r="R89" i="125"/>
  <c r="P92" i="125"/>
  <c r="J93" i="125"/>
  <c r="K95" i="125"/>
  <c r="R95" i="125"/>
  <c r="S99" i="125"/>
  <c r="S98" i="125"/>
  <c r="J98" i="125"/>
  <c r="P99" i="125"/>
  <c r="Q101" i="125"/>
  <c r="S112" i="125"/>
  <c r="R115" i="125"/>
  <c r="R114" i="125"/>
  <c r="P118" i="125"/>
  <c r="P117" i="125"/>
  <c r="K124" i="125"/>
  <c r="R124" i="125"/>
  <c r="J127" i="125"/>
  <c r="S87" i="125"/>
  <c r="S86" i="125"/>
  <c r="J86" i="125"/>
  <c r="K87" i="125"/>
  <c r="L89" i="125"/>
  <c r="S93" i="125"/>
  <c r="S92" i="125"/>
  <c r="J92" i="125"/>
  <c r="K93" i="125"/>
  <c r="K98" i="125"/>
  <c r="S102" i="125"/>
  <c r="S101" i="125"/>
  <c r="J101" i="125"/>
  <c r="S115" i="125"/>
  <c r="K118" i="125"/>
  <c r="K121" i="125"/>
  <c r="K127" i="125"/>
  <c r="R127" i="125"/>
  <c r="R126" i="125"/>
  <c r="S126" i="125"/>
  <c r="H95" i="125"/>
  <c r="P95" i="125"/>
  <c r="K101" i="125"/>
  <c r="P109" i="125"/>
  <c r="P108" i="125"/>
  <c r="Y159" i="125"/>
  <c r="S90" i="125"/>
  <c r="S89" i="125"/>
  <c r="S96" i="125"/>
  <c r="S95" i="125"/>
  <c r="J109" i="125"/>
  <c r="K108" i="125"/>
  <c r="R112" i="125"/>
  <c r="R111" i="125"/>
  <c r="S118" i="125"/>
  <c r="I86" i="125"/>
  <c r="I89" i="125"/>
  <c r="N89" i="125" s="1"/>
  <c r="I92" i="125"/>
  <c r="N92" i="125" s="1"/>
  <c r="I95" i="125"/>
  <c r="I98" i="125"/>
  <c r="I101" i="125"/>
  <c r="S111" i="125"/>
  <c r="R118" i="125"/>
  <c r="R117" i="125"/>
  <c r="I117" i="125"/>
  <c r="J121" i="125"/>
  <c r="Q120" i="125"/>
  <c r="J124" i="125"/>
  <c r="P127" i="125"/>
  <c r="H98" i="125"/>
  <c r="L98" i="125"/>
  <c r="H101" i="125"/>
  <c r="L101" i="125"/>
  <c r="H108" i="125"/>
  <c r="L108" i="125"/>
  <c r="R109" i="125"/>
  <c r="R108" i="125"/>
  <c r="H117" i="125"/>
  <c r="L117" i="125"/>
  <c r="G166" i="125"/>
  <c r="H111" i="125"/>
  <c r="L111" i="125"/>
  <c r="H114" i="125"/>
  <c r="L114" i="125"/>
  <c r="S121" i="125"/>
  <c r="P124" i="125"/>
  <c r="C161" i="125"/>
  <c r="E161" i="125"/>
  <c r="P161" i="125"/>
  <c r="U159" i="125"/>
  <c r="F161" i="125"/>
  <c r="J120" i="125"/>
  <c r="P120" i="125"/>
  <c r="P121" i="125"/>
  <c r="K126" i="125"/>
  <c r="Q126" i="125"/>
  <c r="N136" i="125"/>
  <c r="J138" i="125"/>
  <c r="L144" i="125"/>
  <c r="L143" i="125" s="1"/>
  <c r="U152" i="125"/>
  <c r="U153" i="125"/>
  <c r="Z187" i="125"/>
  <c r="K120" i="125"/>
  <c r="H126" i="125"/>
  <c r="L126" i="125"/>
  <c r="M133" i="125"/>
  <c r="M135" i="125"/>
  <c r="S136" i="125"/>
  <c r="J136" i="125"/>
  <c r="N140" i="125"/>
  <c r="U138" i="125"/>
  <c r="U151" i="125"/>
  <c r="U156" i="125"/>
  <c r="Q160" i="125"/>
  <c r="K161" i="125"/>
  <c r="R161" i="125"/>
  <c r="R160" i="125"/>
  <c r="I161" i="125"/>
  <c r="I120" i="125"/>
  <c r="S120" i="125"/>
  <c r="J126" i="125"/>
  <c r="P126" i="125"/>
  <c r="K138" i="125"/>
  <c r="D161" i="125"/>
  <c r="S160" i="125"/>
  <c r="S161" i="125"/>
  <c r="V111" i="125" l="1"/>
  <c r="R81" i="125"/>
  <c r="N108" i="125"/>
  <c r="V89" i="125"/>
  <c r="N70" i="125"/>
  <c r="K81" i="125"/>
  <c r="G66" i="125"/>
  <c r="E68" i="125"/>
  <c r="E66" i="125"/>
  <c r="N126" i="125"/>
  <c r="N52" i="125"/>
  <c r="N72" i="125"/>
  <c r="AE92" i="125"/>
  <c r="P41" i="125"/>
  <c r="N114" i="125"/>
  <c r="N120" i="125"/>
  <c r="V120" i="125"/>
  <c r="X17" i="125"/>
  <c r="U161" i="125"/>
  <c r="N117" i="125"/>
  <c r="N101" i="125"/>
  <c r="P102" i="125"/>
  <c r="V117" i="125"/>
  <c r="V114" i="125"/>
  <c r="N83" i="125"/>
  <c r="X88" i="125"/>
  <c r="Q77" i="125"/>
  <c r="Y95" i="125"/>
  <c r="AD94" i="125"/>
  <c r="X31" i="125"/>
  <c r="AE123" i="125"/>
  <c r="R47" i="125"/>
  <c r="R46" i="125"/>
  <c r="M129" i="125"/>
  <c r="D43" i="125"/>
  <c r="D53" i="125" s="1"/>
  <c r="D73" i="125"/>
  <c r="D103" i="125" s="1"/>
  <c r="D57" i="125"/>
  <c r="D40" i="125"/>
  <c r="AG23" i="125"/>
  <c r="Y117" i="125"/>
  <c r="AB95" i="125"/>
  <c r="X21" i="125"/>
  <c r="Z89" i="125"/>
  <c r="M76" i="125"/>
  <c r="I46" i="125"/>
  <c r="G65" i="125"/>
  <c r="G63" i="125"/>
  <c r="G67" i="125" s="1"/>
  <c r="R63" i="125"/>
  <c r="R65" i="125"/>
  <c r="K44" i="125"/>
  <c r="H132" i="125"/>
  <c r="V108" i="125"/>
  <c r="U51" i="125"/>
  <c r="Z152" i="125"/>
  <c r="Z39" i="125"/>
  <c r="AA31" i="125"/>
  <c r="AA95" i="125"/>
  <c r="C45" i="125"/>
  <c r="C9" i="125"/>
  <c r="C48" i="125" s="1"/>
  <c r="C7" i="125"/>
  <c r="P50" i="125"/>
  <c r="P49" i="125"/>
  <c r="I131" i="125"/>
  <c r="I132" i="125" s="1"/>
  <c r="I42" i="125"/>
  <c r="I48" i="125"/>
  <c r="H128" i="125"/>
  <c r="H69" i="125"/>
  <c r="H73" i="125"/>
  <c r="H57" i="125"/>
  <c r="H43" i="125"/>
  <c r="H50" i="125" s="1"/>
  <c r="H40" i="125"/>
  <c r="M7" i="125"/>
  <c r="H41" i="125"/>
  <c r="J65" i="125"/>
  <c r="J63" i="125"/>
  <c r="Q128" i="125"/>
  <c r="Q163" i="125"/>
  <c r="Q164" i="125" s="1"/>
  <c r="Q57" i="125"/>
  <c r="Q73" i="125"/>
  <c r="Q78" i="125" s="1"/>
  <c r="Q69" i="125"/>
  <c r="Q43" i="125"/>
  <c r="R44" i="125" s="1"/>
  <c r="Q40" i="125"/>
  <c r="Q41" i="125"/>
  <c r="D47" i="125"/>
  <c r="P68" i="125"/>
  <c r="P66" i="125"/>
  <c r="P63" i="125"/>
  <c r="P65" i="125"/>
  <c r="K50" i="125"/>
  <c r="J131" i="125"/>
  <c r="J132" i="125" s="1"/>
  <c r="J48" i="125"/>
  <c r="J42" i="125"/>
  <c r="N42" i="125" s="1"/>
  <c r="F45" i="125"/>
  <c r="F9" i="125"/>
  <c r="F48" i="125" s="1"/>
  <c r="F7" i="125"/>
  <c r="G167" i="125"/>
  <c r="R69" i="125"/>
  <c r="Q50" i="125"/>
  <c r="Q49" i="125"/>
  <c r="M9" i="125"/>
  <c r="O9" i="125" s="1"/>
  <c r="U160" i="125"/>
  <c r="X119" i="125"/>
  <c r="N98" i="125"/>
  <c r="V95" i="125"/>
  <c r="X110" i="125"/>
  <c r="AC95" i="125"/>
  <c r="S103" i="125"/>
  <c r="S109" i="125"/>
  <c r="S74" i="125"/>
  <c r="Z95" i="125"/>
  <c r="M45" i="125"/>
  <c r="H46" i="125"/>
  <c r="K65" i="125"/>
  <c r="K63" i="125"/>
  <c r="L49" i="125"/>
  <c r="J66" i="125"/>
  <c r="Q46" i="125"/>
  <c r="Q47" i="125"/>
  <c r="P96" i="125"/>
  <c r="P103" i="125"/>
  <c r="P90" i="125"/>
  <c r="P84" i="125"/>
  <c r="P112" i="125"/>
  <c r="P81" i="125"/>
  <c r="K42" i="125"/>
  <c r="S132" i="125"/>
  <c r="S131" i="125"/>
  <c r="S130" i="125"/>
  <c r="S42" i="125"/>
  <c r="S48" i="125"/>
  <c r="J46" i="125"/>
  <c r="J47" i="125"/>
  <c r="I128" i="125"/>
  <c r="I41" i="125"/>
  <c r="I40" i="125"/>
  <c r="I73" i="125"/>
  <c r="I69" i="125"/>
  <c r="I57" i="125"/>
  <c r="I43" i="125"/>
  <c r="L163" i="125"/>
  <c r="P164" i="125" s="1"/>
  <c r="L128" i="125"/>
  <c r="L69" i="125"/>
  <c r="L73" i="125"/>
  <c r="L57" i="125"/>
  <c r="L43" i="125"/>
  <c r="L50" i="125" s="1"/>
  <c r="L41" i="125"/>
  <c r="L40" i="125"/>
  <c r="R53" i="125"/>
  <c r="R128" i="125"/>
  <c r="R50" i="125"/>
  <c r="R49" i="125"/>
  <c r="L138" i="125"/>
  <c r="M144" i="125"/>
  <c r="V126" i="125"/>
  <c r="X113" i="125"/>
  <c r="N111" i="125"/>
  <c r="P115" i="125"/>
  <c r="Y161" i="125"/>
  <c r="N95" i="125"/>
  <c r="V92" i="125"/>
  <c r="N80" i="125"/>
  <c r="E53" i="125"/>
  <c r="X94" i="125"/>
  <c r="I77" i="125"/>
  <c r="N77" i="125" s="1"/>
  <c r="K68" i="125"/>
  <c r="AD62" i="125"/>
  <c r="AA126" i="125"/>
  <c r="Y89" i="125"/>
  <c r="K46" i="125"/>
  <c r="AG25" i="125"/>
  <c r="S44" i="125"/>
  <c r="S63" i="125"/>
  <c r="S65" i="125"/>
  <c r="S68" i="125"/>
  <c r="S66" i="125"/>
  <c r="X23" i="125"/>
  <c r="N130" i="125"/>
  <c r="K112" i="125"/>
  <c r="K115" i="125"/>
  <c r="K84" i="125"/>
  <c r="K109" i="125"/>
  <c r="K103" i="125"/>
  <c r="K74" i="125"/>
  <c r="K75" i="125"/>
  <c r="J41" i="125"/>
  <c r="J112" i="125"/>
  <c r="J103" i="125"/>
  <c r="J115" i="125"/>
  <c r="J90" i="125"/>
  <c r="J96" i="125"/>
  <c r="J75" i="125"/>
  <c r="J81" i="125"/>
  <c r="U64" i="125"/>
  <c r="AD123" i="125"/>
  <c r="AG20" i="125"/>
  <c r="X16" i="125"/>
  <c r="P53" i="125"/>
  <c r="P128" i="125"/>
  <c r="AD92" i="125"/>
  <c r="E65" i="125"/>
  <c r="E63" i="125"/>
  <c r="E67" i="125" s="1"/>
  <c r="U60" i="125"/>
  <c r="J53" i="125"/>
  <c r="X14" i="125"/>
  <c r="M58" i="125"/>
  <c r="K132" i="125"/>
  <c r="S47" i="125"/>
  <c r="S46" i="125"/>
  <c r="O8" i="125"/>
  <c r="L47" i="125"/>
  <c r="L46" i="125"/>
  <c r="R121" i="125"/>
  <c r="R102" i="125"/>
  <c r="R99" i="125"/>
  <c r="R96" i="125"/>
  <c r="S127" i="125"/>
  <c r="S124" i="125"/>
  <c r="R103" i="125"/>
  <c r="R90" i="125"/>
  <c r="R93" i="125"/>
  <c r="R87" i="125"/>
  <c r="R164" i="125"/>
  <c r="R166" i="125"/>
  <c r="R168" i="125" s="1"/>
  <c r="H49" i="125"/>
  <c r="M131" i="125" l="1"/>
  <c r="AE95" i="125"/>
  <c r="P44" i="125"/>
  <c r="N41" i="125"/>
  <c r="O131" i="125"/>
  <c r="N128" i="125"/>
  <c r="J105" i="125"/>
  <c r="L65" i="125"/>
  <c r="L63" i="125"/>
  <c r="N57" i="125"/>
  <c r="L66" i="125"/>
  <c r="L68" i="125"/>
  <c r="I109" i="125"/>
  <c r="I103" i="125"/>
  <c r="J104" i="125" s="1"/>
  <c r="I124" i="125"/>
  <c r="I127" i="125"/>
  <c r="I112" i="125"/>
  <c r="I75" i="125"/>
  <c r="I74" i="125"/>
  <c r="I115" i="125"/>
  <c r="I93" i="125"/>
  <c r="I90" i="125"/>
  <c r="I81" i="125"/>
  <c r="I84" i="125"/>
  <c r="I99" i="125"/>
  <c r="I102" i="125"/>
  <c r="I96" i="125"/>
  <c r="I87" i="125"/>
  <c r="I118" i="125"/>
  <c r="I121" i="125"/>
  <c r="X116" i="125"/>
  <c r="L103" i="125"/>
  <c r="L121" i="125"/>
  <c r="L93" i="125"/>
  <c r="L87" i="125"/>
  <c r="L118" i="125"/>
  <c r="L78" i="125"/>
  <c r="L75" i="125"/>
  <c r="L74" i="125"/>
  <c r="L102" i="125"/>
  <c r="L127" i="125"/>
  <c r="L124" i="125"/>
  <c r="L81" i="125"/>
  <c r="L84" i="125"/>
  <c r="L90" i="125"/>
  <c r="L96" i="125"/>
  <c r="L99" i="125"/>
  <c r="L112" i="125"/>
  <c r="L115" i="125"/>
  <c r="L109" i="125"/>
  <c r="I44" i="125"/>
  <c r="I53" i="125"/>
  <c r="K104" i="125"/>
  <c r="K105" i="125"/>
  <c r="AG62" i="125"/>
  <c r="I78" i="125"/>
  <c r="M143" i="125"/>
  <c r="L44" i="125"/>
  <c r="L53" i="125"/>
  <c r="P105" i="125"/>
  <c r="P104" i="125"/>
  <c r="N46" i="125"/>
  <c r="U58" i="125"/>
  <c r="P71" i="125"/>
  <c r="P67" i="125"/>
  <c r="Q44" i="125"/>
  <c r="Q53" i="125"/>
  <c r="N40" i="125"/>
  <c r="N69" i="125"/>
  <c r="C73" i="125"/>
  <c r="C103" i="125" s="1"/>
  <c r="C57" i="125"/>
  <c r="C40" i="125"/>
  <c r="C43" i="125"/>
  <c r="C53" i="125" s="1"/>
  <c r="AA152" i="125"/>
  <c r="AA39" i="125"/>
  <c r="AB31" i="125"/>
  <c r="O129" i="125"/>
  <c r="S105" i="125"/>
  <c r="S104" i="125"/>
  <c r="M43" i="125"/>
  <c r="M53" i="125" s="1"/>
  <c r="H44" i="125"/>
  <c r="H53" i="125"/>
  <c r="U48" i="125"/>
  <c r="I47" i="125"/>
  <c r="X125" i="125"/>
  <c r="X91" i="125"/>
  <c r="P74" i="125"/>
  <c r="K67" i="125"/>
  <c r="K71" i="125"/>
  <c r="U57" i="125"/>
  <c r="Q103" i="125"/>
  <c r="Q109" i="125"/>
  <c r="Q102" i="125"/>
  <c r="Q112" i="125"/>
  <c r="Q99" i="125"/>
  <c r="Q115" i="125"/>
  <c r="Q74" i="125"/>
  <c r="Q87" i="125"/>
  <c r="Q127" i="125"/>
  <c r="Q90" i="125"/>
  <c r="Q118" i="125"/>
  <c r="Q96" i="125"/>
  <c r="Q93" i="125"/>
  <c r="Q84" i="125"/>
  <c r="Q81" i="125"/>
  <c r="Q124" i="125"/>
  <c r="Q121" i="125"/>
  <c r="J67" i="125"/>
  <c r="H65" i="125"/>
  <c r="H63" i="125"/>
  <c r="H66" i="125"/>
  <c r="H68" i="125"/>
  <c r="I50" i="125"/>
  <c r="I49" i="125"/>
  <c r="X60" i="125"/>
  <c r="X64" i="125"/>
  <c r="H47" i="125"/>
  <c r="F73" i="125"/>
  <c r="F103" i="125" s="1"/>
  <c r="F57" i="125"/>
  <c r="F43" i="125"/>
  <c r="F53" i="125" s="1"/>
  <c r="F40" i="125"/>
  <c r="J50" i="125"/>
  <c r="J49" i="125"/>
  <c r="K49" i="125"/>
  <c r="C47" i="125"/>
  <c r="AG122" i="125"/>
  <c r="J44" i="125"/>
  <c r="AG94" i="125"/>
  <c r="M48" i="125"/>
  <c r="R74" i="125"/>
  <c r="R105" i="125"/>
  <c r="R104" i="125"/>
  <c r="J74" i="125"/>
  <c r="S67" i="125"/>
  <c r="S71" i="125"/>
  <c r="I65" i="125"/>
  <c r="I63" i="125"/>
  <c r="J71" i="125" s="1"/>
  <c r="I68" i="125"/>
  <c r="I66" i="125"/>
  <c r="S49" i="125"/>
  <c r="S50" i="125"/>
  <c r="AG91" i="125"/>
  <c r="Q65" i="125"/>
  <c r="Q63" i="125"/>
  <c r="U63" i="125" s="1"/>
  <c r="Q66" i="125"/>
  <c r="Q68" i="125"/>
  <c r="M57" i="125"/>
  <c r="O58" i="125" s="1"/>
  <c r="O14" i="125"/>
  <c r="O12" i="125"/>
  <c r="O21" i="125"/>
  <c r="O18" i="125"/>
  <c r="O19" i="125"/>
  <c r="O7" i="125"/>
  <c r="O28" i="125"/>
  <c r="O25" i="125"/>
  <c r="O10" i="125"/>
  <c r="O15" i="125"/>
  <c r="O17" i="125"/>
  <c r="O23" i="125"/>
  <c r="O22" i="125"/>
  <c r="O27" i="125"/>
  <c r="O26" i="125"/>
  <c r="O20" i="125"/>
  <c r="O16" i="125"/>
  <c r="O24" i="125"/>
  <c r="O11" i="125"/>
  <c r="O13" i="125"/>
  <c r="H103" i="125"/>
  <c r="H118" i="125"/>
  <c r="H93" i="125"/>
  <c r="H87" i="125"/>
  <c r="H121" i="125"/>
  <c r="M73" i="125"/>
  <c r="M78" i="125" s="1"/>
  <c r="H78" i="125"/>
  <c r="H75" i="125"/>
  <c r="H74" i="125"/>
  <c r="H81" i="125"/>
  <c r="H127" i="125"/>
  <c r="H84" i="125"/>
  <c r="H124" i="125"/>
  <c r="H112" i="125"/>
  <c r="H115" i="125"/>
  <c r="H96" i="125"/>
  <c r="H102" i="125"/>
  <c r="H90" i="125"/>
  <c r="H109" i="125"/>
  <c r="H99" i="125"/>
  <c r="U53" i="125"/>
  <c r="N132" i="125"/>
  <c r="R67" i="125"/>
  <c r="D65" i="125"/>
  <c r="D63" i="125"/>
  <c r="D67" i="125" s="1"/>
  <c r="D68" i="125"/>
  <c r="D66" i="125"/>
  <c r="AD95" i="125"/>
  <c r="O135" i="125"/>
  <c r="J9" i="108"/>
  <c r="U44" i="125" l="1"/>
  <c r="O68" i="125"/>
  <c r="M50" i="125"/>
  <c r="N44" i="125"/>
  <c r="N74" i="125"/>
  <c r="N47" i="125"/>
  <c r="N49" i="125"/>
  <c r="R71" i="125"/>
  <c r="M103" i="125"/>
  <c r="M75" i="125"/>
  <c r="O73" i="125"/>
  <c r="O85" i="125"/>
  <c r="M112" i="125"/>
  <c r="M118" i="125"/>
  <c r="O97" i="125"/>
  <c r="M121" i="125"/>
  <c r="O116" i="125"/>
  <c r="O122" i="125"/>
  <c r="O119" i="125"/>
  <c r="M124" i="125"/>
  <c r="M109" i="125"/>
  <c r="M87" i="125"/>
  <c r="O110" i="125"/>
  <c r="M99" i="125"/>
  <c r="O125" i="125"/>
  <c r="O94" i="125"/>
  <c r="O79" i="125"/>
  <c r="O113" i="125"/>
  <c r="M93" i="125"/>
  <c r="M90" i="125"/>
  <c r="M102" i="125"/>
  <c r="M84" i="125"/>
  <c r="M127" i="125"/>
  <c r="O91" i="125"/>
  <c r="O100" i="125"/>
  <c r="O82" i="125"/>
  <c r="O88" i="125"/>
  <c r="M96" i="125"/>
  <c r="M81" i="125"/>
  <c r="M115" i="125"/>
  <c r="F65" i="125"/>
  <c r="F63" i="125"/>
  <c r="F67" i="125" s="1"/>
  <c r="F66" i="125"/>
  <c r="F68" i="125"/>
  <c r="O65" i="125"/>
  <c r="X57" i="125"/>
  <c r="O76" i="125"/>
  <c r="C65" i="125"/>
  <c r="C63" i="125"/>
  <c r="C67" i="125" s="1"/>
  <c r="C68" i="125"/>
  <c r="C66" i="125"/>
  <c r="M138" i="125"/>
  <c r="O57" i="125"/>
  <c r="M63" i="125"/>
  <c r="O63" i="125" s="1"/>
  <c r="O64" i="125"/>
  <c r="O60" i="125"/>
  <c r="O59" i="125"/>
  <c r="O62" i="125"/>
  <c r="O61" i="125"/>
  <c r="O66" i="125"/>
  <c r="L105" i="125"/>
  <c r="L104" i="125"/>
  <c r="I105" i="125"/>
  <c r="I104" i="125"/>
  <c r="H105" i="125"/>
  <c r="H104" i="125"/>
  <c r="Q67" i="125"/>
  <c r="Q71" i="125"/>
  <c r="I71" i="125"/>
  <c r="I67" i="125"/>
  <c r="H71" i="125"/>
  <c r="H67" i="125"/>
  <c r="Q105" i="125"/>
  <c r="Q104" i="125"/>
  <c r="U50" i="125"/>
  <c r="AB152" i="125"/>
  <c r="AB39" i="125"/>
  <c r="AC31" i="125"/>
  <c r="AD31" i="125" s="1"/>
  <c r="AG31" i="125" s="1"/>
  <c r="F47" i="125"/>
  <c r="X58" i="125"/>
  <c r="L71" i="125"/>
  <c r="L67" i="125"/>
  <c r="N63" i="125"/>
  <c r="H14" i="102"/>
  <c r="CC30" i="74"/>
  <c r="U26" i="129" s="1"/>
  <c r="EW30" i="74"/>
  <c r="AM26" i="129" s="1"/>
  <c r="AO49" i="124"/>
  <c r="AL49" i="124"/>
  <c r="AI49" i="124"/>
  <c r="AF49" i="124"/>
  <c r="AC49" i="124"/>
  <c r="Z49" i="124"/>
  <c r="W49" i="124"/>
  <c r="T49" i="124"/>
  <c r="Q49" i="124"/>
  <c r="N49" i="124"/>
  <c r="K49" i="124"/>
  <c r="H49" i="124"/>
  <c r="C49" i="124"/>
  <c r="H48" i="124"/>
  <c r="H47" i="124"/>
  <c r="H46" i="124"/>
  <c r="AM31" i="124"/>
  <c r="AO31" i="124" s="1"/>
  <c r="AJ31" i="124"/>
  <c r="AL31" i="124" s="1"/>
  <c r="AG31" i="124"/>
  <c r="AI31" i="124" s="1"/>
  <c r="AD31" i="124"/>
  <c r="AF31" i="124" s="1"/>
  <c r="AA31" i="124"/>
  <c r="AC31" i="124" s="1"/>
  <c r="X31" i="124"/>
  <c r="Z31" i="124" s="1"/>
  <c r="W31" i="124"/>
  <c r="U31" i="124"/>
  <c r="R31" i="124"/>
  <c r="T31" i="124" s="1"/>
  <c r="O31" i="124"/>
  <c r="Q31" i="124" s="1"/>
  <c r="L31" i="124"/>
  <c r="N31" i="124" s="1"/>
  <c r="I31" i="124"/>
  <c r="K31" i="124" s="1"/>
  <c r="F31" i="124"/>
  <c r="H31" i="124" s="1"/>
  <c r="AM29" i="124"/>
  <c r="AO29" i="124" s="1"/>
  <c r="AJ29" i="124"/>
  <c r="AL29" i="124" s="1"/>
  <c r="AG29" i="124"/>
  <c r="AI29" i="124" s="1"/>
  <c r="AD29" i="124"/>
  <c r="AF29" i="124" s="1"/>
  <c r="AA29" i="124"/>
  <c r="AC29" i="124" s="1"/>
  <c r="X29" i="124"/>
  <c r="Z29" i="124" s="1"/>
  <c r="U29" i="124"/>
  <c r="W29" i="124" s="1"/>
  <c r="R29" i="124"/>
  <c r="T29" i="124" s="1"/>
  <c r="O29" i="124"/>
  <c r="Q29" i="124" s="1"/>
  <c r="L29" i="124"/>
  <c r="N29" i="124" s="1"/>
  <c r="I29" i="124"/>
  <c r="K29" i="124" s="1"/>
  <c r="F29" i="124"/>
  <c r="H29" i="124" s="1"/>
  <c r="AM28" i="124"/>
  <c r="AO28" i="124" s="1"/>
  <c r="AJ28" i="124"/>
  <c r="AG28" i="124"/>
  <c r="AI28" i="124" s="1"/>
  <c r="AD28" i="124"/>
  <c r="AA28" i="124"/>
  <c r="AC28" i="124" s="1"/>
  <c r="X28" i="124"/>
  <c r="U28" i="124"/>
  <c r="W28" i="124" s="1"/>
  <c r="R28" i="124"/>
  <c r="O28" i="124"/>
  <c r="Q28" i="124" s="1"/>
  <c r="L28" i="124"/>
  <c r="I28" i="124"/>
  <c r="K28" i="124" s="1"/>
  <c r="F28" i="124"/>
  <c r="AM26" i="124"/>
  <c r="AO26" i="124" s="1"/>
  <c r="U26" i="124"/>
  <c r="W26" i="124" s="1"/>
  <c r="W24" i="124" s="1"/>
  <c r="AM25" i="124"/>
  <c r="AO25" i="124" s="1"/>
  <c r="AO24" i="124" s="1"/>
  <c r="AJ25" i="124"/>
  <c r="AG25" i="124"/>
  <c r="AI25" i="124" s="1"/>
  <c r="AD25" i="124"/>
  <c r="AA25" i="124"/>
  <c r="AC25" i="124" s="1"/>
  <c r="X25" i="124"/>
  <c r="U25" i="124"/>
  <c r="W25" i="124" s="1"/>
  <c r="R25" i="124"/>
  <c r="O25" i="124"/>
  <c r="Q25" i="124" s="1"/>
  <c r="L25" i="124"/>
  <c r="I25" i="124"/>
  <c r="K25" i="124" s="1"/>
  <c r="F25" i="124"/>
  <c r="AM22" i="124"/>
  <c r="AO22" i="124" s="1"/>
  <c r="AJ22" i="124"/>
  <c r="AG22" i="124"/>
  <c r="AI22" i="124" s="1"/>
  <c r="AD22" i="124"/>
  <c r="AA22" i="124"/>
  <c r="X22" i="124"/>
  <c r="U22" i="124"/>
  <c r="R22" i="124"/>
  <c r="O22" i="124"/>
  <c r="Q22" i="124" s="1"/>
  <c r="L22" i="124"/>
  <c r="N22" i="124" s="1"/>
  <c r="I22" i="124"/>
  <c r="K22" i="124" s="1"/>
  <c r="F22" i="124"/>
  <c r="X20" i="124"/>
  <c r="Z20" i="124" s="1"/>
  <c r="U20" i="124"/>
  <c r="W20" i="124" s="1"/>
  <c r="R20" i="124"/>
  <c r="T20" i="124" s="1"/>
  <c r="O20" i="124"/>
  <c r="Q20" i="124" s="1"/>
  <c r="L20" i="124"/>
  <c r="N20" i="124" s="1"/>
  <c r="I20" i="124"/>
  <c r="K20" i="124" s="1"/>
  <c r="F20" i="124"/>
  <c r="H20" i="124" s="1"/>
  <c r="AM19" i="124"/>
  <c r="AO19" i="124" s="1"/>
  <c r="AJ19" i="124"/>
  <c r="AL19" i="124" s="1"/>
  <c r="AI19" i="124"/>
  <c r="AG19" i="124"/>
  <c r="AD19" i="124"/>
  <c r="AF19" i="124" s="1"/>
  <c r="AA19" i="124"/>
  <c r="AC19" i="124" s="1"/>
  <c r="X19" i="124"/>
  <c r="Z19" i="124" s="1"/>
  <c r="U19" i="124"/>
  <c r="W19" i="124" s="1"/>
  <c r="R19" i="124"/>
  <c r="T19" i="124" s="1"/>
  <c r="O19" i="124"/>
  <c r="Q19" i="124" s="1"/>
  <c r="L19" i="124"/>
  <c r="N19" i="124" s="1"/>
  <c r="I19" i="124"/>
  <c r="K19" i="124" s="1"/>
  <c r="F19" i="124"/>
  <c r="AM18" i="124"/>
  <c r="AJ18" i="124"/>
  <c r="AL18" i="124" s="1"/>
  <c r="AG18" i="124"/>
  <c r="AI18" i="124" s="1"/>
  <c r="AD18" i="124"/>
  <c r="AF18" i="124" s="1"/>
  <c r="AA18" i="124"/>
  <c r="X18" i="124"/>
  <c r="X17" i="124" s="1"/>
  <c r="U18" i="124"/>
  <c r="R18" i="124"/>
  <c r="T18" i="124" s="1"/>
  <c r="O18" i="124"/>
  <c r="L18" i="124"/>
  <c r="N18" i="124" s="1"/>
  <c r="I18" i="124"/>
  <c r="K18" i="124" s="1"/>
  <c r="F18" i="124"/>
  <c r="H18" i="124" s="1"/>
  <c r="AM16" i="124"/>
  <c r="AO16" i="124" s="1"/>
  <c r="AJ16" i="124"/>
  <c r="AL16" i="124" s="1"/>
  <c r="AG16" i="124"/>
  <c r="AI16" i="124" s="1"/>
  <c r="AD16" i="124"/>
  <c r="AF16" i="124" s="1"/>
  <c r="AA16" i="124"/>
  <c r="AC16" i="124" s="1"/>
  <c r="Z16" i="124"/>
  <c r="X16" i="124"/>
  <c r="U16" i="124"/>
  <c r="W16" i="124" s="1"/>
  <c r="T16" i="124"/>
  <c r="R16" i="124"/>
  <c r="O16" i="124"/>
  <c r="Q16" i="124" s="1"/>
  <c r="L16" i="124"/>
  <c r="N16" i="124" s="1"/>
  <c r="I16" i="124"/>
  <c r="K16" i="124" s="1"/>
  <c r="F16" i="124"/>
  <c r="H16" i="124" s="1"/>
  <c r="AM15" i="124"/>
  <c r="AO15" i="124" s="1"/>
  <c r="AJ15" i="124"/>
  <c r="AL15" i="124" s="1"/>
  <c r="AG15" i="124"/>
  <c r="AI15" i="124" s="1"/>
  <c r="AD15" i="124"/>
  <c r="AF15" i="124" s="1"/>
  <c r="AA15" i="124"/>
  <c r="AC15" i="124" s="1"/>
  <c r="X15" i="124"/>
  <c r="Z15" i="124" s="1"/>
  <c r="U15" i="124"/>
  <c r="W15" i="124" s="1"/>
  <c r="T15" i="124"/>
  <c r="R15" i="124"/>
  <c r="O15" i="124"/>
  <c r="Q15" i="124" s="1"/>
  <c r="L15" i="124"/>
  <c r="N15" i="124" s="1"/>
  <c r="I15" i="124"/>
  <c r="K15" i="124" s="1"/>
  <c r="F15" i="124"/>
  <c r="H15" i="124" s="1"/>
  <c r="AM14" i="124"/>
  <c r="AO14" i="124" s="1"/>
  <c r="AL14" i="124"/>
  <c r="AJ14" i="124"/>
  <c r="AG14" i="124"/>
  <c r="AI14" i="124" s="1"/>
  <c r="AF14" i="124"/>
  <c r="AD14" i="124"/>
  <c r="AA14" i="124"/>
  <c r="AC14" i="124" s="1"/>
  <c r="X14" i="124"/>
  <c r="Z14" i="124" s="1"/>
  <c r="U14" i="124"/>
  <c r="W14" i="124" s="1"/>
  <c r="R14" i="124"/>
  <c r="T14" i="124" s="1"/>
  <c r="O14" i="124"/>
  <c r="Q14" i="124" s="1"/>
  <c r="L14" i="124"/>
  <c r="N14" i="124" s="1"/>
  <c r="I14" i="124"/>
  <c r="K14" i="124" s="1"/>
  <c r="F14" i="124"/>
  <c r="H14" i="124" s="1"/>
  <c r="AO13" i="124"/>
  <c r="AM13" i="124"/>
  <c r="AJ13" i="124"/>
  <c r="AL13" i="124" s="1"/>
  <c r="AG13" i="124"/>
  <c r="AI13" i="124" s="1"/>
  <c r="AD13" i="124"/>
  <c r="AF13" i="124" s="1"/>
  <c r="AA13" i="124"/>
  <c r="AC13" i="124" s="1"/>
  <c r="X13" i="124"/>
  <c r="Z13" i="124" s="1"/>
  <c r="U13" i="124"/>
  <c r="W13" i="124" s="1"/>
  <c r="R13" i="124"/>
  <c r="T13" i="124" s="1"/>
  <c r="Q13" i="124"/>
  <c r="O13" i="124"/>
  <c r="L13" i="124"/>
  <c r="N13" i="124" s="1"/>
  <c r="I13" i="124"/>
  <c r="K13" i="124" s="1"/>
  <c r="F13" i="124"/>
  <c r="H13" i="124" s="1"/>
  <c r="AM12" i="124"/>
  <c r="AO12" i="124" s="1"/>
  <c r="AL12" i="124"/>
  <c r="AJ12" i="124"/>
  <c r="AG12" i="124"/>
  <c r="AI12" i="124" s="1"/>
  <c r="AF12" i="124"/>
  <c r="AD12" i="124"/>
  <c r="AA12" i="124"/>
  <c r="AC12" i="124" s="1"/>
  <c r="X12" i="124"/>
  <c r="Z12" i="124" s="1"/>
  <c r="U12" i="124"/>
  <c r="W12" i="124" s="1"/>
  <c r="R12" i="124"/>
  <c r="T12" i="124" s="1"/>
  <c r="O12" i="124"/>
  <c r="L12" i="124"/>
  <c r="N12" i="124" s="1"/>
  <c r="I12" i="124"/>
  <c r="K12" i="124" s="1"/>
  <c r="H12" i="124"/>
  <c r="F12" i="124"/>
  <c r="AM11" i="124"/>
  <c r="AO11" i="124" s="1"/>
  <c r="AJ11" i="124"/>
  <c r="AL11" i="124" s="1"/>
  <c r="AG11" i="124"/>
  <c r="AI11" i="124" s="1"/>
  <c r="AD11" i="124"/>
  <c r="AF11" i="124" s="1"/>
  <c r="AA11" i="124"/>
  <c r="AC11" i="124" s="1"/>
  <c r="X11" i="124"/>
  <c r="Z11" i="124" s="1"/>
  <c r="U11" i="124"/>
  <c r="W11" i="124" s="1"/>
  <c r="R11" i="124"/>
  <c r="T11" i="124" s="1"/>
  <c r="O11" i="124"/>
  <c r="L11" i="124"/>
  <c r="N11" i="124" s="1"/>
  <c r="I11" i="124"/>
  <c r="K11" i="124" s="1"/>
  <c r="H11" i="124"/>
  <c r="F11" i="124"/>
  <c r="AM10" i="124"/>
  <c r="AO10" i="124" s="1"/>
  <c r="AJ10" i="124"/>
  <c r="AL10" i="124" s="1"/>
  <c r="AG10" i="124"/>
  <c r="AI10" i="124" s="1"/>
  <c r="AD10" i="124"/>
  <c r="AF10" i="124" s="1"/>
  <c r="AA10" i="124"/>
  <c r="AC10" i="124" s="1"/>
  <c r="Z10" i="124"/>
  <c r="X10" i="124"/>
  <c r="U10" i="124"/>
  <c r="W10" i="124" s="1"/>
  <c r="T10" i="124"/>
  <c r="R10" i="124"/>
  <c r="O10" i="124"/>
  <c r="Q10" i="124" s="1"/>
  <c r="L10" i="124"/>
  <c r="N10" i="124" s="1"/>
  <c r="I10" i="124"/>
  <c r="K10" i="124" s="1"/>
  <c r="H10" i="124"/>
  <c r="F10" i="124"/>
  <c r="AM9" i="124"/>
  <c r="AO9" i="124" s="1"/>
  <c r="AJ9" i="124"/>
  <c r="AG9" i="124"/>
  <c r="AI9" i="124" s="1"/>
  <c r="AD9" i="124"/>
  <c r="AC9" i="124"/>
  <c r="AA9" i="124"/>
  <c r="X9" i="124"/>
  <c r="U9" i="124"/>
  <c r="W9" i="124" s="1"/>
  <c r="R9" i="124"/>
  <c r="O9" i="124"/>
  <c r="Q9" i="124" s="1"/>
  <c r="L9" i="124"/>
  <c r="I9" i="124"/>
  <c r="K9" i="124" s="1"/>
  <c r="F9" i="124"/>
  <c r="AM8" i="124"/>
  <c r="AO8" i="124" s="1"/>
  <c r="AJ8" i="124"/>
  <c r="AL8" i="124" s="1"/>
  <c r="AG8" i="124"/>
  <c r="AI8" i="124" s="1"/>
  <c r="AD8" i="124"/>
  <c r="AF8" i="124" s="1"/>
  <c r="AC8" i="124"/>
  <c r="AA8" i="124"/>
  <c r="AA7" i="124" s="1"/>
  <c r="X8" i="124"/>
  <c r="Z8" i="124" s="1"/>
  <c r="U8" i="124"/>
  <c r="W8" i="124" s="1"/>
  <c r="R8" i="124"/>
  <c r="T8" i="124" s="1"/>
  <c r="O8" i="124"/>
  <c r="Q8" i="124" s="1"/>
  <c r="L8" i="124"/>
  <c r="N8" i="124" s="1"/>
  <c r="K8" i="124"/>
  <c r="I8" i="124"/>
  <c r="F8" i="124"/>
  <c r="H8" i="124" s="1"/>
  <c r="AG7" i="124"/>
  <c r="I7" i="124"/>
  <c r="AN6" i="124"/>
  <c r="AK6" i="124"/>
  <c r="AH6" i="124"/>
  <c r="AE6" i="124"/>
  <c r="AB6" i="124"/>
  <c r="Y6" i="124"/>
  <c r="V6" i="124"/>
  <c r="S6" i="124"/>
  <c r="P6" i="124"/>
  <c r="M6" i="124"/>
  <c r="J6" i="124"/>
  <c r="G6" i="124"/>
  <c r="D6" i="124"/>
  <c r="W26" i="129" l="1"/>
  <c r="W24" i="129" s="1"/>
  <c r="U24" i="129"/>
  <c r="C14" i="124"/>
  <c r="E49" i="124"/>
  <c r="U7" i="124"/>
  <c r="O17" i="124"/>
  <c r="C11" i="124"/>
  <c r="E8" i="124"/>
  <c r="C10" i="124"/>
  <c r="U17" i="124"/>
  <c r="AO26" i="129"/>
  <c r="AO24" i="129" s="1"/>
  <c r="AM24" i="129"/>
  <c r="C18" i="124"/>
  <c r="Z18" i="124"/>
  <c r="L17" i="124"/>
  <c r="R17" i="124"/>
  <c r="N17" i="124"/>
  <c r="K17" i="124"/>
  <c r="N71" i="125"/>
  <c r="X63" i="125"/>
  <c r="AC152" i="125"/>
  <c r="AD152" i="125" s="1"/>
  <c r="AC39" i="125"/>
  <c r="AD39" i="125" s="1"/>
  <c r="O67" i="125"/>
  <c r="M105" i="125"/>
  <c r="O103" i="125"/>
  <c r="N104" i="125"/>
  <c r="E29" i="124"/>
  <c r="D29" i="124" s="1"/>
  <c r="C29" i="124"/>
  <c r="E14" i="124"/>
  <c r="D14" i="124" s="1"/>
  <c r="AD7" i="124"/>
  <c r="O7" i="124"/>
  <c r="AM7" i="124"/>
  <c r="C8" i="124"/>
  <c r="D8" i="124" s="1"/>
  <c r="R7" i="124"/>
  <c r="E13" i="124"/>
  <c r="D13" i="124" s="1"/>
  <c r="C15" i="124"/>
  <c r="E16" i="124"/>
  <c r="C19" i="124"/>
  <c r="K7" i="124"/>
  <c r="W7" i="124"/>
  <c r="AI7" i="124"/>
  <c r="AO7" i="124"/>
  <c r="L7" i="124"/>
  <c r="AJ7" i="124"/>
  <c r="Z17" i="124"/>
  <c r="F7" i="124"/>
  <c r="E10" i="124"/>
  <c r="D10" i="124" s="1"/>
  <c r="C12" i="124"/>
  <c r="T17" i="124"/>
  <c r="E31" i="124"/>
  <c r="X7" i="124"/>
  <c r="C7" i="124" s="1"/>
  <c r="Q12" i="124"/>
  <c r="E12" i="124" s="1"/>
  <c r="D12" i="124" s="1"/>
  <c r="Q18" i="124"/>
  <c r="Q17" i="124" s="1"/>
  <c r="W18" i="124"/>
  <c r="W17" i="124" s="1"/>
  <c r="AC18" i="124"/>
  <c r="AO18" i="124"/>
  <c r="AC7" i="124"/>
  <c r="C9" i="124"/>
  <c r="H9" i="124"/>
  <c r="N9" i="124"/>
  <c r="N7" i="124" s="1"/>
  <c r="T9" i="124"/>
  <c r="T7" i="124" s="1"/>
  <c r="Z9" i="124"/>
  <c r="Z7" i="124" s="1"/>
  <c r="AF9" i="124"/>
  <c r="AF7" i="124" s="1"/>
  <c r="AL9" i="124"/>
  <c r="AL7" i="124" s="1"/>
  <c r="Q11" i="124"/>
  <c r="C13" i="124"/>
  <c r="C16" i="124"/>
  <c r="F17" i="124"/>
  <c r="E15" i="124"/>
  <c r="D15" i="124" s="1"/>
  <c r="AL22" i="124"/>
  <c r="H25" i="124"/>
  <c r="C25" i="124"/>
  <c r="T25" i="124"/>
  <c r="AF25" i="124"/>
  <c r="N28" i="124"/>
  <c r="Z28" i="124"/>
  <c r="AL28" i="124"/>
  <c r="H22" i="124"/>
  <c r="C22" i="124"/>
  <c r="AF22" i="124"/>
  <c r="N25" i="124"/>
  <c r="Z25" i="124"/>
  <c r="AL25" i="124"/>
  <c r="H28" i="124"/>
  <c r="C28" i="124"/>
  <c r="T28" i="124"/>
  <c r="AF28" i="124"/>
  <c r="I17" i="124"/>
  <c r="H19" i="124"/>
  <c r="U24" i="124"/>
  <c r="AM24" i="124"/>
  <c r="C31" i="124"/>
  <c r="D31" i="124" s="1"/>
  <c r="Q7" i="124" l="1"/>
  <c r="AE39" i="125"/>
  <c r="D16" i="124"/>
  <c r="E11" i="124"/>
  <c r="D11" i="124" s="1"/>
  <c r="E18" i="124"/>
  <c r="E28" i="124"/>
  <c r="E25" i="124"/>
  <c r="H17" i="124"/>
  <c r="E19" i="124"/>
  <c r="E9" i="124"/>
  <c r="D9" i="124" s="1"/>
  <c r="H7" i="124"/>
  <c r="E22" i="124"/>
  <c r="E24" i="75"/>
  <c r="C24" i="75"/>
  <c r="D25" i="124" l="1"/>
  <c r="D22" i="124"/>
  <c r="D28" i="124"/>
  <c r="E7" i="124"/>
  <c r="G23" i="77"/>
  <c r="AE34" i="74"/>
  <c r="EU21" i="74" l="1"/>
  <c r="EI21" i="74"/>
  <c r="DW21" i="74"/>
  <c r="DK21" i="74"/>
  <c r="CY21" i="74"/>
  <c r="CM21" i="74"/>
  <c r="CA21" i="74"/>
  <c r="BO21" i="74"/>
  <c r="BO22" i="74"/>
  <c r="BC21" i="74"/>
  <c r="AE21" i="74"/>
  <c r="S21" i="74"/>
  <c r="EU32" i="74"/>
  <c r="EI32" i="74"/>
  <c r="DW32" i="74"/>
  <c r="CY32" i="74"/>
  <c r="CM32" i="74"/>
  <c r="AE32" i="74"/>
  <c r="U34" i="74" l="1"/>
  <c r="AS30" i="74"/>
  <c r="AG30" i="74"/>
  <c r="U30" i="74"/>
  <c r="ES27" i="74"/>
  <c r="CK27" i="74"/>
  <c r="AS27" i="74"/>
  <c r="AG27" i="74"/>
  <c r="AC27" i="74"/>
  <c r="U27" i="74"/>
  <c r="EW34" i="74"/>
  <c r="EW27" i="74"/>
  <c r="EK34" i="74"/>
  <c r="EK30" i="74"/>
  <c r="EK27" i="74"/>
  <c r="DY34" i="74"/>
  <c r="DY30" i="74"/>
  <c r="DY27" i="74"/>
  <c r="DW27" i="74"/>
  <c r="DM34" i="74"/>
  <c r="DM30" i="74"/>
  <c r="DM27" i="74"/>
  <c r="DA34" i="74"/>
  <c r="DA30" i="74"/>
  <c r="DA27" i="74"/>
  <c r="CO34" i="74"/>
  <c r="CO30" i="74"/>
  <c r="CO27" i="74"/>
  <c r="CC34" i="74"/>
  <c r="CC27" i="74"/>
  <c r="BQ34" i="74"/>
  <c r="BQ30" i="74"/>
  <c r="BQ27" i="74"/>
  <c r="BO34" i="74"/>
  <c r="BE34" i="74"/>
  <c r="BE30" i="74"/>
  <c r="BE27" i="74"/>
  <c r="BC27" i="74"/>
  <c r="AS34" i="74"/>
  <c r="AG34" i="74"/>
  <c r="AD26" i="129" l="1"/>
  <c r="AD26" i="124"/>
  <c r="AD30" i="124"/>
  <c r="AD30" i="129"/>
  <c r="AJ23" i="129"/>
  <c r="AJ23" i="124"/>
  <c r="F23" i="129"/>
  <c r="F23" i="124"/>
  <c r="O30" i="124"/>
  <c r="O30" i="129"/>
  <c r="U30" i="129"/>
  <c r="U30" i="124"/>
  <c r="F26" i="129"/>
  <c r="F26" i="124"/>
  <c r="U23" i="129"/>
  <c r="U23" i="124"/>
  <c r="AA26" i="129"/>
  <c r="AA26" i="124"/>
  <c r="AJ30" i="129"/>
  <c r="AJ30" i="124"/>
  <c r="AA23" i="129"/>
  <c r="AA23" i="124"/>
  <c r="AG23" i="129"/>
  <c r="AG23" i="124"/>
  <c r="I23" i="129"/>
  <c r="I23" i="124"/>
  <c r="I26" i="129"/>
  <c r="I26" i="124"/>
  <c r="AG26" i="129"/>
  <c r="AG26" i="124"/>
  <c r="AJ26" i="129"/>
  <c r="AJ26" i="124"/>
  <c r="L30" i="124"/>
  <c r="L30" i="129"/>
  <c r="R23" i="129"/>
  <c r="R23" i="124"/>
  <c r="X23" i="129"/>
  <c r="X23" i="124"/>
  <c r="O23" i="129"/>
  <c r="O23" i="124"/>
  <c r="R30" i="124"/>
  <c r="R30" i="129"/>
  <c r="X26" i="129"/>
  <c r="X26" i="124"/>
  <c r="AG30" i="129"/>
  <c r="AG30" i="124"/>
  <c r="AM23" i="129"/>
  <c r="AM23" i="124"/>
  <c r="L23" i="129"/>
  <c r="L23" i="124"/>
  <c r="L26" i="129"/>
  <c r="L26" i="124"/>
  <c r="I30" i="124"/>
  <c r="I30" i="129"/>
  <c r="AA30" i="129"/>
  <c r="AA30" i="124"/>
  <c r="R26" i="129"/>
  <c r="R26" i="124"/>
  <c r="O26" i="129"/>
  <c r="O26" i="124"/>
  <c r="X30" i="124"/>
  <c r="Z30" i="124" s="1"/>
  <c r="Z27" i="124" s="1"/>
  <c r="X30" i="129"/>
  <c r="AD23" i="129"/>
  <c r="AD23" i="124"/>
  <c r="AM30" i="124"/>
  <c r="AM30" i="129"/>
  <c r="F30" i="124"/>
  <c r="F30" i="129"/>
  <c r="AM20" i="129"/>
  <c r="AM20" i="124"/>
  <c r="AJ20" i="129"/>
  <c r="AJ20" i="124"/>
  <c r="AG20" i="129"/>
  <c r="AG20" i="124"/>
  <c r="AD20" i="129"/>
  <c r="AD20" i="124"/>
  <c r="AA20" i="129"/>
  <c r="AA20" i="124"/>
  <c r="AF30" i="124"/>
  <c r="AF27" i="124" s="1"/>
  <c r="AD27" i="124"/>
  <c r="N30" i="124"/>
  <c r="N27" i="124" s="1"/>
  <c r="L27" i="124"/>
  <c r="T30" i="124"/>
  <c r="T27" i="124" s="1"/>
  <c r="R27" i="124"/>
  <c r="H30" i="124"/>
  <c r="H27" i="124" s="1"/>
  <c r="F27" i="124"/>
  <c r="K30" i="124"/>
  <c r="K27" i="124" s="1"/>
  <c r="I27" i="124"/>
  <c r="Q30" i="124"/>
  <c r="Q27" i="124" s="1"/>
  <c r="O27" i="124"/>
  <c r="AO30" i="124"/>
  <c r="AM27" i="124"/>
  <c r="O24" i="2"/>
  <c r="O22" i="2"/>
  <c r="AF23" i="129" l="1"/>
  <c r="AF21" i="129" s="1"/>
  <c r="AD21" i="129"/>
  <c r="AC30" i="129"/>
  <c r="AC27" i="129" s="1"/>
  <c r="AA27" i="129"/>
  <c r="AO23" i="129"/>
  <c r="AO21" i="129" s="1"/>
  <c r="AM21" i="129"/>
  <c r="Q23" i="129"/>
  <c r="Q21" i="129" s="1"/>
  <c r="O21" i="129"/>
  <c r="AL26" i="129"/>
  <c r="AL24" i="129" s="1"/>
  <c r="AJ24" i="129"/>
  <c r="AI23" i="129"/>
  <c r="AI21" i="129" s="1"/>
  <c r="AG21" i="129"/>
  <c r="W23" i="129"/>
  <c r="W21" i="129" s="1"/>
  <c r="U21" i="129"/>
  <c r="H23" i="129"/>
  <c r="F21" i="129"/>
  <c r="C23" i="129"/>
  <c r="C21" i="129" s="1"/>
  <c r="Q23" i="124"/>
  <c r="Q21" i="124" s="1"/>
  <c r="O21" i="124"/>
  <c r="AI23" i="124"/>
  <c r="AI21" i="124" s="1"/>
  <c r="AG21" i="124"/>
  <c r="W23" i="124"/>
  <c r="W21" i="124" s="1"/>
  <c r="U21" i="124"/>
  <c r="Z30" i="129"/>
  <c r="Z27" i="129" s="1"/>
  <c r="X27" i="129"/>
  <c r="K30" i="129"/>
  <c r="K27" i="129" s="1"/>
  <c r="I27" i="129"/>
  <c r="AI30" i="124"/>
  <c r="AI27" i="124" s="1"/>
  <c r="AG27" i="124"/>
  <c r="Z23" i="124"/>
  <c r="Z21" i="124" s="1"/>
  <c r="Z5" i="124" s="1"/>
  <c r="Z6" i="124" s="1"/>
  <c r="X21" i="124"/>
  <c r="AI26" i="124"/>
  <c r="AI24" i="124" s="1"/>
  <c r="AG24" i="124"/>
  <c r="AC23" i="124"/>
  <c r="AC21" i="124" s="1"/>
  <c r="AA21" i="124"/>
  <c r="H26" i="124"/>
  <c r="C26" i="124"/>
  <c r="C24" i="124" s="1"/>
  <c r="F24" i="124"/>
  <c r="AL23" i="124"/>
  <c r="AL21" i="124" s="1"/>
  <c r="AJ21" i="124"/>
  <c r="AF23" i="124"/>
  <c r="AF21" i="124" s="1"/>
  <c r="AD21" i="124"/>
  <c r="AI30" i="129"/>
  <c r="AI27" i="129" s="1"/>
  <c r="AG27" i="129"/>
  <c r="Z23" i="129"/>
  <c r="Z21" i="129" s="1"/>
  <c r="X21" i="129"/>
  <c r="X5" i="129" s="1"/>
  <c r="X6" i="129" s="1"/>
  <c r="AI26" i="129"/>
  <c r="AI24" i="129" s="1"/>
  <c r="AG24" i="129"/>
  <c r="AA21" i="129"/>
  <c r="AC23" i="129"/>
  <c r="AC21" i="129" s="1"/>
  <c r="H26" i="129"/>
  <c r="C26" i="129"/>
  <c r="C24" i="129" s="1"/>
  <c r="F24" i="129"/>
  <c r="AL23" i="129"/>
  <c r="AL21" i="129" s="1"/>
  <c r="AJ21" i="129"/>
  <c r="AC30" i="124"/>
  <c r="AC27" i="124" s="1"/>
  <c r="AA27" i="124"/>
  <c r="C30" i="124"/>
  <c r="C27" i="124" s="1"/>
  <c r="O5" i="124"/>
  <c r="O6" i="124" s="1"/>
  <c r="X27" i="124"/>
  <c r="X5" i="124" s="1"/>
  <c r="X6" i="124" s="1"/>
  <c r="F27" i="129"/>
  <c r="H30" i="129"/>
  <c r="C30" i="129"/>
  <c r="C27" i="129" s="1"/>
  <c r="Q26" i="124"/>
  <c r="Q24" i="124" s="1"/>
  <c r="O24" i="124"/>
  <c r="N26" i="124"/>
  <c r="N24" i="124" s="1"/>
  <c r="L24" i="124"/>
  <c r="Z26" i="124"/>
  <c r="Z24" i="124" s="1"/>
  <c r="X24" i="124"/>
  <c r="T23" i="124"/>
  <c r="T21" i="124" s="1"/>
  <c r="T5" i="124" s="1"/>
  <c r="T6" i="124" s="1"/>
  <c r="R21" i="124"/>
  <c r="R5" i="124" s="1"/>
  <c r="R6" i="124" s="1"/>
  <c r="K26" i="124"/>
  <c r="K24" i="124" s="1"/>
  <c r="I24" i="124"/>
  <c r="AL30" i="124"/>
  <c r="AL27" i="124" s="1"/>
  <c r="AJ27" i="124"/>
  <c r="W30" i="124"/>
  <c r="W27" i="124" s="1"/>
  <c r="U27" i="124"/>
  <c r="AF30" i="129"/>
  <c r="AF27" i="129" s="1"/>
  <c r="AD27" i="129"/>
  <c r="AL26" i="124"/>
  <c r="AL24" i="124" s="1"/>
  <c r="AJ24" i="124"/>
  <c r="Q5" i="124"/>
  <c r="Q6" i="124" s="1"/>
  <c r="Q26" i="129"/>
  <c r="Q24" i="129" s="1"/>
  <c r="O24" i="129"/>
  <c r="O5" i="129" s="1"/>
  <c r="O6" i="129" s="1"/>
  <c r="L24" i="129"/>
  <c r="N26" i="129"/>
  <c r="N24" i="129" s="1"/>
  <c r="Z26" i="129"/>
  <c r="Z24" i="129" s="1"/>
  <c r="X24" i="129"/>
  <c r="T23" i="129"/>
  <c r="T21" i="129" s="1"/>
  <c r="R21" i="129"/>
  <c r="K26" i="129"/>
  <c r="K24" i="129" s="1"/>
  <c r="I24" i="129"/>
  <c r="AL30" i="129"/>
  <c r="AL27" i="129" s="1"/>
  <c r="AJ27" i="129"/>
  <c r="W30" i="129"/>
  <c r="W27" i="129" s="1"/>
  <c r="U27" i="129"/>
  <c r="AO23" i="124"/>
  <c r="AO21" i="124" s="1"/>
  <c r="AM21" i="124"/>
  <c r="C23" i="124"/>
  <c r="C21" i="124" s="1"/>
  <c r="H23" i="124"/>
  <c r="F21" i="124"/>
  <c r="F5" i="124" s="1"/>
  <c r="F6" i="124" s="1"/>
  <c r="AO30" i="129"/>
  <c r="AO27" i="129" s="1"/>
  <c r="AM27" i="129"/>
  <c r="T26" i="124"/>
  <c r="T24" i="124" s="1"/>
  <c r="R24" i="124"/>
  <c r="N23" i="124"/>
  <c r="N21" i="124" s="1"/>
  <c r="L21" i="124"/>
  <c r="L5" i="124" s="1"/>
  <c r="L6" i="124" s="1"/>
  <c r="T30" i="129"/>
  <c r="T27" i="129" s="1"/>
  <c r="R27" i="129"/>
  <c r="N30" i="129"/>
  <c r="N27" i="129" s="1"/>
  <c r="L27" i="129"/>
  <c r="K23" i="124"/>
  <c r="K21" i="124" s="1"/>
  <c r="I21" i="124"/>
  <c r="I5" i="124" s="1"/>
  <c r="I6" i="124" s="1"/>
  <c r="AC26" i="124"/>
  <c r="AC24" i="124" s="1"/>
  <c r="AA24" i="124"/>
  <c r="Q30" i="129"/>
  <c r="Q27" i="129" s="1"/>
  <c r="O27" i="129"/>
  <c r="AF26" i="124"/>
  <c r="AF24" i="124" s="1"/>
  <c r="AD24" i="124"/>
  <c r="K5" i="124"/>
  <c r="K6" i="124" s="1"/>
  <c r="N5" i="124"/>
  <c r="T26" i="129"/>
  <c r="T24" i="129" s="1"/>
  <c r="R24" i="129"/>
  <c r="N23" i="129"/>
  <c r="N21" i="129" s="1"/>
  <c r="N5" i="129" s="1"/>
  <c r="L21" i="129"/>
  <c r="K23" i="129"/>
  <c r="K21" i="129" s="1"/>
  <c r="I21" i="129"/>
  <c r="I5" i="129" s="1"/>
  <c r="I6" i="129" s="1"/>
  <c r="AC26" i="129"/>
  <c r="AC24" i="129" s="1"/>
  <c r="AA24" i="129"/>
  <c r="AF26" i="129"/>
  <c r="AF24" i="129" s="1"/>
  <c r="AD24" i="129"/>
  <c r="AO20" i="124"/>
  <c r="AO17" i="124" s="1"/>
  <c r="AM17" i="124"/>
  <c r="AM5" i="124"/>
  <c r="AM6" i="124" s="1"/>
  <c r="AO20" i="129"/>
  <c r="AO17" i="129" s="1"/>
  <c r="AO5" i="129" s="1"/>
  <c r="AM17" i="129"/>
  <c r="AM5" i="129" s="1"/>
  <c r="AM6" i="129" s="1"/>
  <c r="AL20" i="124"/>
  <c r="AL17" i="124" s="1"/>
  <c r="AL5" i="124" s="1"/>
  <c r="AL6" i="124" s="1"/>
  <c r="AJ17" i="124"/>
  <c r="AJ5" i="124" s="1"/>
  <c r="AJ6" i="124" s="1"/>
  <c r="AL20" i="129"/>
  <c r="AL17" i="129" s="1"/>
  <c r="AL5" i="129" s="1"/>
  <c r="AJ17" i="129"/>
  <c r="AJ5" i="129" s="1"/>
  <c r="AJ6" i="129" s="1"/>
  <c r="AI20" i="124"/>
  <c r="AI17" i="124" s="1"/>
  <c r="AI5" i="124" s="1"/>
  <c r="AI6" i="124" s="1"/>
  <c r="AG17" i="124"/>
  <c r="AG5" i="124" s="1"/>
  <c r="AG6" i="124" s="1"/>
  <c r="AI20" i="129"/>
  <c r="AI17" i="129" s="1"/>
  <c r="AI5" i="129" s="1"/>
  <c r="AG17" i="129"/>
  <c r="AG5" i="129" s="1"/>
  <c r="AG6" i="129" s="1"/>
  <c r="AF20" i="124"/>
  <c r="AF17" i="124" s="1"/>
  <c r="AF5" i="124" s="1"/>
  <c r="AF6" i="124" s="1"/>
  <c r="AD17" i="124"/>
  <c r="AD5" i="124" s="1"/>
  <c r="AD6" i="124" s="1"/>
  <c r="AF20" i="129"/>
  <c r="AF17" i="129" s="1"/>
  <c r="AF5" i="129" s="1"/>
  <c r="AD17" i="129"/>
  <c r="AD5" i="129" s="1"/>
  <c r="AD6" i="129" s="1"/>
  <c r="AC20" i="124"/>
  <c r="AA17" i="124"/>
  <c r="AA5" i="124" s="1"/>
  <c r="AA6" i="124" s="1"/>
  <c r="C20" i="124"/>
  <c r="C17" i="124" s="1"/>
  <c r="C5" i="124" s="1"/>
  <c r="C6" i="124" s="1"/>
  <c r="AC20" i="129"/>
  <c r="C20" i="129"/>
  <c r="C17" i="129" s="1"/>
  <c r="C5" i="129" s="1"/>
  <c r="C6" i="129" s="1"/>
  <c r="AA17" i="129"/>
  <c r="AA5" i="129" s="1"/>
  <c r="AA6" i="129" s="1"/>
  <c r="N6" i="124"/>
  <c r="AO27" i="124"/>
  <c r="AO5" i="124" s="1"/>
  <c r="AO6" i="124" s="1"/>
  <c r="E30" i="124"/>
  <c r="CX12" i="75"/>
  <c r="CP12" i="75"/>
  <c r="CH12" i="75"/>
  <c r="BZ12" i="75"/>
  <c r="BR12" i="75"/>
  <c r="BJ12" i="75"/>
  <c r="AT12" i="75"/>
  <c r="AL12" i="75"/>
  <c r="AD12" i="75"/>
  <c r="V12" i="75"/>
  <c r="N12" i="75"/>
  <c r="AK15" i="75"/>
  <c r="W5" i="129" l="1"/>
  <c r="R5" i="129"/>
  <c r="R6" i="129" s="1"/>
  <c r="E26" i="129"/>
  <c r="H24" i="129"/>
  <c r="E26" i="124"/>
  <c r="H24" i="124"/>
  <c r="L5" i="129"/>
  <c r="L6" i="129" s="1"/>
  <c r="T5" i="129"/>
  <c r="K5" i="129"/>
  <c r="N6" i="129"/>
  <c r="F5" i="129"/>
  <c r="F6" i="129" s="1"/>
  <c r="E30" i="129"/>
  <c r="H27" i="129"/>
  <c r="U5" i="124"/>
  <c r="U6" i="124" s="1"/>
  <c r="E23" i="129"/>
  <c r="H21" i="129"/>
  <c r="Q5" i="129"/>
  <c r="E23" i="124"/>
  <c r="H21" i="124"/>
  <c r="H5" i="124" s="1"/>
  <c r="H6" i="124" s="1"/>
  <c r="Z5" i="129"/>
  <c r="W5" i="124"/>
  <c r="W6" i="124" s="1"/>
  <c r="U5" i="129"/>
  <c r="U6" i="129" s="1"/>
  <c r="AO51" i="129"/>
  <c r="AO6" i="129"/>
  <c r="AL6" i="129"/>
  <c r="AL51" i="129"/>
  <c r="AI6" i="129"/>
  <c r="AI51" i="129"/>
  <c r="AF51" i="129"/>
  <c r="AF6" i="129"/>
  <c r="E20" i="124"/>
  <c r="E17" i="124" s="1"/>
  <c r="AC17" i="124"/>
  <c r="AC5" i="124" s="1"/>
  <c r="AC6" i="124" s="1"/>
  <c r="E20" i="129"/>
  <c r="E17" i="129" s="1"/>
  <c r="AC17" i="129"/>
  <c r="AC5" i="129" s="1"/>
  <c r="D30" i="124"/>
  <c r="E27" i="124"/>
  <c r="N33" i="2"/>
  <c r="J30" i="78"/>
  <c r="J29" i="78"/>
  <c r="T6" i="129" l="1"/>
  <c r="T51" i="129"/>
  <c r="Z51" i="129"/>
  <c r="Z6" i="129"/>
  <c r="D30" i="129"/>
  <c r="E27" i="129"/>
  <c r="D26" i="124"/>
  <c r="E24" i="124"/>
  <c r="C107" i="132"/>
  <c r="C107" i="96"/>
  <c r="D23" i="124"/>
  <c r="E21" i="124"/>
  <c r="N51" i="129"/>
  <c r="Q51" i="129"/>
  <c r="Q6" i="129"/>
  <c r="D26" i="129"/>
  <c r="E24" i="129"/>
  <c r="H5" i="129"/>
  <c r="D23" i="129"/>
  <c r="E21" i="129"/>
  <c r="E5" i="129" s="1"/>
  <c r="K51" i="129"/>
  <c r="K6" i="129"/>
  <c r="W51" i="129"/>
  <c r="W6" i="129"/>
  <c r="E5" i="124"/>
  <c r="E6" i="124" s="1"/>
  <c r="AC6" i="129"/>
  <c r="AC51" i="129"/>
  <c r="C42" i="75"/>
  <c r="N17" i="75"/>
  <c r="N19" i="75"/>
  <c r="G28" i="77"/>
  <c r="G29" i="77"/>
  <c r="G27" i="77"/>
  <c r="E6" i="129" l="1"/>
  <c r="E51" i="129"/>
  <c r="H51" i="129"/>
  <c r="H6" i="129"/>
  <c r="G25" i="77"/>
  <c r="D20" i="77"/>
  <c r="BB22" i="75"/>
  <c r="ET12" i="74" l="1"/>
  <c r="Q25" i="74"/>
  <c r="R23" i="74"/>
  <c r="H48" i="63" l="1"/>
  <c r="H47" i="63"/>
  <c r="H46" i="63"/>
  <c r="H45" i="63"/>
  <c r="AN6" i="63"/>
  <c r="AK6" i="63"/>
  <c r="AH6" i="63"/>
  <c r="AE6" i="63"/>
  <c r="AB6" i="63"/>
  <c r="Y6" i="63"/>
  <c r="V6" i="63"/>
  <c r="S6" i="63"/>
  <c r="P6" i="63"/>
  <c r="M6" i="63"/>
  <c r="J6" i="63"/>
  <c r="G6" i="63"/>
  <c r="D6" i="63"/>
  <c r="D7" i="75" l="1"/>
  <c r="CS15" i="75"/>
  <c r="CR15" i="75"/>
  <c r="CM15" i="75"/>
  <c r="M15" i="75"/>
  <c r="G15" i="75"/>
  <c r="C15" i="75"/>
  <c r="CX21" i="75"/>
  <c r="DB21" i="75" s="1"/>
  <c r="CW21" i="75"/>
  <c r="CP21" i="75"/>
  <c r="CR21" i="75" s="1"/>
  <c r="AJ41" i="129" s="1"/>
  <c r="AL41" i="129" s="1"/>
  <c r="CO21" i="75"/>
  <c r="CH21" i="75"/>
  <c r="CK21" i="75" s="1"/>
  <c r="CG21" i="75"/>
  <c r="BZ21" i="75"/>
  <c r="CD21" i="75" s="1"/>
  <c r="BY21" i="75"/>
  <c r="BR21" i="75"/>
  <c r="BV21" i="75" s="1"/>
  <c r="BQ21" i="75"/>
  <c r="BJ21" i="75"/>
  <c r="BL21" i="75" s="1"/>
  <c r="X41" i="129" s="1"/>
  <c r="Z41" i="129" s="1"/>
  <c r="BI21" i="75"/>
  <c r="BB21" i="75"/>
  <c r="BE21" i="75" s="1"/>
  <c r="BA21" i="75"/>
  <c r="AT21" i="75"/>
  <c r="AX21" i="75" s="1"/>
  <c r="AS21" i="75"/>
  <c r="AP21" i="75"/>
  <c r="AL21" i="75"/>
  <c r="AN21" i="75" s="1"/>
  <c r="O41" i="129" s="1"/>
  <c r="Q41" i="129" s="1"/>
  <c r="AK21" i="75"/>
  <c r="AD21" i="75"/>
  <c r="AF21" i="75" s="1"/>
  <c r="L41" i="129" s="1"/>
  <c r="N41" i="129" s="1"/>
  <c r="AC21" i="75"/>
  <c r="V21" i="75"/>
  <c r="Y21" i="75" s="1"/>
  <c r="U21" i="75"/>
  <c r="N21" i="75"/>
  <c r="M21" i="75"/>
  <c r="G21" i="75"/>
  <c r="C21" i="75"/>
  <c r="CZ22" i="75"/>
  <c r="AM42" i="129" s="1"/>
  <c r="AO42" i="129" s="1"/>
  <c r="CW22" i="75"/>
  <c r="CP22" i="75"/>
  <c r="CR22" i="75" s="1"/>
  <c r="AJ42" i="129" s="1"/>
  <c r="AL42" i="129" s="1"/>
  <c r="CO22" i="75"/>
  <c r="CJ22" i="75"/>
  <c r="AG42" i="129" s="1"/>
  <c r="AI42" i="129" s="1"/>
  <c r="CG22" i="75"/>
  <c r="CB22" i="75"/>
  <c r="AD42" i="129" s="1"/>
  <c r="AF42" i="129" s="1"/>
  <c r="BY22" i="75"/>
  <c r="BT22" i="75"/>
  <c r="AA42" i="129" s="1"/>
  <c r="AC42" i="129" s="1"/>
  <c r="BQ22" i="75"/>
  <c r="BL22" i="75"/>
  <c r="X42" i="129" s="1"/>
  <c r="Z42" i="129" s="1"/>
  <c r="BI22" i="75"/>
  <c r="BD22" i="75"/>
  <c r="U42" i="129" s="1"/>
  <c r="W42" i="129" s="1"/>
  <c r="BA22" i="75"/>
  <c r="AV22" i="75"/>
  <c r="R42" i="129" s="1"/>
  <c r="T42" i="129" s="1"/>
  <c r="AS22" i="75"/>
  <c r="AN22" i="75"/>
  <c r="O42" i="129" s="1"/>
  <c r="Q42" i="129" s="1"/>
  <c r="AK22" i="75"/>
  <c r="AF22" i="75"/>
  <c r="L42" i="129" s="1"/>
  <c r="N42" i="129" s="1"/>
  <c r="AC22" i="75"/>
  <c r="V22" i="75"/>
  <c r="F22" i="75" s="1"/>
  <c r="S22" i="75"/>
  <c r="U22" i="75" s="1"/>
  <c r="P22" i="75"/>
  <c r="F42" i="129" s="1"/>
  <c r="M22" i="75"/>
  <c r="CZ23" i="75"/>
  <c r="AM43" i="129" s="1"/>
  <c r="AO43" i="129" s="1"/>
  <c r="CW23" i="75"/>
  <c r="CR23" i="75"/>
  <c r="AJ43" i="129" s="1"/>
  <c r="AL43" i="129" s="1"/>
  <c r="CO23" i="75"/>
  <c r="CJ23" i="75"/>
  <c r="AG43" i="129" s="1"/>
  <c r="AI43" i="129" s="1"/>
  <c r="CG23" i="75"/>
  <c r="CB23" i="75"/>
  <c r="AD43" i="129" s="1"/>
  <c r="AF43" i="129" s="1"/>
  <c r="BY23" i="75"/>
  <c r="BT23" i="75"/>
  <c r="AA43" i="129" s="1"/>
  <c r="AC43" i="129" s="1"/>
  <c r="BQ23" i="75"/>
  <c r="BL23" i="75"/>
  <c r="X43" i="129" s="1"/>
  <c r="Z43" i="129" s="1"/>
  <c r="BI23" i="75"/>
  <c r="BD23" i="75"/>
  <c r="U43" i="129" s="1"/>
  <c r="W43" i="129" s="1"/>
  <c r="BA23" i="75"/>
  <c r="AV23" i="75"/>
  <c r="R43" i="129" s="1"/>
  <c r="T43" i="129" s="1"/>
  <c r="AS23" i="75"/>
  <c r="AN23" i="75"/>
  <c r="O43" i="129" s="1"/>
  <c r="Q43" i="129" s="1"/>
  <c r="AK23" i="75"/>
  <c r="AF23" i="75"/>
  <c r="L43" i="129" s="1"/>
  <c r="N43" i="129" s="1"/>
  <c r="AC23" i="75"/>
  <c r="X23" i="75"/>
  <c r="I43" i="129" s="1"/>
  <c r="K43" i="129" s="1"/>
  <c r="U23" i="75"/>
  <c r="P23" i="75"/>
  <c r="F43" i="129" s="1"/>
  <c r="M23" i="75"/>
  <c r="F23" i="75"/>
  <c r="C23" i="75"/>
  <c r="CM16" i="75"/>
  <c r="AY12" i="75"/>
  <c r="BB12" i="75" s="1"/>
  <c r="K11" i="75"/>
  <c r="C43" i="129" l="1"/>
  <c r="H43" i="129"/>
  <c r="E43" i="129" s="1"/>
  <c r="H42" i="129"/>
  <c r="AJ36" i="124"/>
  <c r="AL36" i="124" s="1"/>
  <c r="AH21" i="75"/>
  <c r="O43" i="63"/>
  <c r="O44" i="124"/>
  <c r="Q44" i="124" s="1"/>
  <c r="AA43" i="63"/>
  <c r="AA44" i="124"/>
  <c r="AC44" i="124" s="1"/>
  <c r="AM43" i="63"/>
  <c r="AM44" i="124"/>
  <c r="AO44" i="124" s="1"/>
  <c r="E23" i="75"/>
  <c r="AM42" i="63"/>
  <c r="AM43" i="124"/>
  <c r="AO43" i="124" s="1"/>
  <c r="R21" i="75"/>
  <c r="L42" i="124"/>
  <c r="N42" i="124" s="1"/>
  <c r="L41" i="63"/>
  <c r="AO21" i="75"/>
  <c r="L43" i="63"/>
  <c r="L44" i="124"/>
  <c r="N44" i="124" s="1"/>
  <c r="R43" i="63"/>
  <c r="R44" i="124"/>
  <c r="T44" i="124" s="1"/>
  <c r="X43" i="63"/>
  <c r="X44" i="124"/>
  <c r="Z44" i="124" s="1"/>
  <c r="AD43" i="63"/>
  <c r="AD44" i="124"/>
  <c r="AF44" i="124" s="1"/>
  <c r="AJ43" i="63"/>
  <c r="AJ44" i="124"/>
  <c r="AL44" i="124" s="1"/>
  <c r="F42" i="63"/>
  <c r="F43" i="124"/>
  <c r="H43" i="124" s="1"/>
  <c r="L42" i="63"/>
  <c r="L43" i="124"/>
  <c r="N43" i="124" s="1"/>
  <c r="R42" i="63"/>
  <c r="R43" i="124"/>
  <c r="T43" i="124" s="1"/>
  <c r="X42" i="63"/>
  <c r="X43" i="124"/>
  <c r="Z43" i="124" s="1"/>
  <c r="AD42" i="63"/>
  <c r="AD43" i="124"/>
  <c r="AF43" i="124" s="1"/>
  <c r="F43" i="63"/>
  <c r="F44" i="124"/>
  <c r="AJ42" i="63"/>
  <c r="AJ43" i="124"/>
  <c r="AL43" i="124" s="1"/>
  <c r="I43" i="63"/>
  <c r="I44" i="124"/>
  <c r="K44" i="124" s="1"/>
  <c r="U43" i="63"/>
  <c r="U44" i="124"/>
  <c r="W44" i="124" s="1"/>
  <c r="AG43" i="63"/>
  <c r="AG44" i="124"/>
  <c r="AI44" i="124" s="1"/>
  <c r="O42" i="63"/>
  <c r="O43" i="124"/>
  <c r="Q43" i="124" s="1"/>
  <c r="U42" i="63"/>
  <c r="U43" i="124"/>
  <c r="W43" i="124" s="1"/>
  <c r="AA42" i="63"/>
  <c r="AA43" i="124"/>
  <c r="AC43" i="124" s="1"/>
  <c r="O42" i="124"/>
  <c r="Q42" i="124" s="1"/>
  <c r="O41" i="63"/>
  <c r="X42" i="124"/>
  <c r="Z42" i="124" s="1"/>
  <c r="X41" i="63"/>
  <c r="AJ42" i="124"/>
  <c r="AL42" i="124" s="1"/>
  <c r="AJ41" i="63"/>
  <c r="AG42" i="63"/>
  <c r="AG43" i="124"/>
  <c r="C22" i="75"/>
  <c r="CS21" i="75"/>
  <c r="CZ21" i="75"/>
  <c r="AM41" i="129" s="1"/>
  <c r="AO41" i="129" s="1"/>
  <c r="CL21" i="75"/>
  <c r="CT21" i="75"/>
  <c r="DA21" i="75"/>
  <c r="AG21" i="75"/>
  <c r="H23" i="75"/>
  <c r="BM21" i="75"/>
  <c r="BT21" i="75"/>
  <c r="AA41" i="129" s="1"/>
  <c r="AC41" i="129" s="1"/>
  <c r="E21" i="75"/>
  <c r="BF21" i="75"/>
  <c r="BN21" i="75"/>
  <c r="BU21" i="75"/>
  <c r="Z21" i="75"/>
  <c r="P21" i="75"/>
  <c r="F41" i="129" s="1"/>
  <c r="AV21" i="75"/>
  <c r="R41" i="129" s="1"/>
  <c r="T41" i="129" s="1"/>
  <c r="CB21" i="75"/>
  <c r="AD41" i="129" s="1"/>
  <c r="AF41" i="129" s="1"/>
  <c r="F21" i="75"/>
  <c r="Q21" i="75"/>
  <c r="X21" i="75"/>
  <c r="I41" i="129" s="1"/>
  <c r="K41" i="129" s="1"/>
  <c r="AW21" i="75"/>
  <c r="BD21" i="75"/>
  <c r="U41" i="129" s="1"/>
  <c r="W41" i="129" s="1"/>
  <c r="CC21" i="75"/>
  <c r="CJ21" i="75"/>
  <c r="AG41" i="129" s="1"/>
  <c r="AI41" i="129" s="1"/>
  <c r="E22" i="75"/>
  <c r="X22" i="75"/>
  <c r="H41" i="129" l="1"/>
  <c r="E41" i="129" s="1"/>
  <c r="C41" i="129"/>
  <c r="I43" i="124"/>
  <c r="K43" i="124" s="1"/>
  <c r="I42" i="129"/>
  <c r="AG42" i="124"/>
  <c r="AI42" i="124" s="1"/>
  <c r="AG41" i="63"/>
  <c r="I42" i="124"/>
  <c r="K42" i="124" s="1"/>
  <c r="I41" i="63"/>
  <c r="R42" i="124"/>
  <c r="T42" i="124" s="1"/>
  <c r="R41" i="63"/>
  <c r="H44" i="124"/>
  <c r="E44" i="124" s="1"/>
  <c r="C44" i="124"/>
  <c r="F42" i="124"/>
  <c r="F41" i="63"/>
  <c r="U42" i="124"/>
  <c r="W42" i="124" s="1"/>
  <c r="U41" i="63"/>
  <c r="AM42" i="124"/>
  <c r="AO42" i="124" s="1"/>
  <c r="AM41" i="63"/>
  <c r="AD42" i="124"/>
  <c r="AF42" i="124" s="1"/>
  <c r="AD41" i="63"/>
  <c r="AA42" i="124"/>
  <c r="AC42" i="124" s="1"/>
  <c r="AA41" i="63"/>
  <c r="AI43" i="124"/>
  <c r="E43" i="124" s="1"/>
  <c r="C43" i="124"/>
  <c r="H22" i="75"/>
  <c r="I42" i="63"/>
  <c r="H21" i="75"/>
  <c r="J21" i="75"/>
  <c r="I21" i="75"/>
  <c r="K42" i="129" l="1"/>
  <c r="E42" i="129" s="1"/>
  <c r="C42" i="129"/>
  <c r="C42" i="124"/>
  <c r="H42" i="124"/>
  <c r="E42" i="124" s="1"/>
  <c r="H15" i="102"/>
  <c r="ER35" i="74" l="1"/>
  <c r="ER34" i="74"/>
  <c r="ER31" i="74"/>
  <c r="EQ31" i="74"/>
  <c r="ER30" i="74"/>
  <c r="ER28" i="74"/>
  <c r="EQ28" i="74"/>
  <c r="ER27" i="74"/>
  <c r="ER25" i="74" s="1"/>
  <c r="EQ25" i="74"/>
  <c r="EQ24" i="74"/>
  <c r="ER24" i="74" s="1"/>
  <c r="ER23" i="74"/>
  <c r="ER20" i="74"/>
  <c r="EQ20" i="74"/>
  <c r="ER19" i="74"/>
  <c r="ER18" i="74"/>
  <c r="ER17" i="74"/>
  <c r="ER15" i="74"/>
  <c r="ER12" i="74"/>
  <c r="ER11" i="74"/>
  <c r="EQ10" i="74"/>
  <c r="EQ8" i="74"/>
  <c r="EQ9" i="74" s="1"/>
  <c r="EF35" i="74"/>
  <c r="EF34" i="74"/>
  <c r="EF31" i="74"/>
  <c r="EE31" i="74"/>
  <c r="EF30" i="74"/>
  <c r="EF28" i="74"/>
  <c r="EE28" i="74"/>
  <c r="EF27" i="74"/>
  <c r="EF25" i="74" s="1"/>
  <c r="EE25" i="74"/>
  <c r="EE24" i="74"/>
  <c r="EF24" i="74" s="1"/>
  <c r="EF23" i="74"/>
  <c r="EF20" i="74"/>
  <c r="EE20" i="74"/>
  <c r="EF19" i="74"/>
  <c r="EF18" i="74"/>
  <c r="EF17" i="74"/>
  <c r="EF15" i="74"/>
  <c r="EF12" i="74"/>
  <c r="EF11" i="74"/>
  <c r="EE10" i="74"/>
  <c r="EE8" i="74"/>
  <c r="EE9" i="74" s="1"/>
  <c r="DT35" i="74"/>
  <c r="DT34" i="74"/>
  <c r="DT31" i="74" s="1"/>
  <c r="DS31" i="74"/>
  <c r="DT30" i="74"/>
  <c r="DT28" i="74"/>
  <c r="DS28" i="74"/>
  <c r="DT27" i="74"/>
  <c r="DT25" i="74"/>
  <c r="DS25" i="74"/>
  <c r="DS24" i="74"/>
  <c r="DT24" i="74" s="1"/>
  <c r="DT23" i="74"/>
  <c r="DT20" i="74" s="1"/>
  <c r="DS20" i="74"/>
  <c r="DT19" i="74"/>
  <c r="DT18" i="74"/>
  <c r="DT17" i="74"/>
  <c r="DT15" i="74"/>
  <c r="DT10" i="74" s="1"/>
  <c r="DT12" i="74"/>
  <c r="DT11" i="74"/>
  <c r="DS10" i="74"/>
  <c r="DS8" i="74"/>
  <c r="DS9" i="74" s="1"/>
  <c r="DH35" i="74"/>
  <c r="DH34" i="74"/>
  <c r="DH31" i="74" s="1"/>
  <c r="DG33" i="74"/>
  <c r="DG31" i="74" s="1"/>
  <c r="DH30" i="74"/>
  <c r="DH28" i="74" s="1"/>
  <c r="DG28" i="74"/>
  <c r="DH27" i="74"/>
  <c r="DH25" i="74"/>
  <c r="DG25" i="74"/>
  <c r="DG24" i="74"/>
  <c r="DH24" i="74" s="1"/>
  <c r="DH23" i="74"/>
  <c r="DH20" i="74" s="1"/>
  <c r="DG20" i="74"/>
  <c r="DH19" i="74"/>
  <c r="DH18" i="74"/>
  <c r="DH17" i="74"/>
  <c r="DH15" i="74"/>
  <c r="DH12" i="74"/>
  <c r="DH11" i="74"/>
  <c r="DH10" i="74" s="1"/>
  <c r="DG10" i="74"/>
  <c r="CV35" i="74"/>
  <c r="CV34" i="74"/>
  <c r="CV31" i="74"/>
  <c r="CU31" i="74"/>
  <c r="CV30" i="74"/>
  <c r="CV28" i="74" s="1"/>
  <c r="CU28" i="74"/>
  <c r="CV27" i="74"/>
  <c r="CV25" i="74" s="1"/>
  <c r="CU25" i="74"/>
  <c r="CU24" i="74"/>
  <c r="CV24" i="74" s="1"/>
  <c r="CV23" i="74"/>
  <c r="CV20" i="74" s="1"/>
  <c r="CU20" i="74"/>
  <c r="CV19" i="74"/>
  <c r="CV18" i="74"/>
  <c r="CV17" i="74"/>
  <c r="CV15" i="74"/>
  <c r="CV12" i="74"/>
  <c r="CV11" i="74"/>
  <c r="CV10" i="74" s="1"/>
  <c r="CU10" i="74"/>
  <c r="CU8" i="74"/>
  <c r="CU9" i="74" s="1"/>
  <c r="CJ35" i="74"/>
  <c r="CJ34" i="74"/>
  <c r="CJ31" i="74" s="1"/>
  <c r="CI31" i="74"/>
  <c r="CJ30" i="74"/>
  <c r="CJ28" i="74"/>
  <c r="CI28" i="74"/>
  <c r="CJ27" i="74"/>
  <c r="CJ25" i="74" s="1"/>
  <c r="CI25" i="74"/>
  <c r="CI24" i="74"/>
  <c r="CJ24" i="74" s="1"/>
  <c r="CJ23" i="74"/>
  <c r="CJ20" i="74"/>
  <c r="CI20" i="74"/>
  <c r="CJ19" i="74"/>
  <c r="CJ18" i="74"/>
  <c r="CJ17" i="74"/>
  <c r="CJ15" i="74"/>
  <c r="CJ10" i="74" s="1"/>
  <c r="CJ12" i="74"/>
  <c r="CJ11" i="74"/>
  <c r="CI10" i="74"/>
  <c r="CI8" i="74"/>
  <c r="CI9" i="74" s="1"/>
  <c r="BX35" i="74"/>
  <c r="BX34" i="74"/>
  <c r="BX31" i="74" s="1"/>
  <c r="BW31" i="74"/>
  <c r="BX30" i="74"/>
  <c r="BX28" i="74"/>
  <c r="BW28" i="74"/>
  <c r="BX27" i="74"/>
  <c r="BX25" i="74"/>
  <c r="BW25" i="74"/>
  <c r="BW8" i="74" s="1"/>
  <c r="BW9" i="74" s="1"/>
  <c r="BW24" i="74"/>
  <c r="BX24" i="74" s="1"/>
  <c r="BX23" i="74"/>
  <c r="BX20" i="74" s="1"/>
  <c r="BW20" i="74"/>
  <c r="BX19" i="74"/>
  <c r="BX18" i="74"/>
  <c r="BX17" i="74"/>
  <c r="BX15" i="74"/>
  <c r="BX10" i="74" s="1"/>
  <c r="BX12" i="74"/>
  <c r="BX11" i="74"/>
  <c r="BW10" i="74"/>
  <c r="BL35" i="74"/>
  <c r="BL34" i="74"/>
  <c r="BL31" i="74"/>
  <c r="BK31" i="74"/>
  <c r="BL30" i="74"/>
  <c r="BL28" i="74"/>
  <c r="BK28" i="74"/>
  <c r="BL27" i="74"/>
  <c r="BL25" i="74" s="1"/>
  <c r="BK25" i="74"/>
  <c r="BL24" i="74"/>
  <c r="BK24" i="74"/>
  <c r="BL23" i="74"/>
  <c r="BL20" i="74" s="1"/>
  <c r="BK20" i="74"/>
  <c r="BL19" i="74"/>
  <c r="BL18" i="74"/>
  <c r="BL17" i="74"/>
  <c r="BL15" i="74"/>
  <c r="BL12" i="74"/>
  <c r="BL11" i="74"/>
  <c r="BK10" i="74"/>
  <c r="BK8" i="74"/>
  <c r="BK9" i="74" s="1"/>
  <c r="AZ35" i="74"/>
  <c r="AZ34" i="74"/>
  <c r="AZ31" i="74" s="1"/>
  <c r="AY31" i="74"/>
  <c r="AZ30" i="74"/>
  <c r="AZ28" i="74" s="1"/>
  <c r="AY28" i="74"/>
  <c r="AZ27" i="74"/>
  <c r="AZ25" i="74" s="1"/>
  <c r="AY25" i="74"/>
  <c r="AY24" i="74"/>
  <c r="AZ24" i="74" s="1"/>
  <c r="AZ23" i="74"/>
  <c r="AZ20" i="74" s="1"/>
  <c r="AY20" i="74"/>
  <c r="AZ19" i="74"/>
  <c r="AZ18" i="74"/>
  <c r="AZ17" i="74"/>
  <c r="AZ15" i="74"/>
  <c r="AZ12" i="74"/>
  <c r="AZ11" i="74"/>
  <c r="AY10" i="74"/>
  <c r="AN35" i="74"/>
  <c r="AN34" i="74"/>
  <c r="AN31" i="74" s="1"/>
  <c r="AM31" i="74"/>
  <c r="AN30" i="74"/>
  <c r="AN28" i="74"/>
  <c r="AM28" i="74"/>
  <c r="AN27" i="74"/>
  <c r="AN25" i="74" s="1"/>
  <c r="AM25" i="74"/>
  <c r="AM8" i="74" s="1"/>
  <c r="AM9" i="74" s="1"/>
  <c r="AM24" i="74"/>
  <c r="AN24" i="74" s="1"/>
  <c r="AN23" i="74"/>
  <c r="AN20" i="74" s="1"/>
  <c r="AM20" i="74"/>
  <c r="AN19" i="74"/>
  <c r="AN18" i="74"/>
  <c r="AN17" i="74"/>
  <c r="AN15" i="74"/>
  <c r="AN12" i="74"/>
  <c r="AN11" i="74"/>
  <c r="AM10" i="74"/>
  <c r="AB35" i="74"/>
  <c r="AB34" i="74"/>
  <c r="AB31" i="74" s="1"/>
  <c r="AA31" i="74"/>
  <c r="AB30" i="74"/>
  <c r="AB28" i="74"/>
  <c r="AA28" i="74"/>
  <c r="AB27" i="74"/>
  <c r="AB25" i="74" s="1"/>
  <c r="AA25" i="74"/>
  <c r="AB24" i="74"/>
  <c r="AB23" i="74"/>
  <c r="AB20" i="74" s="1"/>
  <c r="AA20" i="74"/>
  <c r="AB19" i="74"/>
  <c r="AB18" i="74"/>
  <c r="AB17" i="74"/>
  <c r="AB15" i="74"/>
  <c r="AB12" i="74"/>
  <c r="AA11" i="74"/>
  <c r="AA10" i="74" s="1"/>
  <c r="P35" i="74"/>
  <c r="P34" i="74"/>
  <c r="P31" i="74" s="1"/>
  <c r="O31" i="74"/>
  <c r="P30" i="74"/>
  <c r="P28" i="74" s="1"/>
  <c r="O28" i="74"/>
  <c r="P27" i="74"/>
  <c r="P25" i="74" s="1"/>
  <c r="O25" i="74"/>
  <c r="O24" i="74"/>
  <c r="P24" i="74" s="1"/>
  <c r="P23" i="74"/>
  <c r="P20" i="74"/>
  <c r="O20" i="74"/>
  <c r="P19" i="74"/>
  <c r="P18" i="74"/>
  <c r="P17" i="74"/>
  <c r="P15" i="74"/>
  <c r="P12" i="74"/>
  <c r="P11" i="74"/>
  <c r="P10" i="74"/>
  <c r="O10" i="74"/>
  <c r="O8" i="74" s="1"/>
  <c r="O9" i="74" s="1"/>
  <c r="EU33" i="74"/>
  <c r="EU29" i="74"/>
  <c r="EU26" i="74"/>
  <c r="EU27" i="74" s="1"/>
  <c r="EU22" i="74"/>
  <c r="EU20" i="74"/>
  <c r="EI33" i="74"/>
  <c r="EI34" i="74" s="1"/>
  <c r="EI29" i="74"/>
  <c r="EI30" i="74" s="1"/>
  <c r="EI22" i="74"/>
  <c r="DW35" i="74"/>
  <c r="DW33" i="74"/>
  <c r="DW34" i="74" s="1"/>
  <c r="DW29" i="74"/>
  <c r="DW30" i="74" s="1"/>
  <c r="DW25" i="74"/>
  <c r="DW22" i="74"/>
  <c r="DW10" i="74"/>
  <c r="DK33" i="74"/>
  <c r="DK32" i="74" s="1"/>
  <c r="DK29" i="74"/>
  <c r="DK30" i="74" s="1"/>
  <c r="DK26" i="74"/>
  <c r="DK27" i="74" s="1"/>
  <c r="DK25" i="74"/>
  <c r="DK22" i="74"/>
  <c r="CY33" i="74"/>
  <c r="CY34" i="74" s="1"/>
  <c r="CY29" i="74"/>
  <c r="CY25" i="74"/>
  <c r="CY26" i="74"/>
  <c r="CY27" i="74" s="1"/>
  <c r="CY22" i="74"/>
  <c r="CY15" i="74"/>
  <c r="CM33" i="74"/>
  <c r="CM34" i="74" s="1"/>
  <c r="CM29" i="74"/>
  <c r="CM25" i="74"/>
  <c r="CM26" i="74"/>
  <c r="CM27" i="74" s="1"/>
  <c r="CM22" i="74"/>
  <c r="CM15" i="74"/>
  <c r="CA34" i="74"/>
  <c r="CA29" i="74"/>
  <c r="CA26" i="74"/>
  <c r="CA27" i="74" s="1"/>
  <c r="CA22" i="74"/>
  <c r="CA15" i="74"/>
  <c r="CA10" i="74"/>
  <c r="BO31" i="74"/>
  <c r="BO29" i="74"/>
  <c r="BO26" i="74"/>
  <c r="BO27" i="74" s="1"/>
  <c r="BO25" i="74"/>
  <c r="BO20" i="74"/>
  <c r="BO10" i="74"/>
  <c r="BC35" i="74"/>
  <c r="BC33" i="74"/>
  <c r="BC32" i="74" s="1"/>
  <c r="BC29" i="74"/>
  <c r="BC25" i="74"/>
  <c r="BC22" i="74"/>
  <c r="AQ35" i="74"/>
  <c r="AQ33" i="74"/>
  <c r="AQ32" i="74"/>
  <c r="AQ29" i="74"/>
  <c r="AQ26" i="74"/>
  <c r="AQ27" i="74" s="1"/>
  <c r="AQ22" i="74"/>
  <c r="AQ21" i="74"/>
  <c r="AQ15" i="74"/>
  <c r="AE33" i="74"/>
  <c r="AE29" i="74"/>
  <c r="AE30" i="74" s="1"/>
  <c r="AE26" i="74"/>
  <c r="AE27" i="74" s="1"/>
  <c r="AE25" i="74"/>
  <c r="AE22" i="74"/>
  <c r="S33" i="74"/>
  <c r="S32" i="74" s="1"/>
  <c r="S29" i="74"/>
  <c r="S30" i="74" s="1"/>
  <c r="S26" i="74"/>
  <c r="S27" i="74" s="1"/>
  <c r="S22" i="74"/>
  <c r="S13" i="74"/>
  <c r="AI9" i="126" l="1"/>
  <c r="AI9" i="75"/>
  <c r="K9" i="126"/>
  <c r="K9" i="75"/>
  <c r="BW9" i="126"/>
  <c r="BW9" i="75"/>
  <c r="CA25" i="74"/>
  <c r="CM28" i="74"/>
  <c r="CM30" i="74"/>
  <c r="AN10" i="74"/>
  <c r="AY8" i="74"/>
  <c r="AY9" i="74" s="1"/>
  <c r="BO9" i="126"/>
  <c r="BO9" i="75"/>
  <c r="CU9" i="126"/>
  <c r="CU9" i="75"/>
  <c r="CA28" i="74"/>
  <c r="CA30" i="74"/>
  <c r="S9" i="126"/>
  <c r="S9" i="75"/>
  <c r="BL10" i="74"/>
  <c r="CM9" i="126"/>
  <c r="CM9" i="75"/>
  <c r="BO28" i="74"/>
  <c r="BO30" i="74"/>
  <c r="EU25" i="74"/>
  <c r="BG9" i="126"/>
  <c r="BG9" i="75"/>
  <c r="CE9" i="126"/>
  <c r="CE9" i="75"/>
  <c r="AQ25" i="74"/>
  <c r="BC28" i="74"/>
  <c r="BC30" i="74"/>
  <c r="AA9" i="126"/>
  <c r="AA9" i="75"/>
  <c r="AZ10" i="74"/>
  <c r="AY9" i="126"/>
  <c r="AY9" i="75"/>
  <c r="ER10" i="74"/>
  <c r="ER8" i="74" s="1"/>
  <c r="ER9" i="74" s="1"/>
  <c r="EU28" i="74"/>
  <c r="EU30" i="74"/>
  <c r="AA8" i="74"/>
  <c r="AA9" i="74" s="1"/>
  <c r="EF10" i="74"/>
  <c r="EF8" i="74" s="1"/>
  <c r="AQ28" i="74"/>
  <c r="AQ30" i="74"/>
  <c r="CY30" i="74"/>
  <c r="CY28" i="74" s="1"/>
  <c r="EI28" i="74"/>
  <c r="AQ9" i="126"/>
  <c r="AQ9" i="75"/>
  <c r="CJ8" i="74"/>
  <c r="BG8" i="126" s="1"/>
  <c r="BG7" i="126" s="1"/>
  <c r="BL8" i="74"/>
  <c r="AZ8" i="74"/>
  <c r="CU8" i="126"/>
  <c r="P8" i="74"/>
  <c r="CJ9" i="74"/>
  <c r="DG8" i="74"/>
  <c r="DG9" i="74" s="1"/>
  <c r="EF9" i="74"/>
  <c r="CM8" i="126"/>
  <c r="CM7" i="126" s="1"/>
  <c r="BX8" i="74"/>
  <c r="DT8" i="74"/>
  <c r="DK20" i="74"/>
  <c r="CY20" i="74"/>
  <c r="AQ34" i="74"/>
  <c r="EU31" i="74"/>
  <c r="EU10" i="74"/>
  <c r="EI31" i="74"/>
  <c r="EI20" i="74"/>
  <c r="EI10" i="74"/>
  <c r="DW31" i="74"/>
  <c r="DW28" i="74"/>
  <c r="DW20" i="74"/>
  <c r="DK31" i="74"/>
  <c r="DK28" i="74"/>
  <c r="DK10" i="74"/>
  <c r="CY31" i="74"/>
  <c r="CY10" i="74"/>
  <c r="CM31" i="74"/>
  <c r="CM20" i="74"/>
  <c r="CM10" i="74"/>
  <c r="CA31" i="74"/>
  <c r="CA20" i="74"/>
  <c r="BC31" i="74"/>
  <c r="BC20" i="74"/>
  <c r="BC10" i="74"/>
  <c r="AQ31" i="74"/>
  <c r="AQ20" i="74"/>
  <c r="AQ10" i="74"/>
  <c r="AE31" i="74"/>
  <c r="AE28" i="74"/>
  <c r="AE20" i="74"/>
  <c r="AE10" i="74"/>
  <c r="DH8" i="74"/>
  <c r="CV8" i="74"/>
  <c r="AN8" i="74"/>
  <c r="AB11" i="74"/>
  <c r="AB10" i="74" s="1"/>
  <c r="AB8" i="74" s="1"/>
  <c r="C9" i="75" l="1"/>
  <c r="C9" i="126"/>
  <c r="AB9" i="74"/>
  <c r="S8" i="126"/>
  <c r="DH9" i="74"/>
  <c r="BW8" i="126"/>
  <c r="BW7" i="126" s="1"/>
  <c r="DT9" i="74"/>
  <c r="CE8" i="126"/>
  <c r="CU7" i="126"/>
  <c r="BX9" i="74"/>
  <c r="AY8" i="126"/>
  <c r="AN9" i="74"/>
  <c r="AA8" i="126"/>
  <c r="AA7" i="126" s="1"/>
  <c r="AZ9" i="74"/>
  <c r="AI8" i="126"/>
  <c r="CV9" i="74"/>
  <c r="BO8" i="126"/>
  <c r="P9" i="74"/>
  <c r="K8" i="126"/>
  <c r="BL9" i="74"/>
  <c r="AQ8" i="126"/>
  <c r="AQ7" i="126" s="1"/>
  <c r="BO7" i="126" l="1"/>
  <c r="C8" i="126"/>
  <c r="C7" i="126" s="1"/>
  <c r="K7" i="126"/>
  <c r="AI7" i="126"/>
  <c r="AY7" i="126"/>
  <c r="CE7" i="126"/>
  <c r="S7" i="126"/>
  <c r="H23" i="117"/>
  <c r="C56" i="1" l="1"/>
  <c r="C61" i="1"/>
  <c r="AL56" i="1" l="1"/>
  <c r="AF56" i="1"/>
  <c r="Z56" i="1"/>
  <c r="T56" i="1"/>
  <c r="N56" i="1"/>
  <c r="T43" i="1" l="1"/>
  <c r="J42" i="1"/>
  <c r="Z41" i="1" l="1"/>
  <c r="Z17" i="125"/>
  <c r="Z43" i="1"/>
  <c r="Z19" i="125"/>
  <c r="AA18" i="125"/>
  <c r="X162" i="109"/>
  <c r="Z110" i="125" l="1"/>
  <c r="AF41" i="1"/>
  <c r="AA17" i="125"/>
  <c r="AA110" i="125" s="1"/>
  <c r="AA111" i="125" s="1"/>
  <c r="Z116" i="125"/>
  <c r="AF43" i="1"/>
  <c r="AA19" i="125"/>
  <c r="AA116" i="125" s="1"/>
  <c r="AA117" i="125" s="1"/>
  <c r="AA61" i="125"/>
  <c r="AA88" i="125"/>
  <c r="AC18" i="125"/>
  <c r="AB18" i="125"/>
  <c r="K7" i="120"/>
  <c r="E7" i="120"/>
  <c r="AL41" i="1" l="1"/>
  <c r="AC17" i="125" s="1"/>
  <c r="AC110" i="125" s="1"/>
  <c r="AC111" i="125" s="1"/>
  <c r="AB17" i="125"/>
  <c r="AB110" i="125" s="1"/>
  <c r="AB111" i="125" s="1"/>
  <c r="AL43" i="1"/>
  <c r="AC19" i="125" s="1"/>
  <c r="AC116" i="125" s="1"/>
  <c r="AC117" i="125" s="1"/>
  <c r="AB19" i="125"/>
  <c r="AB116" i="125" s="1"/>
  <c r="AB117" i="125" s="1"/>
  <c r="Z117" i="125"/>
  <c r="Z111" i="125"/>
  <c r="AA89" i="125"/>
  <c r="AB88" i="125"/>
  <c r="AB61" i="125"/>
  <c r="AD18" i="125"/>
  <c r="AC88" i="125"/>
  <c r="AC61" i="125"/>
  <c r="J28" i="2"/>
  <c r="M62" i="1"/>
  <c r="AG49" i="1"/>
  <c r="AA49" i="1"/>
  <c r="U49" i="1"/>
  <c r="AF48" i="1"/>
  <c r="AF45" i="1"/>
  <c r="AF25" i="1"/>
  <c r="AL25" i="1" s="1"/>
  <c r="AF23" i="1"/>
  <c r="AL23" i="1" s="1"/>
  <c r="AF22" i="1"/>
  <c r="AL22" i="1" s="1"/>
  <c r="AD116" i="125" l="1"/>
  <c r="AG116" i="125" s="1"/>
  <c r="AE111" i="125"/>
  <c r="AD111" i="125"/>
  <c r="AD117" i="125"/>
  <c r="AE117" i="125"/>
  <c r="AD19" i="125"/>
  <c r="AG19" i="125" s="1"/>
  <c r="AL45" i="1"/>
  <c r="AC21" i="125" s="1"/>
  <c r="AC119" i="125" s="1"/>
  <c r="AB21" i="125"/>
  <c r="AL48" i="1"/>
  <c r="AC24" i="125" s="1"/>
  <c r="AC125" i="125" s="1"/>
  <c r="AB24" i="125"/>
  <c r="AD110" i="125"/>
  <c r="AG110" i="125" s="1"/>
  <c r="AD17" i="125"/>
  <c r="AG17" i="125" s="1"/>
  <c r="AC89" i="125"/>
  <c r="AB89" i="125"/>
  <c r="AD88" i="125"/>
  <c r="AD61" i="125"/>
  <c r="AG18" i="125"/>
  <c r="AM49" i="1"/>
  <c r="J28" i="110"/>
  <c r="J17" i="110"/>
  <c r="AE89" i="125" l="1"/>
  <c r="AD89" i="125"/>
  <c r="AB125" i="125"/>
  <c r="AD24" i="125"/>
  <c r="AG24" i="125" s="1"/>
  <c r="AB119" i="125"/>
  <c r="AG61" i="125"/>
  <c r="AG88" i="125"/>
  <c r="O10" i="123"/>
  <c r="O161" i="109"/>
  <c r="W158" i="109"/>
  <c r="AB126" i="125" l="1"/>
  <c r="AB120" i="125"/>
  <c r="AC120" i="125"/>
  <c r="AC126" i="125"/>
  <c r="V31" i="107"/>
  <c r="S31" i="107"/>
  <c r="P120" i="109"/>
  <c r="U120" i="109" s="1"/>
  <c r="V120" i="109" s="1"/>
  <c r="W120" i="109" s="1"/>
  <c r="X120" i="109" s="1"/>
  <c r="Y120" i="109" s="1"/>
  <c r="O120" i="109"/>
  <c r="W27" i="108"/>
  <c r="X27" i="108" s="1"/>
  <c r="W26" i="108"/>
  <c r="X26" i="108" s="1"/>
  <c r="W25" i="108"/>
  <c r="X25" i="108" s="1"/>
  <c r="W24" i="108"/>
  <c r="X24" i="108" s="1"/>
  <c r="W23" i="108"/>
  <c r="X23" i="108" s="1"/>
  <c r="W22" i="108"/>
  <c r="X22" i="108" s="1"/>
  <c r="W21" i="108"/>
  <c r="X21" i="108" s="1"/>
  <c r="W20" i="108"/>
  <c r="X20" i="108" s="1"/>
  <c r="W19" i="108"/>
  <c r="X19" i="108" s="1"/>
  <c r="W18" i="108"/>
  <c r="X18" i="108" s="1"/>
  <c r="W17" i="108"/>
  <c r="X17" i="108" s="1"/>
  <c r="W16" i="108"/>
  <c r="X16" i="108" s="1"/>
  <c r="W15" i="108"/>
  <c r="X15" i="108" s="1"/>
  <c r="W14" i="108"/>
  <c r="X14" i="108" s="1"/>
  <c r="W13" i="108"/>
  <c r="X13" i="108" s="1"/>
  <c r="W12" i="108"/>
  <c r="X12" i="108" s="1"/>
  <c r="W11" i="108"/>
  <c r="X11" i="108" s="1"/>
  <c r="W10" i="108"/>
  <c r="X10" i="108" s="1"/>
  <c r="L27" i="119"/>
  <c r="L25" i="119"/>
  <c r="L24" i="119"/>
  <c r="L23" i="119"/>
  <c r="L22" i="119"/>
  <c r="L20" i="119"/>
  <c r="L19" i="119"/>
  <c r="L18" i="119"/>
  <c r="L17" i="119"/>
  <c r="L15" i="119"/>
  <c r="K26" i="108"/>
  <c r="K24" i="108"/>
  <c r="K23" i="108"/>
  <c r="K22" i="108"/>
  <c r="K21" i="108"/>
  <c r="K19" i="108"/>
  <c r="K18" i="108"/>
  <c r="K17" i="108"/>
  <c r="K16" i="108"/>
  <c r="K14" i="108"/>
  <c r="U31" i="109"/>
  <c r="I6" i="120" l="1"/>
  <c r="G5" i="114" s="1"/>
  <c r="J6" i="120"/>
  <c r="H5" i="114" s="1"/>
  <c r="H6" i="114" s="1"/>
  <c r="AA31" i="107"/>
  <c r="AA39" i="107"/>
  <c r="AF158" i="107"/>
  <c r="AF157" i="107"/>
  <c r="AF155" i="107"/>
  <c r="AF154" i="107"/>
  <c r="AF150" i="107"/>
  <c r="AF134" i="107"/>
  <c r="AF106" i="107"/>
  <c r="AF75" i="107"/>
  <c r="AF56" i="107"/>
  <c r="AF55" i="107"/>
  <c r="AF54" i="107"/>
  <c r="AF38" i="107"/>
  <c r="AF37" i="107"/>
  <c r="AF36" i="107"/>
  <c r="AF35" i="107"/>
  <c r="AF34" i="107"/>
  <c r="AF33" i="107"/>
  <c r="AF32" i="107"/>
  <c r="AF30" i="107"/>
  <c r="AF29" i="107"/>
  <c r="AA27" i="107"/>
  <c r="AA94" i="107" s="1"/>
  <c r="AA25" i="107"/>
  <c r="AA122" i="107" s="1"/>
  <c r="AA24" i="107"/>
  <c r="AA23" i="107"/>
  <c r="AA22" i="107"/>
  <c r="AA20" i="107"/>
  <c r="AA91" i="107" s="1"/>
  <c r="AA19" i="107"/>
  <c r="AA116" i="107" s="1"/>
  <c r="AA18" i="107"/>
  <c r="AA88" i="107" s="1"/>
  <c r="AA17" i="107"/>
  <c r="AA15" i="107"/>
  <c r="AA153" i="107"/>
  <c r="AA152" i="107"/>
  <c r="AA148" i="107"/>
  <c r="AA156" i="107" s="1"/>
  <c r="AA159" i="107" s="1"/>
  <c r="AA147" i="107"/>
  <c r="AA133" i="107"/>
  <c r="T158" i="107"/>
  <c r="W158" i="107" s="1"/>
  <c r="T157" i="107"/>
  <c r="W157" i="107" s="1"/>
  <c r="T156" i="107"/>
  <c r="T155" i="107"/>
  <c r="W155" i="107" s="1"/>
  <c r="T154" i="107"/>
  <c r="W154" i="107" s="1"/>
  <c r="T150" i="107"/>
  <c r="W150" i="107" s="1"/>
  <c r="T148" i="107"/>
  <c r="T145" i="107"/>
  <c r="T139" i="107"/>
  <c r="W56" i="107"/>
  <c r="W55" i="107"/>
  <c r="T54" i="107"/>
  <c r="W54" i="107" s="1"/>
  <c r="T38" i="107"/>
  <c r="W38" i="107" s="1"/>
  <c r="T37" i="107"/>
  <c r="W37" i="107" s="1"/>
  <c r="T36" i="107"/>
  <c r="W36" i="107" s="1"/>
  <c r="AI36" i="107" s="1"/>
  <c r="T35" i="107"/>
  <c r="W35" i="107" s="1"/>
  <c r="T34" i="107"/>
  <c r="W34" i="107" s="1"/>
  <c r="T33" i="107"/>
  <c r="W33" i="107" s="1"/>
  <c r="AI33" i="107" s="1"/>
  <c r="T32" i="107"/>
  <c r="W32" i="107" s="1"/>
  <c r="AI32" i="107" s="1"/>
  <c r="T31" i="107"/>
  <c r="W31" i="107" s="1"/>
  <c r="T30" i="107"/>
  <c r="W30" i="107" s="1"/>
  <c r="T29" i="107"/>
  <c r="W29" i="107" s="1"/>
  <c r="T28" i="107"/>
  <c r="T27" i="107"/>
  <c r="T26" i="107"/>
  <c r="T25" i="107"/>
  <c r="T24" i="107"/>
  <c r="T23" i="107"/>
  <c r="T22" i="107"/>
  <c r="T21" i="107"/>
  <c r="T20" i="107"/>
  <c r="T19" i="107"/>
  <c r="T18" i="107"/>
  <c r="T17" i="107"/>
  <c r="T16" i="107"/>
  <c r="T15" i="107"/>
  <c r="T14" i="107"/>
  <c r="T13" i="107"/>
  <c r="T12" i="107"/>
  <c r="T11" i="107"/>
  <c r="T10" i="107"/>
  <c r="L6" i="120" l="1"/>
  <c r="I5" i="114" s="1"/>
  <c r="AB31" i="107"/>
  <c r="AA110" i="107"/>
  <c r="AA161" i="107"/>
  <c r="AA61" i="107"/>
  <c r="AA62" i="107"/>
  <c r="Z37" i="118"/>
  <c r="Z15" i="118"/>
  <c r="Z14" i="118"/>
  <c r="Z13" i="118"/>
  <c r="Z12" i="118"/>
  <c r="Z37" i="102"/>
  <c r="N32" i="2"/>
  <c r="M6" i="120" l="1"/>
  <c r="J5" i="114" s="1"/>
  <c r="J6" i="114" s="1"/>
  <c r="AC31" i="107"/>
  <c r="AB39" i="107"/>
  <c r="S32" i="2"/>
  <c r="M32" i="102" s="1"/>
  <c r="C106" i="132"/>
  <c r="C106" i="96"/>
  <c r="I28" i="2"/>
  <c r="AD31" i="107" l="1"/>
  <c r="N6" i="120"/>
  <c r="K5" i="114" s="1"/>
  <c r="H8" i="119"/>
  <c r="H9" i="119" s="1"/>
  <c r="E26" i="108"/>
  <c r="E25" i="108"/>
  <c r="E24" i="108"/>
  <c r="E23" i="108"/>
  <c r="E22" i="108"/>
  <c r="E21" i="108"/>
  <c r="E20" i="108"/>
  <c r="E19" i="108"/>
  <c r="E18" i="108"/>
  <c r="E17" i="108"/>
  <c r="E16" i="108"/>
  <c r="E15" i="108"/>
  <c r="E14" i="108"/>
  <c r="E13" i="108"/>
  <c r="D27" i="108"/>
  <c r="D26" i="108"/>
  <c r="D25" i="108"/>
  <c r="D24" i="108"/>
  <c r="D23" i="108"/>
  <c r="D22" i="108"/>
  <c r="D21" i="108"/>
  <c r="D20" i="108"/>
  <c r="D19" i="108"/>
  <c r="D18" i="108"/>
  <c r="D17" i="108"/>
  <c r="D16" i="108"/>
  <c r="D15" i="108"/>
  <c r="D14" i="108"/>
  <c r="D13" i="108"/>
  <c r="D12" i="108"/>
  <c r="D11" i="108"/>
  <c r="D10" i="108"/>
  <c r="S153" i="107"/>
  <c r="S159" i="107" s="1"/>
  <c r="S152" i="107"/>
  <c r="S149" i="107"/>
  <c r="S143" i="107"/>
  <c r="S138" i="107" s="1"/>
  <c r="S142" i="107"/>
  <c r="S140" i="107"/>
  <c r="S135" i="107"/>
  <c r="S133" i="107"/>
  <c r="S125" i="107"/>
  <c r="S122" i="107"/>
  <c r="S119" i="107"/>
  <c r="S116" i="107"/>
  <c r="S113" i="107"/>
  <c r="S110" i="107"/>
  <c r="S107" i="107"/>
  <c r="S100" i="107"/>
  <c r="S97" i="107"/>
  <c r="S94" i="107"/>
  <c r="S91" i="107"/>
  <c r="S88" i="107"/>
  <c r="S85" i="107"/>
  <c r="S82" i="107"/>
  <c r="S79" i="107"/>
  <c r="S64" i="107"/>
  <c r="S62" i="107"/>
  <c r="S61" i="107"/>
  <c r="S60" i="107"/>
  <c r="S59" i="107"/>
  <c r="S51" i="107"/>
  <c r="S39" i="107"/>
  <c r="S8" i="107"/>
  <c r="O6" i="120" l="1"/>
  <c r="L5" i="114" s="1"/>
  <c r="AE31" i="107"/>
  <c r="P6" i="120" s="1"/>
  <c r="M5" i="114" s="1"/>
  <c r="AF31" i="107"/>
  <c r="AI31" i="107" s="1"/>
  <c r="S160" i="107"/>
  <c r="S9" i="107"/>
  <c r="S48" i="107" s="1"/>
  <c r="S151" i="107"/>
  <c r="H7" i="119"/>
  <c r="S58" i="107"/>
  <c r="S129" i="107"/>
  <c r="S161" i="107"/>
  <c r="S7" i="107"/>
  <c r="S40" i="107" s="1"/>
  <c r="S76" i="107"/>
  <c r="S45" i="107"/>
  <c r="I30" i="2"/>
  <c r="I19" i="2"/>
  <c r="J19" i="2"/>
  <c r="I36" i="2"/>
  <c r="S131" i="107" l="1"/>
  <c r="S43" i="107"/>
  <c r="S57" i="107"/>
  <c r="S73" i="107"/>
  <c r="S50" i="107"/>
  <c r="S53" i="107" l="1"/>
  <c r="S103" i="107"/>
  <c r="S109" i="107"/>
  <c r="S47" i="107"/>
  <c r="S65" i="107"/>
  <c r="S63" i="107"/>
  <c r="S66" i="107"/>
  <c r="S68" i="107"/>
  <c r="H54" i="1"/>
  <c r="M45" i="1"/>
  <c r="D42" i="1"/>
  <c r="J57" i="114"/>
  <c r="S67" i="107" l="1"/>
  <c r="K24" i="120" l="1"/>
  <c r="K14" i="120"/>
  <c r="K13" i="120"/>
  <c r="K12" i="120"/>
  <c r="K11" i="120"/>
  <c r="K10" i="120"/>
  <c r="K9" i="120"/>
  <c r="K8" i="120"/>
  <c r="E14" i="120"/>
  <c r="E13" i="120"/>
  <c r="E12" i="120"/>
  <c r="E11" i="120"/>
  <c r="E10" i="120"/>
  <c r="E9" i="120"/>
  <c r="E8" i="120"/>
  <c r="Z127" i="109"/>
  <c r="Z126" i="109"/>
  <c r="Z125" i="109"/>
  <c r="Z124" i="109"/>
  <c r="Z123" i="109"/>
  <c r="Z122" i="109"/>
  <c r="Z121" i="109"/>
  <c r="Z120" i="109"/>
  <c r="Q127" i="109"/>
  <c r="Q126" i="109"/>
  <c r="Q125" i="109"/>
  <c r="Q124" i="109"/>
  <c r="Q123" i="109"/>
  <c r="Q122" i="109"/>
  <c r="Q121" i="109"/>
  <c r="Q120" i="109"/>
  <c r="I127" i="109"/>
  <c r="I126" i="109"/>
  <c r="I125" i="109"/>
  <c r="I124" i="109"/>
  <c r="I123" i="109"/>
  <c r="I122" i="109"/>
  <c r="I121" i="109"/>
  <c r="I120" i="109"/>
  <c r="M38" i="107"/>
  <c r="M37" i="107"/>
  <c r="M36" i="107"/>
  <c r="M35" i="107"/>
  <c r="M34" i="107"/>
  <c r="M33" i="107"/>
  <c r="M32" i="107"/>
  <c r="M31" i="107"/>
  <c r="Z31" i="107" s="1"/>
  <c r="K6" i="120" l="1"/>
  <c r="D32" i="99" l="1"/>
  <c r="D30" i="99" s="1"/>
  <c r="B32" i="99"/>
  <c r="C30" i="99"/>
  <c r="B30" i="99"/>
  <c r="D29" i="99"/>
  <c r="D27" i="99" s="1"/>
  <c r="B27" i="99"/>
  <c r="D25" i="99"/>
  <c r="D22" i="99" s="1"/>
  <c r="D17" i="99" s="1"/>
  <c r="B25" i="99"/>
  <c r="B22" i="99" s="1"/>
  <c r="C22" i="99"/>
  <c r="D21" i="99"/>
  <c r="B21" i="99"/>
  <c r="D19" i="99"/>
  <c r="C19" i="99"/>
  <c r="B19" i="99"/>
  <c r="B17" i="99" l="1"/>
  <c r="S47" i="84"/>
  <c r="R47" i="84"/>
  <c r="P47" i="84"/>
  <c r="P46" i="84" s="1"/>
  <c r="O47" i="84"/>
  <c r="N47" i="84"/>
  <c r="M47" i="84"/>
  <c r="M46" i="84" s="1"/>
  <c r="L47" i="84"/>
  <c r="L46" i="84" s="1"/>
  <c r="K47" i="84"/>
  <c r="J47" i="84"/>
  <c r="I47" i="84"/>
  <c r="H47" i="84"/>
  <c r="G47" i="84"/>
  <c r="F47" i="84"/>
  <c r="E47" i="84"/>
  <c r="R46" i="84"/>
  <c r="J46" i="84"/>
  <c r="I46" i="84"/>
  <c r="S95" i="84"/>
  <c r="R95" i="84"/>
  <c r="R65" i="84" s="1"/>
  <c r="P95" i="84"/>
  <c r="O95" i="84"/>
  <c r="N95" i="84"/>
  <c r="M95" i="84"/>
  <c r="L95" i="84"/>
  <c r="K95" i="84"/>
  <c r="J95" i="84"/>
  <c r="H95" i="84"/>
  <c r="G95" i="84"/>
  <c r="F95" i="84"/>
  <c r="E95" i="84"/>
  <c r="S74" i="84"/>
  <c r="R74" i="84"/>
  <c r="P74" i="84"/>
  <c r="O74" i="84"/>
  <c r="N74" i="84"/>
  <c r="M74" i="84"/>
  <c r="M65" i="84" s="1"/>
  <c r="L74" i="84"/>
  <c r="L65" i="84" s="1"/>
  <c r="K74" i="84"/>
  <c r="J74" i="84"/>
  <c r="I74" i="84"/>
  <c r="H74" i="84"/>
  <c r="G74" i="84"/>
  <c r="F74" i="84"/>
  <c r="F65" i="84" s="1"/>
  <c r="E74" i="84"/>
  <c r="R24" i="84"/>
  <c r="H65" i="84" l="1"/>
  <c r="E65" i="84"/>
  <c r="J65" i="84"/>
  <c r="N65" i="84"/>
  <c r="G65" i="84"/>
  <c r="K65" i="84"/>
  <c r="O65" i="84"/>
  <c r="G46" i="84"/>
  <c r="K46" i="84"/>
  <c r="O46" i="84"/>
  <c r="H46" i="84"/>
  <c r="E46" i="84"/>
  <c r="F46" i="84"/>
  <c r="N46" i="84"/>
  <c r="P65" i="84"/>
  <c r="Z192" i="107" l="1"/>
  <c r="Z194" i="107" s="1"/>
  <c r="Y190" i="107"/>
  <c r="H6" i="120" l="1"/>
  <c r="E5" i="114" s="1"/>
  <c r="G6" i="120"/>
  <c r="F6" i="120"/>
  <c r="I39" i="107"/>
  <c r="E6" i="120" l="1"/>
  <c r="K122" i="109"/>
  <c r="K125" i="109"/>
  <c r="K127" i="109"/>
  <c r="K121" i="109"/>
  <c r="K120" i="109"/>
  <c r="K123" i="109"/>
  <c r="AJ131" i="107"/>
  <c r="AJ132" i="107" s="1"/>
  <c r="N167" i="107" l="1"/>
  <c r="AB170" i="107" l="1"/>
  <c r="AB172" i="107" s="1"/>
  <c r="AC169" i="107"/>
  <c r="V147" i="107" l="1"/>
  <c r="L12" i="123"/>
  <c r="N12" i="123"/>
  <c r="M12" i="123"/>
  <c r="L146" i="109"/>
  <c r="N34" i="109"/>
  <c r="P147" i="107" l="1"/>
  <c r="T147" i="107" s="1"/>
  <c r="W147" i="107" s="1"/>
  <c r="L147" i="107"/>
  <c r="K147" i="107"/>
  <c r="J147" i="107"/>
  <c r="I147" i="107"/>
  <c r="M34" i="109"/>
  <c r="L34" i="109"/>
  <c r="H34" i="109"/>
  <c r="H147" i="107"/>
  <c r="C34" i="109"/>
  <c r="R143" i="107"/>
  <c r="R138" i="107" s="1"/>
  <c r="Q143" i="107"/>
  <c r="Q138" i="107" s="1"/>
  <c r="H143" i="107"/>
  <c r="H138" i="107" s="1"/>
  <c r="G143" i="107"/>
  <c r="G138" i="107" s="1"/>
  <c r="Z186" i="107" l="1"/>
  <c r="Z185" i="107"/>
  <c r="Z184" i="107"/>
  <c r="Z183" i="107"/>
  <c r="Z182" i="107"/>
  <c r="Z181" i="107"/>
  <c r="Z180" i="107"/>
  <c r="Z179" i="107"/>
  <c r="Z178" i="107"/>
  <c r="Z177" i="107"/>
  <c r="Z176" i="107"/>
  <c r="Z175" i="107"/>
  <c r="Z174" i="107"/>
  <c r="Y187" i="107"/>
  <c r="AB183" i="107" s="1"/>
  <c r="X154" i="109"/>
  <c r="X153" i="109"/>
  <c r="X152" i="109"/>
  <c r="X151" i="109"/>
  <c r="X150" i="109"/>
  <c r="X149" i="109"/>
  <c r="X148" i="109"/>
  <c r="X147" i="109"/>
  <c r="X146" i="109"/>
  <c r="X145" i="109"/>
  <c r="X144" i="109"/>
  <c r="X143" i="109"/>
  <c r="X142" i="109"/>
  <c r="W155" i="109"/>
  <c r="Y153" i="109" s="1"/>
  <c r="U151" i="109"/>
  <c r="U150" i="109"/>
  <c r="U147" i="109"/>
  <c r="T154" i="109"/>
  <c r="T153" i="109"/>
  <c r="T152" i="109"/>
  <c r="T151" i="109"/>
  <c r="T150" i="109"/>
  <c r="T149" i="109"/>
  <c r="T148" i="109"/>
  <c r="T147" i="109"/>
  <c r="T146" i="109"/>
  <c r="T145" i="109"/>
  <c r="T144" i="109"/>
  <c r="T143" i="109"/>
  <c r="T142" i="109"/>
  <c r="S155" i="109"/>
  <c r="U153" i="109" s="1"/>
  <c r="Q154" i="109"/>
  <c r="Q153" i="109"/>
  <c r="Q152" i="109"/>
  <c r="Q151" i="109"/>
  <c r="Q150" i="109"/>
  <c r="Q149" i="109"/>
  <c r="Q148" i="109"/>
  <c r="Q147" i="109"/>
  <c r="Q146" i="109"/>
  <c r="Q145" i="109"/>
  <c r="Q144" i="109"/>
  <c r="Q143" i="109"/>
  <c r="Q142" i="109"/>
  <c r="P155" i="109"/>
  <c r="R151" i="109" s="1"/>
  <c r="U154" i="109" l="1"/>
  <c r="U142" i="109"/>
  <c r="U143" i="109"/>
  <c r="U146" i="109"/>
  <c r="Y142" i="109"/>
  <c r="Y146" i="109"/>
  <c r="Y150" i="109"/>
  <c r="Y154" i="109"/>
  <c r="R145" i="109"/>
  <c r="Y143" i="109"/>
  <c r="Y147" i="109"/>
  <c r="Y151" i="109"/>
  <c r="U144" i="109"/>
  <c r="U148" i="109"/>
  <c r="U152" i="109"/>
  <c r="Y144" i="109"/>
  <c r="Y148" i="109"/>
  <c r="Y152" i="109"/>
  <c r="U145" i="109"/>
  <c r="U149" i="109"/>
  <c r="Y145" i="109"/>
  <c r="Y149" i="109"/>
  <c r="AB176" i="107"/>
  <c r="AB180" i="107"/>
  <c r="AB184" i="107"/>
  <c r="AB177" i="107"/>
  <c r="AB181" i="107"/>
  <c r="AB185" i="107"/>
  <c r="AB174" i="107"/>
  <c r="AB178" i="107"/>
  <c r="AB182" i="107"/>
  <c r="AB186" i="107"/>
  <c r="AB175" i="107"/>
  <c r="AB179" i="107"/>
  <c r="R144" i="109"/>
  <c r="R148" i="109"/>
  <c r="R152" i="109"/>
  <c r="R153" i="109"/>
  <c r="R142" i="109"/>
  <c r="R146" i="109"/>
  <c r="R150" i="109"/>
  <c r="R154" i="109"/>
  <c r="R149" i="109"/>
  <c r="R143" i="109"/>
  <c r="R147" i="109"/>
  <c r="X185" i="107"/>
  <c r="U155" i="109" l="1"/>
  <c r="Y155" i="109"/>
  <c r="X178" i="107"/>
  <c r="X186" i="107"/>
  <c r="X179" i="107"/>
  <c r="X174" i="107"/>
  <c r="X182" i="107"/>
  <c r="X175" i="107"/>
  <c r="X183" i="107"/>
  <c r="AB187" i="107"/>
  <c r="X176" i="107"/>
  <c r="X180" i="107"/>
  <c r="X184" i="107"/>
  <c r="X177" i="107"/>
  <c r="X181" i="107"/>
  <c r="R155" i="109"/>
  <c r="B67" i="114" l="1"/>
  <c r="C67" i="114" s="1"/>
  <c r="E66" i="114"/>
  <c r="C56" i="114"/>
  <c r="C68" i="114" s="1"/>
  <c r="C65" i="114"/>
  <c r="C64" i="114"/>
  <c r="C63" i="114"/>
  <c r="F63" i="114" s="1"/>
  <c r="C62" i="114"/>
  <c r="F62" i="114" s="1"/>
  <c r="C61" i="114"/>
  <c r="F61" i="114" s="1"/>
  <c r="C60" i="114"/>
  <c r="F60" i="114" s="1"/>
  <c r="C59" i="114"/>
  <c r="F59" i="114" s="1"/>
  <c r="C58" i="114"/>
  <c r="C57" i="114"/>
  <c r="C55" i="114"/>
  <c r="C54" i="114"/>
  <c r="C53" i="114"/>
  <c r="F57" i="114" s="1"/>
  <c r="F51" i="114"/>
  <c r="F50" i="114"/>
  <c r="D58" i="114" l="1"/>
  <c r="D59" i="114"/>
  <c r="F53" i="114"/>
  <c r="F54" i="114"/>
  <c r="F55" i="114"/>
  <c r="F64" i="114"/>
  <c r="F65" i="114"/>
  <c r="C66" i="114"/>
  <c r="F56" i="114"/>
  <c r="D56" i="114"/>
  <c r="F58" i="114"/>
  <c r="R172" i="107"/>
  <c r="V170" i="107"/>
  <c r="V172" i="107" s="1"/>
  <c r="U170" i="107"/>
  <c r="U172" i="107" s="1"/>
  <c r="D64" i="114" l="1"/>
  <c r="D63" i="114"/>
  <c r="D55" i="114"/>
  <c r="D62" i="114"/>
  <c r="D54" i="114"/>
  <c r="D61" i="114"/>
  <c r="D53" i="114"/>
  <c r="D66" i="114" s="1"/>
  <c r="D60" i="114"/>
  <c r="D65" i="114"/>
  <c r="D57" i="114"/>
  <c r="N91" i="109"/>
  <c r="M91" i="109"/>
  <c r="L91" i="109"/>
  <c r="H91" i="109"/>
  <c r="G91" i="109"/>
  <c r="F91" i="109"/>
  <c r="E91" i="109"/>
  <c r="D91" i="109"/>
  <c r="C91" i="109"/>
  <c r="N88" i="109"/>
  <c r="M88" i="109"/>
  <c r="L88" i="109"/>
  <c r="H88" i="109"/>
  <c r="G88" i="109"/>
  <c r="F88" i="109"/>
  <c r="E88" i="109"/>
  <c r="D88" i="109"/>
  <c r="C88" i="109"/>
  <c r="N85" i="109"/>
  <c r="M85" i="109"/>
  <c r="L85" i="109"/>
  <c r="H85" i="109"/>
  <c r="G85" i="109"/>
  <c r="F85" i="109"/>
  <c r="E85" i="109"/>
  <c r="D85" i="109"/>
  <c r="C85" i="109"/>
  <c r="H86" i="109"/>
  <c r="E86" i="109"/>
  <c r="D86" i="109"/>
  <c r="N82" i="109"/>
  <c r="M82" i="109"/>
  <c r="L82" i="109"/>
  <c r="H82" i="109"/>
  <c r="G82" i="109"/>
  <c r="F82" i="109"/>
  <c r="G83" i="109" s="1"/>
  <c r="E82" i="109"/>
  <c r="D82" i="109"/>
  <c r="C82" i="109"/>
  <c r="N79" i="109"/>
  <c r="M79" i="109"/>
  <c r="L79" i="109"/>
  <c r="H79" i="109"/>
  <c r="G79" i="109"/>
  <c r="F79" i="109"/>
  <c r="E79" i="109"/>
  <c r="D79" i="109"/>
  <c r="C79" i="109"/>
  <c r="N76" i="109"/>
  <c r="M76" i="109"/>
  <c r="L76" i="109"/>
  <c r="H76" i="109"/>
  <c r="G76" i="109"/>
  <c r="F76" i="109"/>
  <c r="G77" i="109" s="1"/>
  <c r="E76" i="109"/>
  <c r="D76" i="109"/>
  <c r="C76" i="109"/>
  <c r="D77" i="109" s="1"/>
  <c r="E77" i="109"/>
  <c r="N73" i="109"/>
  <c r="M73" i="109"/>
  <c r="L73" i="109"/>
  <c r="H73" i="109"/>
  <c r="G73" i="109"/>
  <c r="F73" i="109"/>
  <c r="E73" i="109"/>
  <c r="F74" i="109" s="1"/>
  <c r="D73" i="109"/>
  <c r="E74" i="109" s="1"/>
  <c r="C73" i="109"/>
  <c r="R149" i="107"/>
  <c r="Q149" i="107"/>
  <c r="E80" i="109" l="1"/>
  <c r="F92" i="109"/>
  <c r="H92" i="109"/>
  <c r="D92" i="109"/>
  <c r="E83" i="109"/>
  <c r="F86" i="109"/>
  <c r="F89" i="109"/>
  <c r="E92" i="109"/>
  <c r="L92" i="109"/>
  <c r="H74" i="109"/>
  <c r="D89" i="109"/>
  <c r="H89" i="109"/>
  <c r="N77" i="109"/>
  <c r="H80" i="109"/>
  <c r="F80" i="109"/>
  <c r="E89" i="109"/>
  <c r="G92" i="109"/>
  <c r="M92" i="109"/>
  <c r="I91" i="109"/>
  <c r="N92" i="109"/>
  <c r="L89" i="109"/>
  <c r="G89" i="109"/>
  <c r="M89" i="109"/>
  <c r="I88" i="109"/>
  <c r="N89" i="109"/>
  <c r="L86" i="109"/>
  <c r="G86" i="109"/>
  <c r="M86" i="109"/>
  <c r="I85" i="109"/>
  <c r="N86" i="109"/>
  <c r="N83" i="109"/>
  <c r="H83" i="109"/>
  <c r="D83" i="109"/>
  <c r="F83" i="109"/>
  <c r="L83" i="109"/>
  <c r="M83" i="109"/>
  <c r="I82" i="109"/>
  <c r="D80" i="109"/>
  <c r="L80" i="109"/>
  <c r="G80" i="109"/>
  <c r="M80" i="109"/>
  <c r="I79" i="109"/>
  <c r="N80" i="109"/>
  <c r="H77" i="109"/>
  <c r="F77" i="109"/>
  <c r="L77" i="109"/>
  <c r="M77" i="109"/>
  <c r="I76" i="109"/>
  <c r="D74" i="109"/>
  <c r="L74" i="109"/>
  <c r="G74" i="109"/>
  <c r="M74" i="109"/>
  <c r="I73" i="109"/>
  <c r="N74" i="109"/>
  <c r="J89" i="109" l="1"/>
  <c r="J86" i="109"/>
  <c r="J92" i="109"/>
  <c r="J74" i="109"/>
  <c r="J83" i="109"/>
  <c r="J80" i="109"/>
  <c r="J77" i="109"/>
  <c r="AH41" i="2" l="1"/>
  <c r="AC41" i="2"/>
  <c r="X41" i="2"/>
  <c r="AC63" i="1"/>
  <c r="N70" i="109" l="1"/>
  <c r="M70" i="109"/>
  <c r="L70" i="109"/>
  <c r="N67" i="109"/>
  <c r="M67" i="109"/>
  <c r="L67" i="109"/>
  <c r="H70" i="109"/>
  <c r="H71" i="109" s="1"/>
  <c r="G70" i="109"/>
  <c r="F70" i="109"/>
  <c r="E70" i="109"/>
  <c r="D70" i="109"/>
  <c r="C70" i="109"/>
  <c r="H67" i="109"/>
  <c r="G67" i="109"/>
  <c r="F67" i="109"/>
  <c r="E67" i="109"/>
  <c r="D67" i="109"/>
  <c r="C67" i="109"/>
  <c r="R125" i="107"/>
  <c r="S126" i="107" s="1"/>
  <c r="Q125" i="107"/>
  <c r="P125" i="107"/>
  <c r="L125" i="107"/>
  <c r="K125" i="107"/>
  <c r="J125" i="107"/>
  <c r="I125" i="107"/>
  <c r="H125" i="107"/>
  <c r="G125" i="107"/>
  <c r="R122" i="107"/>
  <c r="Q122" i="107"/>
  <c r="P122" i="107"/>
  <c r="L122" i="107"/>
  <c r="K122" i="107"/>
  <c r="J122" i="107"/>
  <c r="I122" i="107"/>
  <c r="H122" i="107"/>
  <c r="G122" i="107"/>
  <c r="R119" i="107"/>
  <c r="S120" i="107" s="1"/>
  <c r="Q119" i="107"/>
  <c r="P119" i="107"/>
  <c r="L119" i="107"/>
  <c r="K119" i="107"/>
  <c r="J119" i="107"/>
  <c r="I119" i="107"/>
  <c r="J120" i="107" s="1"/>
  <c r="H119" i="107"/>
  <c r="G119" i="107"/>
  <c r="F122" i="107"/>
  <c r="E122" i="107"/>
  <c r="D122" i="107"/>
  <c r="C122" i="107"/>
  <c r="F119" i="107"/>
  <c r="E119" i="107"/>
  <c r="D119" i="107"/>
  <c r="C119" i="107"/>
  <c r="R116" i="107"/>
  <c r="S117" i="107" s="1"/>
  <c r="Q116" i="107"/>
  <c r="P116" i="107"/>
  <c r="T116" i="107" s="1"/>
  <c r="L116" i="107"/>
  <c r="K116" i="107"/>
  <c r="J116" i="107"/>
  <c r="I116" i="107"/>
  <c r="H116" i="107"/>
  <c r="G116" i="107"/>
  <c r="F116" i="107"/>
  <c r="E116" i="107"/>
  <c r="D116" i="107"/>
  <c r="C116" i="107"/>
  <c r="G68" i="109" l="1"/>
  <c r="L68" i="109"/>
  <c r="D71" i="109"/>
  <c r="M71" i="109"/>
  <c r="K120" i="107"/>
  <c r="T125" i="107"/>
  <c r="Q117" i="107"/>
  <c r="T119" i="107"/>
  <c r="R120" i="107"/>
  <c r="T122" i="107"/>
  <c r="I120" i="107"/>
  <c r="P120" i="107"/>
  <c r="D68" i="109"/>
  <c r="H68" i="109"/>
  <c r="H117" i="107"/>
  <c r="J117" i="107"/>
  <c r="P117" i="107"/>
  <c r="F68" i="109"/>
  <c r="E68" i="109"/>
  <c r="E71" i="109"/>
  <c r="N71" i="109"/>
  <c r="F71" i="109"/>
  <c r="M68" i="109"/>
  <c r="I70" i="109"/>
  <c r="G71" i="109"/>
  <c r="N68" i="109"/>
  <c r="L71" i="109"/>
  <c r="I67" i="109"/>
  <c r="I117" i="107"/>
  <c r="K117" i="107"/>
  <c r="L117" i="107"/>
  <c r="L120" i="107"/>
  <c r="H120" i="107"/>
  <c r="Q120" i="107"/>
  <c r="R117" i="107"/>
  <c r="J71" i="109" l="1"/>
  <c r="J68" i="109"/>
  <c r="N117" i="107"/>
  <c r="U120" i="107"/>
  <c r="U117" i="107"/>
  <c r="N120" i="107"/>
  <c r="E48" i="114"/>
  <c r="E47" i="114"/>
  <c r="D47" i="114"/>
  <c r="G45" i="114"/>
  <c r="E45" i="114"/>
  <c r="H38" i="114"/>
  <c r="G38" i="114"/>
  <c r="H37" i="114"/>
  <c r="G37" i="114"/>
  <c r="H36" i="114"/>
  <c r="G36" i="114"/>
  <c r="H35" i="114"/>
  <c r="G35" i="114"/>
  <c r="H33" i="114"/>
  <c r="G33" i="114"/>
  <c r="H32" i="114"/>
  <c r="G32" i="114"/>
  <c r="M17" i="114"/>
  <c r="L17" i="114"/>
  <c r="K17" i="114"/>
  <c r="J17" i="114"/>
  <c r="I17" i="114"/>
  <c r="H17" i="114"/>
  <c r="G17" i="114"/>
  <c r="M15" i="114"/>
  <c r="L15" i="114"/>
  <c r="K15" i="114"/>
  <c r="J15" i="114"/>
  <c r="I15" i="114"/>
  <c r="H15" i="114"/>
  <c r="M7" i="114"/>
  <c r="L7" i="114"/>
  <c r="K7" i="114"/>
  <c r="J7" i="114"/>
  <c r="I7" i="114"/>
  <c r="H7" i="114"/>
  <c r="G7" i="114"/>
  <c r="F7" i="114"/>
  <c r="E7" i="114"/>
  <c r="D7" i="114"/>
  <c r="M6" i="114"/>
  <c r="L6" i="114"/>
  <c r="K6" i="114"/>
  <c r="I6" i="114"/>
  <c r="G6" i="114"/>
  <c r="F6" i="114"/>
  <c r="E6" i="114"/>
  <c r="E136" i="109" l="1"/>
  <c r="D136" i="109"/>
  <c r="E133" i="109"/>
  <c r="D133" i="109"/>
  <c r="F129" i="109"/>
  <c r="E129" i="109"/>
  <c r="D129" i="109"/>
  <c r="E130" i="109" s="1"/>
  <c r="C129" i="109"/>
  <c r="F136" i="109"/>
  <c r="F133" i="109"/>
  <c r="N132" i="109"/>
  <c r="M132" i="109"/>
  <c r="L132" i="109"/>
  <c r="H135" i="109"/>
  <c r="G135" i="109"/>
  <c r="I135" i="109" s="1"/>
  <c r="G132" i="109"/>
  <c r="D130" i="109" l="1"/>
  <c r="AC39" i="107"/>
  <c r="AD39" i="107"/>
  <c r="M133" i="109"/>
  <c r="H133" i="109"/>
  <c r="AE39" i="107"/>
  <c r="H136" i="109"/>
  <c r="G133" i="109"/>
  <c r="G129" i="109"/>
  <c r="H129" i="109"/>
  <c r="G136" i="109"/>
  <c r="N133" i="109"/>
  <c r="L133" i="109"/>
  <c r="F130" i="109"/>
  <c r="I132" i="109"/>
  <c r="AG39" i="107" l="1"/>
  <c r="J136" i="109"/>
  <c r="J133" i="109"/>
  <c r="I129" i="109"/>
  <c r="G130" i="109"/>
  <c r="J130" i="109" s="1"/>
  <c r="H130" i="109"/>
  <c r="M139" i="107" l="1"/>
  <c r="P64" i="84" l="1"/>
  <c r="K14" i="2" l="1"/>
  <c r="U12" i="109" l="1"/>
  <c r="C5" i="142"/>
  <c r="K47" i="2"/>
  <c r="C8" i="99"/>
  <c r="R14" i="84"/>
  <c r="S21" i="84"/>
  <c r="S57" i="84"/>
  <c r="S71" i="84"/>
  <c r="S13" i="84"/>
  <c r="E32" i="66"/>
  <c r="C37" i="66"/>
  <c r="C12" i="66"/>
  <c r="D32" i="66"/>
  <c r="C28" i="66"/>
  <c r="S53" i="84" l="1"/>
  <c r="S46" i="84" s="1"/>
  <c r="S66" i="84"/>
  <c r="S65" i="84" s="1"/>
  <c r="T13" i="119"/>
  <c r="AO48" i="63" l="1"/>
  <c r="AL48" i="63"/>
  <c r="AI48" i="63"/>
  <c r="AF48" i="63"/>
  <c r="AC48" i="63"/>
  <c r="Z48" i="63"/>
  <c r="W48" i="63"/>
  <c r="T48" i="63"/>
  <c r="Q48" i="63"/>
  <c r="N48" i="63"/>
  <c r="K48" i="63"/>
  <c r="C48" i="63"/>
  <c r="E48" i="63" l="1"/>
  <c r="E29" i="77"/>
  <c r="P29" i="77"/>
  <c r="O29" i="77"/>
  <c r="N29" i="77"/>
  <c r="M29" i="77"/>
  <c r="L29" i="77"/>
  <c r="K29" i="77"/>
  <c r="J29" i="77"/>
  <c r="I29" i="77"/>
  <c r="H29" i="77"/>
  <c r="F29" i="77"/>
  <c r="Q44" i="84" l="1"/>
  <c r="D44" i="84"/>
  <c r="C44" i="84" l="1"/>
  <c r="Q63" i="1"/>
  <c r="J8" i="106"/>
  <c r="I15" i="106"/>
  <c r="H15" i="106"/>
  <c r="G15" i="106"/>
  <c r="F15" i="106"/>
  <c r="E15" i="106"/>
  <c r="D15" i="106"/>
  <c r="C15" i="106"/>
  <c r="J14" i="106"/>
  <c r="J13" i="106"/>
  <c r="J12" i="106"/>
  <c r="J11" i="106"/>
  <c r="J10" i="106"/>
  <c r="J15" i="106" s="1"/>
  <c r="J7" i="106"/>
  <c r="N63" i="1" l="1"/>
  <c r="C23" i="133"/>
  <c r="C49" i="133" s="1"/>
  <c r="C47" i="133" s="1"/>
  <c r="Q39" i="84"/>
  <c r="D39" i="84"/>
  <c r="I95" i="84"/>
  <c r="I65" i="84" s="1"/>
  <c r="C26" i="142" l="1"/>
  <c r="C24" i="142" s="1"/>
  <c r="C14" i="142" s="1"/>
  <c r="C29" i="99"/>
  <c r="C27" i="99" s="1"/>
  <c r="C17" i="99" s="1"/>
  <c r="C29" i="91"/>
  <c r="C27" i="91" s="1"/>
  <c r="C17" i="91" s="1"/>
  <c r="D37" i="127"/>
  <c r="C37" i="127"/>
  <c r="C39" i="84"/>
  <c r="E40" i="84" l="1"/>
  <c r="CZ20" i="75" l="1"/>
  <c r="AM40" i="129" s="1"/>
  <c r="AO40" i="129" s="1"/>
  <c r="CP20" i="75"/>
  <c r="CR20" i="75" s="1"/>
  <c r="AJ40" i="129" s="1"/>
  <c r="AL40" i="129" s="1"/>
  <c r="CJ20" i="75"/>
  <c r="AG40" i="129" s="1"/>
  <c r="AI40" i="129" s="1"/>
  <c r="CB20" i="75"/>
  <c r="AD40" i="129" s="1"/>
  <c r="AF40" i="129" s="1"/>
  <c r="BT20" i="75"/>
  <c r="AA40" i="129" s="1"/>
  <c r="AC40" i="129" s="1"/>
  <c r="BL20" i="75"/>
  <c r="X40" i="129" s="1"/>
  <c r="Z40" i="129" s="1"/>
  <c r="BD20" i="75"/>
  <c r="U40" i="129" s="1"/>
  <c r="W40" i="129" s="1"/>
  <c r="AV20" i="75"/>
  <c r="R40" i="129" s="1"/>
  <c r="T40" i="129" s="1"/>
  <c r="AN20" i="75"/>
  <c r="O40" i="129" s="1"/>
  <c r="Q40" i="129" s="1"/>
  <c r="AF20" i="75"/>
  <c r="L40" i="129" s="1"/>
  <c r="N40" i="129" s="1"/>
  <c r="X20" i="75"/>
  <c r="I40" i="129" s="1"/>
  <c r="K40" i="129" s="1"/>
  <c r="P20" i="75"/>
  <c r="F40" i="129" s="1"/>
  <c r="E20" i="75"/>
  <c r="C20" i="75"/>
  <c r="E11" i="84"/>
  <c r="CX19" i="75"/>
  <c r="CZ19" i="75" s="1"/>
  <c r="AM39" i="129" s="1"/>
  <c r="AO39" i="129" s="1"/>
  <c r="CP19" i="75"/>
  <c r="CR19" i="75" s="1"/>
  <c r="AJ39" i="129" s="1"/>
  <c r="AL39" i="129" s="1"/>
  <c r="CH19" i="75"/>
  <c r="CJ19" i="75" s="1"/>
  <c r="AG39" i="129" s="1"/>
  <c r="AI39" i="129" s="1"/>
  <c r="BZ19" i="75"/>
  <c r="CB19" i="75" s="1"/>
  <c r="AD39" i="129" s="1"/>
  <c r="AF39" i="129" s="1"/>
  <c r="BR19" i="75"/>
  <c r="BT19" i="75" s="1"/>
  <c r="AA39" i="129" s="1"/>
  <c r="AC39" i="129" s="1"/>
  <c r="BJ19" i="75"/>
  <c r="BL19" i="75" s="1"/>
  <c r="X39" i="129" s="1"/>
  <c r="Z39" i="129" s="1"/>
  <c r="BB19" i="75"/>
  <c r="BD19" i="75" s="1"/>
  <c r="U39" i="129" s="1"/>
  <c r="W39" i="129" s="1"/>
  <c r="AT19" i="75"/>
  <c r="AV19" i="75" s="1"/>
  <c r="R39" i="129" s="1"/>
  <c r="T39" i="129" s="1"/>
  <c r="AL19" i="75"/>
  <c r="AN19" i="75" s="1"/>
  <c r="O39" i="129" s="1"/>
  <c r="Q39" i="129" s="1"/>
  <c r="AD19" i="75"/>
  <c r="AF19" i="75" s="1"/>
  <c r="L39" i="129" s="1"/>
  <c r="N39" i="129" s="1"/>
  <c r="V19" i="75"/>
  <c r="X19" i="75" s="1"/>
  <c r="I39" i="129" s="1"/>
  <c r="K39" i="129" s="1"/>
  <c r="P19" i="75"/>
  <c r="F39" i="129" s="1"/>
  <c r="BQ19" i="75"/>
  <c r="E19" i="75"/>
  <c r="E18" i="75"/>
  <c r="C19" i="75"/>
  <c r="Q102" i="84"/>
  <c r="D102" i="84"/>
  <c r="Q103" i="84"/>
  <c r="D103" i="84"/>
  <c r="H40" i="129" l="1"/>
  <c r="E40" i="129" s="1"/>
  <c r="C40" i="129"/>
  <c r="H39" i="129"/>
  <c r="E39" i="129" s="1"/>
  <c r="C39" i="129"/>
  <c r="AM40" i="124"/>
  <c r="AO40" i="124" s="1"/>
  <c r="AM39" i="63"/>
  <c r="O40" i="124"/>
  <c r="Q40" i="124" s="1"/>
  <c r="O39" i="63"/>
  <c r="AA40" i="124"/>
  <c r="AC40" i="124" s="1"/>
  <c r="AA39" i="63"/>
  <c r="F39" i="63"/>
  <c r="H39" i="63" s="1"/>
  <c r="F40" i="124"/>
  <c r="AD40" i="124"/>
  <c r="AF40" i="124" s="1"/>
  <c r="AD39" i="63"/>
  <c r="R40" i="124"/>
  <c r="T40" i="124" s="1"/>
  <c r="R39" i="63"/>
  <c r="I40" i="124"/>
  <c r="K40" i="124" s="1"/>
  <c r="I39" i="63"/>
  <c r="U40" i="124"/>
  <c r="W40" i="124" s="1"/>
  <c r="U39" i="63"/>
  <c r="AG40" i="124"/>
  <c r="AI40" i="124" s="1"/>
  <c r="AG39" i="63"/>
  <c r="AJ41" i="124"/>
  <c r="AL41" i="124" s="1"/>
  <c r="AJ40" i="63"/>
  <c r="L40" i="124"/>
  <c r="N40" i="124" s="1"/>
  <c r="L39" i="63"/>
  <c r="X40" i="124"/>
  <c r="Z40" i="124" s="1"/>
  <c r="X39" i="63"/>
  <c r="AJ40" i="124"/>
  <c r="AL40" i="124" s="1"/>
  <c r="AJ39" i="63"/>
  <c r="AM41" i="124"/>
  <c r="AO41" i="124" s="1"/>
  <c r="AM40" i="63"/>
  <c r="AG41" i="124"/>
  <c r="AI41" i="124" s="1"/>
  <c r="AG40" i="63"/>
  <c r="AD41" i="124"/>
  <c r="AF41" i="124" s="1"/>
  <c r="AD40" i="63"/>
  <c r="AA41" i="124"/>
  <c r="AC41" i="124" s="1"/>
  <c r="AA40" i="63"/>
  <c r="X41" i="124"/>
  <c r="Z41" i="124" s="1"/>
  <c r="X40" i="63"/>
  <c r="U41" i="124"/>
  <c r="W41" i="124" s="1"/>
  <c r="U40" i="63"/>
  <c r="R41" i="124"/>
  <c r="T41" i="124" s="1"/>
  <c r="R40" i="63"/>
  <c r="O41" i="124"/>
  <c r="Q41" i="124" s="1"/>
  <c r="O40" i="63"/>
  <c r="L41" i="124"/>
  <c r="N41" i="124" s="1"/>
  <c r="L40" i="63"/>
  <c r="I41" i="124"/>
  <c r="K41" i="124" s="1"/>
  <c r="I40" i="63"/>
  <c r="F41" i="124"/>
  <c r="F40" i="63"/>
  <c r="C102" i="84"/>
  <c r="H20" i="75"/>
  <c r="F20" i="75"/>
  <c r="F19" i="75"/>
  <c r="H19" i="75"/>
  <c r="C103" i="84"/>
  <c r="O8" i="128" l="1"/>
  <c r="O8" i="98"/>
  <c r="T40" i="63"/>
  <c r="AF40" i="63"/>
  <c r="Z39" i="63"/>
  <c r="AL40" i="63"/>
  <c r="W39" i="63"/>
  <c r="T39" i="63"/>
  <c r="Q39" i="63"/>
  <c r="AI40" i="63"/>
  <c r="AL39" i="63"/>
  <c r="N39" i="63"/>
  <c r="AI39" i="63"/>
  <c r="K39" i="63"/>
  <c r="AF39" i="63"/>
  <c r="AC39" i="63"/>
  <c r="AO39" i="63"/>
  <c r="N40" i="63"/>
  <c r="Z40" i="63"/>
  <c r="AO40" i="63"/>
  <c r="K40" i="63"/>
  <c r="Q40" i="63"/>
  <c r="W40" i="63"/>
  <c r="AC40" i="63"/>
  <c r="C39" i="63"/>
  <c r="O14" i="65"/>
  <c r="O12" i="65"/>
  <c r="O11" i="65"/>
  <c r="O13" i="65"/>
  <c r="O18" i="65"/>
  <c r="O17" i="65"/>
  <c r="O19" i="65"/>
  <c r="H40" i="124"/>
  <c r="E40" i="124" s="1"/>
  <c r="C40" i="124"/>
  <c r="H40" i="63"/>
  <c r="C40" i="63"/>
  <c r="H41" i="124"/>
  <c r="E41" i="124" s="1"/>
  <c r="C41" i="124"/>
  <c r="O8" i="65"/>
  <c r="CZ18" i="75"/>
  <c r="AM38" i="129" s="1"/>
  <c r="AO38" i="129" s="1"/>
  <c r="CR18" i="75"/>
  <c r="AJ38" i="129" s="1"/>
  <c r="AL38" i="129" s="1"/>
  <c r="CJ18" i="75"/>
  <c r="AG38" i="129" s="1"/>
  <c r="AI38" i="129" s="1"/>
  <c r="CB18" i="75"/>
  <c r="AD38" i="129" s="1"/>
  <c r="AF38" i="129" s="1"/>
  <c r="BT18" i="75"/>
  <c r="AA38" i="129" s="1"/>
  <c r="AC38" i="129" s="1"/>
  <c r="BL18" i="75"/>
  <c r="X38" i="129" s="1"/>
  <c r="Z38" i="129" s="1"/>
  <c r="BD18" i="75"/>
  <c r="U38" i="129" s="1"/>
  <c r="W38" i="129" s="1"/>
  <c r="AV18" i="75"/>
  <c r="R38" i="129" s="1"/>
  <c r="T38" i="129" s="1"/>
  <c r="AN18" i="75"/>
  <c r="O38" i="129" s="1"/>
  <c r="Q38" i="129" s="1"/>
  <c r="AF18" i="75"/>
  <c r="L38" i="129" s="1"/>
  <c r="N38" i="129" s="1"/>
  <c r="X18" i="75"/>
  <c r="I38" i="129" s="1"/>
  <c r="K38" i="129" s="1"/>
  <c r="P18" i="75"/>
  <c r="F38" i="129" s="1"/>
  <c r="F18" i="75"/>
  <c r="C18" i="75"/>
  <c r="O16" i="128" l="1"/>
  <c r="O16" i="98"/>
  <c r="O13" i="128"/>
  <c r="O13" i="98"/>
  <c r="O9" i="65"/>
  <c r="O9" i="128"/>
  <c r="O9" i="98"/>
  <c r="O17" i="128"/>
  <c r="O17" i="98"/>
  <c r="O14" i="128"/>
  <c r="O14" i="98"/>
  <c r="H38" i="129"/>
  <c r="E38" i="129" s="1"/>
  <c r="C38" i="129"/>
  <c r="O10" i="65"/>
  <c r="O10" i="128"/>
  <c r="O20" i="128" s="1"/>
  <c r="O10" i="98"/>
  <c r="O20" i="98" s="1"/>
  <c r="O18" i="128"/>
  <c r="O18" i="98"/>
  <c r="O19" i="128"/>
  <c r="O19" i="98"/>
  <c r="O11" i="128"/>
  <c r="O11" i="98"/>
  <c r="O16" i="65"/>
  <c r="O15" i="65"/>
  <c r="O15" i="128"/>
  <c r="O15" i="98"/>
  <c r="O12" i="128"/>
  <c r="O12" i="98"/>
  <c r="E39" i="63"/>
  <c r="D35" i="72" s="1"/>
  <c r="F39" i="124"/>
  <c r="F38" i="63"/>
  <c r="R39" i="124"/>
  <c r="T39" i="124" s="1"/>
  <c r="R38" i="63"/>
  <c r="AD39" i="124"/>
  <c r="AF39" i="124" s="1"/>
  <c r="AD38" i="63"/>
  <c r="I39" i="124"/>
  <c r="K39" i="124" s="1"/>
  <c r="I38" i="63"/>
  <c r="U39" i="124"/>
  <c r="W39" i="124" s="1"/>
  <c r="U38" i="63"/>
  <c r="AG39" i="124"/>
  <c r="AI39" i="124" s="1"/>
  <c r="AG38" i="63"/>
  <c r="L39" i="124"/>
  <c r="N39" i="124" s="1"/>
  <c r="L38" i="63"/>
  <c r="X39" i="124"/>
  <c r="Z39" i="124" s="1"/>
  <c r="X38" i="63"/>
  <c r="AJ39" i="124"/>
  <c r="AL39" i="124" s="1"/>
  <c r="AJ38" i="63"/>
  <c r="O39" i="124"/>
  <c r="Q39" i="124" s="1"/>
  <c r="O38" i="63"/>
  <c r="AA39" i="124"/>
  <c r="AC39" i="124" s="1"/>
  <c r="AA38" i="63"/>
  <c r="AM39" i="124"/>
  <c r="AO39" i="124" s="1"/>
  <c r="AM38" i="63"/>
  <c r="E40" i="63"/>
  <c r="H18" i="75"/>
  <c r="D43" i="90" l="1"/>
  <c r="D43" i="95"/>
  <c r="AO38" i="63"/>
  <c r="Q38" i="63"/>
  <c r="Z38" i="63"/>
  <c r="AI38" i="63"/>
  <c r="K38" i="63"/>
  <c r="T38" i="63"/>
  <c r="AC38" i="63"/>
  <c r="AL38" i="63"/>
  <c r="N38" i="63"/>
  <c r="W38" i="63"/>
  <c r="AF38" i="63"/>
  <c r="N15" i="65"/>
  <c r="C38" i="63"/>
  <c r="H38" i="63"/>
  <c r="H39" i="124"/>
  <c r="E39" i="124" s="1"/>
  <c r="C39" i="124"/>
  <c r="BR17" i="75"/>
  <c r="BJ17" i="75"/>
  <c r="AL17" i="75"/>
  <c r="AD17" i="75"/>
  <c r="V17" i="75"/>
  <c r="N17" i="128" l="1"/>
  <c r="N17" i="98"/>
  <c r="N10" i="65"/>
  <c r="N10" i="128"/>
  <c r="N10" i="98"/>
  <c r="N9" i="65"/>
  <c r="N9" i="128"/>
  <c r="N9" i="98"/>
  <c r="N16" i="65"/>
  <c r="N16" i="128"/>
  <c r="N16" i="98"/>
  <c r="N13" i="128"/>
  <c r="N13" i="98"/>
  <c r="N15" i="128"/>
  <c r="N15" i="98"/>
  <c r="N14" i="128"/>
  <c r="N14" i="98"/>
  <c r="N11" i="128"/>
  <c r="N11" i="98"/>
  <c r="N19" i="65"/>
  <c r="N19" i="128"/>
  <c r="N19" i="98"/>
  <c r="N18" i="65"/>
  <c r="N18" i="128"/>
  <c r="N18" i="98"/>
  <c r="N8" i="128"/>
  <c r="N8" i="98"/>
  <c r="N12" i="65"/>
  <c r="N12" i="128"/>
  <c r="N12" i="98"/>
  <c r="N14" i="65"/>
  <c r="N13" i="65"/>
  <c r="N11" i="65"/>
  <c r="N17" i="65"/>
  <c r="N8" i="65"/>
  <c r="E38" i="63"/>
  <c r="C43" i="75"/>
  <c r="N20" i="128" l="1"/>
  <c r="N20" i="98"/>
  <c r="D37" i="72"/>
  <c r="D45" i="90"/>
  <c r="D45" i="95"/>
  <c r="H43" i="63"/>
  <c r="N43" i="63"/>
  <c r="T43" i="63"/>
  <c r="Z43" i="63"/>
  <c r="AF43" i="63"/>
  <c r="K43" i="63"/>
  <c r="W43" i="63"/>
  <c r="AI43" i="63"/>
  <c r="AL43" i="63"/>
  <c r="AO43" i="63"/>
  <c r="Q43" i="63"/>
  <c r="AC43" i="63"/>
  <c r="C43" i="63"/>
  <c r="E43" i="63" l="1"/>
  <c r="CX17" i="75"/>
  <c r="CH17" i="75"/>
  <c r="CJ17" i="75" s="1"/>
  <c r="AG37" i="129" s="1"/>
  <c r="AI37" i="129" s="1"/>
  <c r="BT17" i="75"/>
  <c r="AA37" i="129" s="1"/>
  <c r="AC37" i="129" s="1"/>
  <c r="BL17" i="75"/>
  <c r="X37" i="129" s="1"/>
  <c r="Z37" i="129" s="1"/>
  <c r="AT17" i="75"/>
  <c r="AV17" i="75" s="1"/>
  <c r="R37" i="129" s="1"/>
  <c r="T37" i="129" s="1"/>
  <c r="AF17" i="75"/>
  <c r="L37" i="129" s="1"/>
  <c r="N37" i="129" s="1"/>
  <c r="CZ16" i="75"/>
  <c r="AM36" i="129" s="1"/>
  <c r="AO36" i="129" s="1"/>
  <c r="Q20" i="104"/>
  <c r="CB16" i="75"/>
  <c r="AD36" i="129" s="1"/>
  <c r="AF36" i="129" s="1"/>
  <c r="BD16" i="75"/>
  <c r="U36" i="129" s="1"/>
  <c r="W36" i="129" s="1"/>
  <c r="AV16" i="75"/>
  <c r="R36" i="129" s="1"/>
  <c r="T36" i="129" s="1"/>
  <c r="AN16" i="75"/>
  <c r="O36" i="129" s="1"/>
  <c r="Q36" i="129" s="1"/>
  <c r="CZ17" i="75"/>
  <c r="AM37" i="129" s="1"/>
  <c r="AO37" i="129" s="1"/>
  <c r="CB17" i="75"/>
  <c r="AD37" i="129" s="1"/>
  <c r="AF37" i="129" s="1"/>
  <c r="BD17" i="75"/>
  <c r="U37" i="129" s="1"/>
  <c r="W37" i="129" s="1"/>
  <c r="AN17" i="75"/>
  <c r="O37" i="129" s="1"/>
  <c r="Q37" i="129" s="1"/>
  <c r="AF16" i="75"/>
  <c r="L36" i="129" s="1"/>
  <c r="N36" i="129" s="1"/>
  <c r="W11" i="75"/>
  <c r="W7" i="75" s="1"/>
  <c r="X17" i="75"/>
  <c r="I37" i="129" s="1"/>
  <c r="K37" i="129" s="1"/>
  <c r="P17" i="75"/>
  <c r="BK13" i="75"/>
  <c r="BK12" i="75"/>
  <c r="F38" i="124" l="1"/>
  <c r="H38" i="124" s="1"/>
  <c r="F37" i="129"/>
  <c r="O38" i="124"/>
  <c r="Q38" i="124" s="1"/>
  <c r="O37" i="63"/>
  <c r="L38" i="124"/>
  <c r="N38" i="124" s="1"/>
  <c r="L37" i="63"/>
  <c r="AG38" i="124"/>
  <c r="AI38" i="124" s="1"/>
  <c r="AG37" i="63"/>
  <c r="R38" i="124"/>
  <c r="T38" i="124" s="1"/>
  <c r="R37" i="63"/>
  <c r="AM38" i="124"/>
  <c r="AO38" i="124" s="1"/>
  <c r="AM37" i="63"/>
  <c r="AD38" i="124"/>
  <c r="AF38" i="124" s="1"/>
  <c r="AD37" i="63"/>
  <c r="X38" i="124"/>
  <c r="Z38" i="124" s="1"/>
  <c r="X37" i="63"/>
  <c r="I38" i="124"/>
  <c r="K38" i="124" s="1"/>
  <c r="I37" i="63"/>
  <c r="U38" i="124"/>
  <c r="W38" i="124" s="1"/>
  <c r="U37" i="63"/>
  <c r="AA38" i="124"/>
  <c r="AC38" i="124" s="1"/>
  <c r="AA37" i="63"/>
  <c r="U36" i="63"/>
  <c r="U37" i="124"/>
  <c r="W37" i="124" s="1"/>
  <c r="AD36" i="63"/>
  <c r="AD37" i="124"/>
  <c r="AF37" i="124" s="1"/>
  <c r="L36" i="63"/>
  <c r="L37" i="124"/>
  <c r="N37" i="124" s="1"/>
  <c r="O36" i="63"/>
  <c r="O37" i="124"/>
  <c r="Q37" i="124" s="1"/>
  <c r="R36" i="63"/>
  <c r="R37" i="124"/>
  <c r="T37" i="124" s="1"/>
  <c r="AM36" i="63"/>
  <c r="AM37" i="124"/>
  <c r="AO37" i="124" s="1"/>
  <c r="F37" i="63"/>
  <c r="K42" i="63"/>
  <c r="BL16" i="75"/>
  <c r="X36" i="129" s="1"/>
  <c r="Z36" i="129" s="1"/>
  <c r="CR16" i="75"/>
  <c r="AJ36" i="129" s="1"/>
  <c r="AL36" i="129" s="1"/>
  <c r="BT16" i="75"/>
  <c r="AA36" i="129" s="1"/>
  <c r="AC36" i="129" s="1"/>
  <c r="CJ16" i="75"/>
  <c r="AG36" i="129" s="1"/>
  <c r="AI36" i="129" s="1"/>
  <c r="H37" i="129" l="1"/>
  <c r="Q9" i="128"/>
  <c r="Q9" i="98"/>
  <c r="K37" i="63"/>
  <c r="T37" i="63"/>
  <c r="N37" i="63"/>
  <c r="AO36" i="63"/>
  <c r="Q36" i="63"/>
  <c r="AF36" i="63"/>
  <c r="AC37" i="63"/>
  <c r="W37" i="63"/>
  <c r="Z37" i="63"/>
  <c r="AO37" i="63"/>
  <c r="M19" i="65" s="1"/>
  <c r="AI37" i="63"/>
  <c r="Q37" i="63"/>
  <c r="AF37" i="63"/>
  <c r="H37" i="63"/>
  <c r="T36" i="63"/>
  <c r="N36" i="63"/>
  <c r="W36" i="63"/>
  <c r="M15" i="65"/>
  <c r="M9" i="65"/>
  <c r="M16" i="65"/>
  <c r="L19" i="65"/>
  <c r="L11" i="65"/>
  <c r="L16" i="65"/>
  <c r="M14" i="65"/>
  <c r="M11" i="65"/>
  <c r="Q9" i="65"/>
  <c r="M8" i="65"/>
  <c r="L12" i="65"/>
  <c r="L10" i="65"/>
  <c r="L13" i="65"/>
  <c r="AJ36" i="63"/>
  <c r="AJ37" i="124"/>
  <c r="AL37" i="124" s="1"/>
  <c r="AA36" i="63"/>
  <c r="AA37" i="124"/>
  <c r="AC37" i="124" s="1"/>
  <c r="X36" i="63"/>
  <c r="X37" i="124"/>
  <c r="Z37" i="124" s="1"/>
  <c r="AG36" i="63"/>
  <c r="AG37" i="124"/>
  <c r="AI37" i="124" s="1"/>
  <c r="CQ22" i="74"/>
  <c r="CC28" i="74"/>
  <c r="CC25" i="74"/>
  <c r="AG25" i="74"/>
  <c r="D29" i="77"/>
  <c r="P28" i="77"/>
  <c r="O28" i="77"/>
  <c r="N28" i="77"/>
  <c r="M28" i="77"/>
  <c r="L28" i="77"/>
  <c r="J28" i="77"/>
  <c r="I28" i="77"/>
  <c r="H28" i="77"/>
  <c r="F28" i="77"/>
  <c r="E28" i="77"/>
  <c r="P27" i="77"/>
  <c r="O27" i="77"/>
  <c r="N27" i="77"/>
  <c r="M27" i="77"/>
  <c r="M25" i="77" s="1"/>
  <c r="L27" i="77"/>
  <c r="L25" i="77" s="1"/>
  <c r="K27" i="77"/>
  <c r="K25" i="77" s="1"/>
  <c r="J27" i="77"/>
  <c r="J25" i="77" s="1"/>
  <c r="I27" i="77"/>
  <c r="I25" i="77" s="1"/>
  <c r="H27" i="77"/>
  <c r="H25" i="77" s="1"/>
  <c r="F27" i="77"/>
  <c r="E27" i="77"/>
  <c r="D26" i="77"/>
  <c r="D24" i="77"/>
  <c r="K22" i="77"/>
  <c r="D22" i="77" s="1"/>
  <c r="D19" i="77"/>
  <c r="D18" i="77"/>
  <c r="D13" i="77"/>
  <c r="D12" i="77"/>
  <c r="D11" i="77"/>
  <c r="D9" i="77"/>
  <c r="D47" i="77" s="1"/>
  <c r="CY11" i="75"/>
  <c r="CY7" i="75" s="1"/>
  <c r="CW11" i="75"/>
  <c r="CV11" i="75"/>
  <c r="CV7" i="75" s="1"/>
  <c r="CU11" i="75"/>
  <c r="CQ11" i="75"/>
  <c r="CQ7" i="75" s="1"/>
  <c r="CO11" i="75"/>
  <c r="CN11" i="75"/>
  <c r="CN7" i="75" s="1"/>
  <c r="CM11" i="75"/>
  <c r="CI11" i="75"/>
  <c r="CI7" i="75" s="1"/>
  <c r="CG11" i="75"/>
  <c r="CF11" i="75"/>
  <c r="CF7" i="75" s="1"/>
  <c r="CE11" i="75"/>
  <c r="CA11" i="75"/>
  <c r="CA7" i="75" s="1"/>
  <c r="BY11" i="75"/>
  <c r="BX11" i="75"/>
  <c r="BX7" i="75" s="1"/>
  <c r="BW11" i="75"/>
  <c r="BS11" i="75"/>
  <c r="BS7" i="75" s="1"/>
  <c r="BQ11" i="75"/>
  <c r="BP11" i="75"/>
  <c r="BP7" i="75" s="1"/>
  <c r="BO11" i="75"/>
  <c r="BK11" i="75"/>
  <c r="BK7" i="75" s="1"/>
  <c r="BI11" i="75"/>
  <c r="BH11" i="75"/>
  <c r="BH7" i="75" s="1"/>
  <c r="BG11" i="75"/>
  <c r="BC11" i="75"/>
  <c r="BC7" i="75" s="1"/>
  <c r="BA11" i="75"/>
  <c r="AZ11" i="75"/>
  <c r="AZ7" i="75" s="1"/>
  <c r="AY11" i="75"/>
  <c r="AU11" i="75"/>
  <c r="AU7" i="75" s="1"/>
  <c r="AS11" i="75"/>
  <c r="AR11" i="75"/>
  <c r="AR7" i="75" s="1"/>
  <c r="AQ11" i="75"/>
  <c r="AM11" i="75"/>
  <c r="AM7" i="75" s="1"/>
  <c r="AK11" i="75"/>
  <c r="AJ11" i="75"/>
  <c r="AJ7" i="75" s="1"/>
  <c r="AI11" i="75"/>
  <c r="AE11" i="75"/>
  <c r="AE7" i="75" s="1"/>
  <c r="AB11" i="75"/>
  <c r="AB7" i="75" s="1"/>
  <c r="AA11" i="75"/>
  <c r="T11" i="75"/>
  <c r="T7" i="75" s="1"/>
  <c r="S11" i="75"/>
  <c r="O11" i="75"/>
  <c r="O7" i="75" s="1"/>
  <c r="L11" i="75"/>
  <c r="L7" i="75" s="1"/>
  <c r="E14" i="75"/>
  <c r="C14" i="75"/>
  <c r="M17" i="128" l="1"/>
  <c r="M17" i="98"/>
  <c r="M10" i="128"/>
  <c r="M10" i="98"/>
  <c r="M19" i="128"/>
  <c r="M19" i="98"/>
  <c r="M12" i="128"/>
  <c r="M12" i="98"/>
  <c r="L13" i="128"/>
  <c r="L13" i="98"/>
  <c r="M14" i="128"/>
  <c r="M14" i="98"/>
  <c r="M9" i="128"/>
  <c r="M9" i="98"/>
  <c r="L10" i="128"/>
  <c r="L10" i="98"/>
  <c r="M13" i="128"/>
  <c r="M13" i="98"/>
  <c r="M13" i="65"/>
  <c r="L12" i="128"/>
  <c r="L12" i="98"/>
  <c r="M15" i="128"/>
  <c r="M15" i="98"/>
  <c r="M10" i="65"/>
  <c r="M8" i="128"/>
  <c r="M8" i="98"/>
  <c r="L16" i="128"/>
  <c r="L16" i="98"/>
  <c r="N25" i="77"/>
  <c r="M12" i="65"/>
  <c r="M16" i="128"/>
  <c r="M16" i="98"/>
  <c r="L11" i="128"/>
  <c r="L11" i="98"/>
  <c r="F25" i="77"/>
  <c r="O25" i="77"/>
  <c r="M17" i="65"/>
  <c r="M11" i="128"/>
  <c r="M11" i="98"/>
  <c r="L19" i="128"/>
  <c r="L19" i="98"/>
  <c r="P25" i="77"/>
  <c r="D27" i="77"/>
  <c r="E25" i="77"/>
  <c r="D25" i="77" s="1"/>
  <c r="Z36" i="63"/>
  <c r="L14" i="65" s="1"/>
  <c r="AL36" i="63"/>
  <c r="AI36" i="63"/>
  <c r="AC36" i="63"/>
  <c r="D28" i="77"/>
  <c r="P16" i="75"/>
  <c r="F36" i="129" s="1"/>
  <c r="Q16" i="75"/>
  <c r="L18" i="128" l="1"/>
  <c r="L18" i="98"/>
  <c r="H36" i="129"/>
  <c r="L18" i="65"/>
  <c r="L14" i="128"/>
  <c r="L14" i="98"/>
  <c r="L15" i="65"/>
  <c r="L15" i="128"/>
  <c r="L15" i="98"/>
  <c r="L17" i="128"/>
  <c r="L17" i="98"/>
  <c r="L17" i="65"/>
  <c r="F36" i="63"/>
  <c r="F37" i="124"/>
  <c r="S25" i="74"/>
  <c r="U25" i="74"/>
  <c r="H36" i="63" l="1"/>
  <c r="H37" i="124"/>
  <c r="K31" i="75"/>
  <c r="L8" i="128" l="1"/>
  <c r="L8" i="98"/>
  <c r="L8" i="65"/>
  <c r="F145" i="107"/>
  <c r="F142" i="107" s="1"/>
  <c r="F137" i="107" s="1"/>
  <c r="E145" i="107"/>
  <c r="E142" i="107" s="1"/>
  <c r="E137" i="107" s="1"/>
  <c r="D145" i="107"/>
  <c r="C145" i="107"/>
  <c r="C142" i="107" s="1"/>
  <c r="C137" i="107" s="1"/>
  <c r="F17" i="107"/>
  <c r="E17" i="107"/>
  <c r="D17" i="107"/>
  <c r="D8" i="107" s="1"/>
  <c r="D45" i="107" s="1"/>
  <c r="C17" i="107"/>
  <c r="F153" i="107"/>
  <c r="F159" i="107" s="1"/>
  <c r="F160" i="107" s="1"/>
  <c r="F151" i="107"/>
  <c r="F135" i="107"/>
  <c r="F125" i="107"/>
  <c r="F100" i="107"/>
  <c r="F113" i="107"/>
  <c r="F110" i="107"/>
  <c r="F107" i="107"/>
  <c r="F97" i="107"/>
  <c r="F94" i="107"/>
  <c r="F91" i="107"/>
  <c r="F88" i="107"/>
  <c r="F85" i="107"/>
  <c r="F82" i="107"/>
  <c r="F79" i="107"/>
  <c r="F64" i="107"/>
  <c r="F62" i="107"/>
  <c r="F61" i="107"/>
  <c r="F60" i="107"/>
  <c r="F59" i="107"/>
  <c r="F54" i="107"/>
  <c r="F51" i="107"/>
  <c r="F31" i="107"/>
  <c r="F152" i="107" s="1"/>
  <c r="F8" i="107"/>
  <c r="F7" i="107" s="1"/>
  <c r="E153" i="107"/>
  <c r="E159" i="107" s="1"/>
  <c r="E160" i="107" s="1"/>
  <c r="E151" i="107"/>
  <c r="E135" i="107"/>
  <c r="E125" i="107"/>
  <c r="E100" i="107"/>
  <c r="E113" i="107"/>
  <c r="E110" i="107"/>
  <c r="E107" i="107"/>
  <c r="E97" i="107"/>
  <c r="E94" i="107"/>
  <c r="E91" i="107"/>
  <c r="E88" i="107"/>
  <c r="E85" i="107"/>
  <c r="E82" i="107"/>
  <c r="E79" i="107"/>
  <c r="E64" i="107"/>
  <c r="E62" i="107"/>
  <c r="E61" i="107"/>
  <c r="E60" i="107"/>
  <c r="E59" i="107"/>
  <c r="E54" i="107"/>
  <c r="E51" i="107"/>
  <c r="E31" i="107"/>
  <c r="E152" i="107" s="1"/>
  <c r="E8" i="107"/>
  <c r="E45" i="107" s="1"/>
  <c r="D153" i="107"/>
  <c r="D159" i="107" s="1"/>
  <c r="D160" i="107" s="1"/>
  <c r="D151" i="107"/>
  <c r="D142" i="107"/>
  <c r="D137" i="107" s="1"/>
  <c r="D135" i="107"/>
  <c r="D125" i="107"/>
  <c r="D100" i="107"/>
  <c r="D113" i="107"/>
  <c r="D110" i="107"/>
  <c r="D107" i="107"/>
  <c r="D97" i="107"/>
  <c r="D94" i="107"/>
  <c r="D91" i="107"/>
  <c r="D88" i="107"/>
  <c r="D85" i="107"/>
  <c r="D82" i="107"/>
  <c r="D79" i="107"/>
  <c r="D64" i="107"/>
  <c r="D62" i="107"/>
  <c r="D61" i="107"/>
  <c r="D60" i="107"/>
  <c r="D59" i="107"/>
  <c r="D54" i="107"/>
  <c r="D51" i="107"/>
  <c r="D31" i="107"/>
  <c r="D152" i="107" s="1"/>
  <c r="C153" i="107"/>
  <c r="C159" i="107" s="1"/>
  <c r="C160" i="107" s="1"/>
  <c r="C151" i="107"/>
  <c r="C135" i="107"/>
  <c r="C125" i="107"/>
  <c r="C100" i="107"/>
  <c r="C113" i="107"/>
  <c r="C110" i="107"/>
  <c r="C107" i="107"/>
  <c r="C97" i="107"/>
  <c r="C94" i="107"/>
  <c r="C91" i="107"/>
  <c r="C88" i="107"/>
  <c r="C85" i="107"/>
  <c r="C82" i="107"/>
  <c r="C79" i="107"/>
  <c r="C64" i="107"/>
  <c r="C62" i="107"/>
  <c r="C61" i="107"/>
  <c r="C60" i="107"/>
  <c r="C59" i="107"/>
  <c r="C54" i="107"/>
  <c r="C51" i="107"/>
  <c r="C31" i="107"/>
  <c r="C152" i="107" s="1"/>
  <c r="C8" i="107"/>
  <c r="C7" i="107" s="1"/>
  <c r="C76" i="107" l="1"/>
  <c r="D76" i="107"/>
  <c r="F76" i="107"/>
  <c r="E58" i="107"/>
  <c r="E76" i="107"/>
  <c r="D58" i="107"/>
  <c r="C40" i="107"/>
  <c r="E161" i="107"/>
  <c r="C161" i="107"/>
  <c r="F161" i="107"/>
  <c r="F58" i="107"/>
  <c r="F9" i="107"/>
  <c r="F48" i="107" s="1"/>
  <c r="F45" i="107"/>
  <c r="E7" i="107"/>
  <c r="E73" i="107" s="1"/>
  <c r="E9" i="107"/>
  <c r="E48" i="107" s="1"/>
  <c r="D9" i="107"/>
  <c r="D48" i="107" s="1"/>
  <c r="D7" i="107"/>
  <c r="D40" i="107" s="1"/>
  <c r="C58" i="107"/>
  <c r="C9" i="107"/>
  <c r="C48" i="107" s="1"/>
  <c r="F73" i="107"/>
  <c r="F57" i="107"/>
  <c r="F68" i="107" s="1"/>
  <c r="F40" i="107"/>
  <c r="F43" i="107"/>
  <c r="F53" i="107" s="1"/>
  <c r="D161" i="107"/>
  <c r="C73" i="107"/>
  <c r="C103" i="107" s="1"/>
  <c r="C57" i="107"/>
  <c r="C68" i="107" s="1"/>
  <c r="C43" i="107"/>
  <c r="C53" i="107" s="1"/>
  <c r="C45" i="107"/>
  <c r="E103" i="107" l="1"/>
  <c r="F103" i="107"/>
  <c r="E57" i="107"/>
  <c r="E68" i="107" s="1"/>
  <c r="F47" i="107"/>
  <c r="E40" i="107"/>
  <c r="E43" i="107"/>
  <c r="E47" i="107" s="1"/>
  <c r="D73" i="107"/>
  <c r="D103" i="107" s="1"/>
  <c r="D43" i="107"/>
  <c r="D57" i="107"/>
  <c r="D68" i="107" s="1"/>
  <c r="F65" i="107"/>
  <c r="F63" i="107"/>
  <c r="F67" i="107" s="1"/>
  <c r="F66" i="107"/>
  <c r="C47" i="107"/>
  <c r="C65" i="107"/>
  <c r="C63" i="107"/>
  <c r="C67" i="107" s="1"/>
  <c r="C66" i="107"/>
  <c r="E63" i="107" l="1"/>
  <c r="E67" i="107" s="1"/>
  <c r="E65" i="107"/>
  <c r="E66" i="107"/>
  <c r="D66" i="107"/>
  <c r="D63" i="107"/>
  <c r="D67" i="107" s="1"/>
  <c r="E53" i="107"/>
  <c r="D65" i="107"/>
  <c r="D47" i="107"/>
  <c r="D53" i="107"/>
  <c r="D40" i="109" l="1"/>
  <c r="E41" i="109" s="1"/>
  <c r="D38" i="109"/>
  <c r="E39" i="109" s="1"/>
  <c r="P41" i="109"/>
  <c r="O41" i="109"/>
  <c r="N41" i="109"/>
  <c r="M41" i="109"/>
  <c r="L41" i="109"/>
  <c r="H41" i="109"/>
  <c r="G41" i="109"/>
  <c r="F41" i="109"/>
  <c r="P39" i="109"/>
  <c r="O39" i="109"/>
  <c r="N39" i="109"/>
  <c r="M39" i="109"/>
  <c r="L39" i="109"/>
  <c r="H39" i="109"/>
  <c r="G39" i="109"/>
  <c r="F39" i="109"/>
  <c r="N10" i="123"/>
  <c r="N135" i="109" s="1"/>
  <c r="N129" i="109" l="1"/>
  <c r="J41" i="109"/>
  <c r="R41" i="109"/>
  <c r="J39" i="109"/>
  <c r="R39" i="109"/>
  <c r="U38" i="109" s="1"/>
  <c r="V38" i="109" s="1"/>
  <c r="W38" i="109" s="1"/>
  <c r="X38" i="109" s="1"/>
  <c r="Y38" i="109" s="1"/>
  <c r="M10" i="123"/>
  <c r="L10" i="123"/>
  <c r="L135" i="109" l="1"/>
  <c r="N13" i="123"/>
  <c r="M13" i="123"/>
  <c r="M135" i="109"/>
  <c r="P140" i="107"/>
  <c r="H140" i="107"/>
  <c r="R140" i="107"/>
  <c r="Q140" i="107"/>
  <c r="L140" i="107"/>
  <c r="K140" i="107"/>
  <c r="J140" i="107"/>
  <c r="I140" i="107"/>
  <c r="G135" i="107"/>
  <c r="H10" i="123"/>
  <c r="L13" i="123" s="1"/>
  <c r="M136" i="109" l="1"/>
  <c r="M129" i="109"/>
  <c r="N136" i="109"/>
  <c r="L136" i="109"/>
  <c r="L129" i="109"/>
  <c r="L130" i="109" s="1"/>
  <c r="U140" i="107"/>
  <c r="N140" i="107"/>
  <c r="F13" i="123"/>
  <c r="E13" i="123"/>
  <c r="F12" i="123"/>
  <c r="E12" i="123"/>
  <c r="D13" i="123"/>
  <c r="D12" i="123"/>
  <c r="N8" i="123"/>
  <c r="M8" i="123"/>
  <c r="L8" i="123"/>
  <c r="H8" i="123"/>
  <c r="F8" i="123"/>
  <c r="E8" i="123"/>
  <c r="D8" i="123"/>
  <c r="C8" i="123"/>
  <c r="G10" i="123"/>
  <c r="G9" i="123"/>
  <c r="I15" i="123" s="1"/>
  <c r="G146" i="125" l="1"/>
  <c r="G146" i="107"/>
  <c r="N11" i="123"/>
  <c r="R146" i="125"/>
  <c r="R137" i="125" s="1"/>
  <c r="R146" i="107"/>
  <c r="R137" i="107" s="1"/>
  <c r="N140" i="109" s="1"/>
  <c r="F11" i="123"/>
  <c r="J146" i="125"/>
  <c r="J146" i="107"/>
  <c r="M130" i="109"/>
  <c r="N130" i="109"/>
  <c r="L11" i="123"/>
  <c r="P146" i="125"/>
  <c r="P146" i="107"/>
  <c r="Q146" i="125"/>
  <c r="Q137" i="125" s="1"/>
  <c r="Q146" i="107"/>
  <c r="Q137" i="107" s="1"/>
  <c r="M140" i="109" s="1"/>
  <c r="H146" i="125"/>
  <c r="H146" i="107"/>
  <c r="E11" i="123"/>
  <c r="I146" i="125"/>
  <c r="I146" i="107"/>
  <c r="L146" i="125"/>
  <c r="L146" i="107"/>
  <c r="I10" i="123"/>
  <c r="I16" i="123"/>
  <c r="I14" i="123" s="1"/>
  <c r="G8" i="123"/>
  <c r="I8" i="123" s="1"/>
  <c r="G12" i="123"/>
  <c r="J12" i="123" s="1"/>
  <c r="H13" i="123"/>
  <c r="J13" i="123"/>
  <c r="H12" i="123"/>
  <c r="I9" i="123"/>
  <c r="M11" i="123"/>
  <c r="D11" i="123"/>
  <c r="G13" i="123"/>
  <c r="M146" i="125" l="1"/>
  <c r="M146" i="107"/>
  <c r="K8" i="123"/>
  <c r="J142" i="125"/>
  <c r="J137" i="125"/>
  <c r="I142" i="125"/>
  <c r="I137" i="125"/>
  <c r="L142" i="125"/>
  <c r="L137" i="125"/>
  <c r="H137" i="107"/>
  <c r="C140" i="109" s="1"/>
  <c r="H142" i="107"/>
  <c r="G137" i="107"/>
  <c r="G142" i="107"/>
  <c r="P137" i="125"/>
  <c r="G11" i="123"/>
  <c r="J11" i="123" s="1"/>
  <c r="K146" i="125"/>
  <c r="K146" i="107"/>
  <c r="K10" i="123"/>
  <c r="H142" i="125"/>
  <c r="H137" i="125"/>
  <c r="G142" i="125"/>
  <c r="G137" i="125"/>
  <c r="K9" i="123"/>
  <c r="S123" i="109"/>
  <c r="S121" i="109"/>
  <c r="S120" i="109"/>
  <c r="S125" i="109"/>
  <c r="S127" i="109"/>
  <c r="H11" i="123"/>
  <c r="S122" i="109"/>
  <c r="R100" i="107"/>
  <c r="S101" i="107" s="1"/>
  <c r="Q100" i="107"/>
  <c r="P100" i="107"/>
  <c r="T100" i="107" s="1"/>
  <c r="L100" i="107"/>
  <c r="K100" i="107"/>
  <c r="J100" i="107"/>
  <c r="I100" i="107"/>
  <c r="H100" i="107"/>
  <c r="G100" i="107"/>
  <c r="R113" i="107"/>
  <c r="S114" i="107" s="1"/>
  <c r="Q113" i="107"/>
  <c r="P113" i="107"/>
  <c r="Q114" i="107" s="1"/>
  <c r="L113" i="107"/>
  <c r="K113" i="107"/>
  <c r="J113" i="107"/>
  <c r="I113" i="107"/>
  <c r="H113" i="107"/>
  <c r="G113" i="107"/>
  <c r="L126" i="107"/>
  <c r="K126" i="107"/>
  <c r="I114" i="107" l="1"/>
  <c r="K142" i="125"/>
  <c r="K137" i="125"/>
  <c r="M142" i="125"/>
  <c r="M137" i="125"/>
  <c r="T113" i="107"/>
  <c r="L101" i="107"/>
  <c r="Q101" i="107"/>
  <c r="L114" i="107"/>
  <c r="R101" i="107"/>
  <c r="I101" i="107"/>
  <c r="H101" i="107"/>
  <c r="Q126" i="107"/>
  <c r="P126" i="107"/>
  <c r="P114" i="107"/>
  <c r="R126" i="107"/>
  <c r="P101" i="107"/>
  <c r="I126" i="107"/>
  <c r="H114" i="107"/>
  <c r="K14" i="123"/>
  <c r="K15" i="123"/>
  <c r="K16" i="123"/>
  <c r="J101" i="107"/>
  <c r="K101" i="107"/>
  <c r="K114" i="107"/>
  <c r="R114" i="107"/>
  <c r="J114" i="107"/>
  <c r="H126" i="107"/>
  <c r="J126" i="107"/>
  <c r="AE153" i="107"/>
  <c r="AD153" i="107"/>
  <c r="AC153" i="107"/>
  <c r="V153" i="107"/>
  <c r="R153" i="107"/>
  <c r="R159" i="107" s="1"/>
  <c r="Q153" i="107"/>
  <c r="Q159" i="107" s="1"/>
  <c r="P153" i="107"/>
  <c r="L153" i="107"/>
  <c r="K153" i="107"/>
  <c r="J153" i="107"/>
  <c r="I153" i="107"/>
  <c r="H153" i="107"/>
  <c r="G153" i="107"/>
  <c r="G159" i="107" s="1"/>
  <c r="AE152" i="107"/>
  <c r="AD152" i="107"/>
  <c r="AC152" i="107"/>
  <c r="AB152" i="107"/>
  <c r="C54" i="109"/>
  <c r="R142" i="107"/>
  <c r="Q142" i="107"/>
  <c r="O137" i="125" l="1"/>
  <c r="O145" i="125"/>
  <c r="O139" i="125"/>
  <c r="O147" i="125"/>
  <c r="O144" i="125"/>
  <c r="O142" i="125"/>
  <c r="AF152" i="107"/>
  <c r="P159" i="107"/>
  <c r="T159" i="107" s="1"/>
  <c r="T153" i="107"/>
  <c r="W153" i="107" s="1"/>
  <c r="U126" i="107"/>
  <c r="U101" i="107"/>
  <c r="U114" i="107"/>
  <c r="H159" i="107"/>
  <c r="N126" i="107"/>
  <c r="N114" i="107"/>
  <c r="N101" i="107"/>
  <c r="P144" i="107"/>
  <c r="P143" i="107" l="1"/>
  <c r="T144" i="107"/>
  <c r="I159" i="107"/>
  <c r="P142" i="107"/>
  <c r="T142" i="107" s="1"/>
  <c r="M147" i="107"/>
  <c r="P138" i="107" l="1"/>
  <c r="T143" i="107"/>
  <c r="J159" i="107"/>
  <c r="M145" i="107"/>
  <c r="I144" i="107"/>
  <c r="P137" i="107" l="1"/>
  <c r="L140" i="109" s="1"/>
  <c r="T138" i="107"/>
  <c r="J144" i="107"/>
  <c r="J143" i="107" s="1"/>
  <c r="J142" i="107" s="1"/>
  <c r="I143" i="107"/>
  <c r="J138" i="107"/>
  <c r="J137" i="107" s="1"/>
  <c r="E140" i="109" s="1"/>
  <c r="K159" i="107"/>
  <c r="Q151" i="107"/>
  <c r="Q160" i="107"/>
  <c r="R151" i="107"/>
  <c r="R160" i="107"/>
  <c r="K144" i="107"/>
  <c r="K143" i="107" s="1"/>
  <c r="R107" i="107"/>
  <c r="S108" i="107" s="1"/>
  <c r="Q107" i="107"/>
  <c r="P107" i="107"/>
  <c r="L107" i="107"/>
  <c r="K107" i="107"/>
  <c r="J107" i="107"/>
  <c r="I107" i="107"/>
  <c r="H107" i="107"/>
  <c r="G107" i="107"/>
  <c r="N117" i="109"/>
  <c r="M117" i="109"/>
  <c r="L117" i="109"/>
  <c r="N114" i="109"/>
  <c r="M114" i="109"/>
  <c r="L114" i="109"/>
  <c r="N111" i="109"/>
  <c r="M111" i="109"/>
  <c r="L111" i="109"/>
  <c r="H114" i="109"/>
  <c r="L115" i="109" s="1"/>
  <c r="G114" i="109"/>
  <c r="F114" i="109"/>
  <c r="E114" i="109"/>
  <c r="D114" i="109"/>
  <c r="H111" i="109"/>
  <c r="G111" i="109"/>
  <c r="F111" i="109"/>
  <c r="E111" i="109"/>
  <c r="D111" i="109"/>
  <c r="H117" i="109"/>
  <c r="G117" i="109"/>
  <c r="F117" i="109"/>
  <c r="E117" i="109"/>
  <c r="D117" i="109"/>
  <c r="C117" i="109"/>
  <c r="C114" i="109"/>
  <c r="C111" i="109"/>
  <c r="N104" i="109"/>
  <c r="M104" i="109"/>
  <c r="L104" i="109"/>
  <c r="H104" i="109"/>
  <c r="G104" i="109"/>
  <c r="F104" i="109"/>
  <c r="E104" i="109"/>
  <c r="D104" i="109"/>
  <c r="C104" i="109"/>
  <c r="R51" i="107"/>
  <c r="S52" i="107" s="1"/>
  <c r="Q51" i="107"/>
  <c r="P51" i="107"/>
  <c r="L54" i="107"/>
  <c r="K54" i="107"/>
  <c r="J54" i="107"/>
  <c r="I54" i="107"/>
  <c r="H54" i="107"/>
  <c r="G54" i="107"/>
  <c r="L51" i="107"/>
  <c r="K51" i="107"/>
  <c r="J51" i="107"/>
  <c r="I51" i="107"/>
  <c r="H51" i="107"/>
  <c r="G51" i="107"/>
  <c r="T51" i="107" l="1"/>
  <c r="T107" i="107"/>
  <c r="I138" i="107"/>
  <c r="I137" i="107" s="1"/>
  <c r="D140" i="109" s="1"/>
  <c r="I142" i="107"/>
  <c r="K138" i="107"/>
  <c r="K137" i="107" s="1"/>
  <c r="F140" i="109" s="1"/>
  <c r="K142" i="107"/>
  <c r="L159" i="107"/>
  <c r="G112" i="109"/>
  <c r="F112" i="109"/>
  <c r="F115" i="109"/>
  <c r="I52" i="107"/>
  <c r="K52" i="107"/>
  <c r="I104" i="109"/>
  <c r="E118" i="109"/>
  <c r="G118" i="109"/>
  <c r="L112" i="109"/>
  <c r="M115" i="109"/>
  <c r="D112" i="109"/>
  <c r="H112" i="109"/>
  <c r="G115" i="109"/>
  <c r="I114" i="109"/>
  <c r="F118" i="109"/>
  <c r="D118" i="109"/>
  <c r="H118" i="109"/>
  <c r="E115" i="109"/>
  <c r="N118" i="109"/>
  <c r="K108" i="107"/>
  <c r="J52" i="107"/>
  <c r="P108" i="107"/>
  <c r="Q108" i="107"/>
  <c r="J108" i="107"/>
  <c r="L144" i="107"/>
  <c r="L143" i="107" s="1"/>
  <c r="P52" i="107"/>
  <c r="R52" i="107"/>
  <c r="I108" i="107"/>
  <c r="H108" i="107"/>
  <c r="R108" i="107"/>
  <c r="H52" i="107"/>
  <c r="L52" i="107"/>
  <c r="Q52" i="107"/>
  <c r="L108" i="107"/>
  <c r="N112" i="109"/>
  <c r="I111" i="109"/>
  <c r="D115" i="109"/>
  <c r="H115" i="109"/>
  <c r="N115" i="109"/>
  <c r="L118" i="109"/>
  <c r="I117" i="109"/>
  <c r="M112" i="109"/>
  <c r="M118" i="109"/>
  <c r="E112" i="109"/>
  <c r="M51" i="107"/>
  <c r="M54" i="107"/>
  <c r="C60" i="109"/>
  <c r="C57" i="109"/>
  <c r="C20" i="109"/>
  <c r="C63" i="109" s="1"/>
  <c r="C11" i="109"/>
  <c r="AE133" i="107"/>
  <c r="AD133" i="107"/>
  <c r="AC133" i="107"/>
  <c r="AB133" i="107"/>
  <c r="AF133" i="107" s="1"/>
  <c r="V133" i="107"/>
  <c r="R135" i="107"/>
  <c r="Q135" i="107"/>
  <c r="P135" i="107"/>
  <c r="P133" i="107"/>
  <c r="R133" i="107"/>
  <c r="Q133" i="107"/>
  <c r="L135" i="107"/>
  <c r="K135" i="107"/>
  <c r="J135" i="107"/>
  <c r="I135" i="107"/>
  <c r="L133" i="107"/>
  <c r="K133" i="107"/>
  <c r="J133" i="107"/>
  <c r="I133" i="107"/>
  <c r="H135" i="107"/>
  <c r="H136" i="107" s="1"/>
  <c r="H133" i="107"/>
  <c r="G97" i="107"/>
  <c r="G94" i="107"/>
  <c r="G91" i="107"/>
  <c r="G88" i="107"/>
  <c r="G110" i="107"/>
  <c r="G166" i="107" s="1"/>
  <c r="G85" i="107"/>
  <c r="G82" i="107"/>
  <c r="G79" i="107"/>
  <c r="G64" i="107"/>
  <c r="G62" i="107"/>
  <c r="G61" i="107"/>
  <c r="G60" i="107"/>
  <c r="G59" i="107"/>
  <c r="G8" i="107"/>
  <c r="G149" i="107" l="1"/>
  <c r="G151" i="107" s="1"/>
  <c r="G149" i="125"/>
  <c r="J136" i="107"/>
  <c r="R136" i="107"/>
  <c r="S136" i="107"/>
  <c r="T133" i="107"/>
  <c r="W133" i="107" s="1"/>
  <c r="L136" i="107"/>
  <c r="T135" i="107"/>
  <c r="U52" i="107"/>
  <c r="U108" i="107"/>
  <c r="L138" i="107"/>
  <c r="L137" i="107" s="1"/>
  <c r="G140" i="109" s="1"/>
  <c r="L142" i="107"/>
  <c r="I136" i="107"/>
  <c r="Q136" i="107"/>
  <c r="N52" i="107"/>
  <c r="K136" i="107"/>
  <c r="P136" i="107"/>
  <c r="N108" i="107"/>
  <c r="J118" i="109"/>
  <c r="J115" i="109"/>
  <c r="J112" i="109"/>
  <c r="G76" i="107"/>
  <c r="M144" i="107"/>
  <c r="M143" i="107" s="1"/>
  <c r="C98" i="109"/>
  <c r="C110" i="109"/>
  <c r="M133" i="107"/>
  <c r="G9" i="107"/>
  <c r="G45" i="107"/>
  <c r="M135" i="107"/>
  <c r="C16" i="109"/>
  <c r="C51" i="109" s="1"/>
  <c r="C56" i="109" s="1"/>
  <c r="G58" i="107"/>
  <c r="G7" i="107"/>
  <c r="G40" i="107" s="1"/>
  <c r="L8" i="122"/>
  <c r="Q8" i="122" s="1"/>
  <c r="K8" i="122"/>
  <c r="G8" i="122"/>
  <c r="P8" i="122" l="1"/>
  <c r="G151" i="125"/>
  <c r="G160" i="125"/>
  <c r="G160" i="107"/>
  <c r="U136" i="107"/>
  <c r="M142" i="107"/>
  <c r="M138" i="107"/>
  <c r="M137" i="107" s="1"/>
  <c r="N136" i="107"/>
  <c r="G48" i="107"/>
  <c r="C101" i="109"/>
  <c r="C119" i="109"/>
  <c r="C116" i="109"/>
  <c r="C113" i="109"/>
  <c r="G43" i="107"/>
  <c r="C10" i="109"/>
  <c r="G73" i="107"/>
  <c r="G103" i="107" s="1"/>
  <c r="G167" i="107" s="1"/>
  <c r="G57" i="107"/>
  <c r="G68" i="107" s="1"/>
  <c r="C8" i="109" l="1"/>
  <c r="C138" i="109"/>
  <c r="O142" i="107"/>
  <c r="O137" i="107"/>
  <c r="O147" i="107"/>
  <c r="O145" i="107"/>
  <c r="O139" i="107"/>
  <c r="O144" i="107"/>
  <c r="G47" i="107"/>
  <c r="G53" i="107"/>
  <c r="C95" i="109"/>
  <c r="G66" i="107"/>
  <c r="G63" i="107"/>
  <c r="G67" i="107" s="1"/>
  <c r="G65" i="107"/>
  <c r="I21" i="109"/>
  <c r="C128" i="109" l="1"/>
  <c r="C139" i="109"/>
  <c r="C103" i="109"/>
  <c r="C107" i="109"/>
  <c r="C109" i="109" s="1"/>
  <c r="C106" i="109"/>
  <c r="C100" i="109"/>
  <c r="N60" i="109"/>
  <c r="M60" i="109"/>
  <c r="L60" i="109"/>
  <c r="N57" i="109"/>
  <c r="M57" i="109"/>
  <c r="L57" i="109"/>
  <c r="N54" i="109"/>
  <c r="M54" i="109"/>
  <c r="L54" i="109"/>
  <c r="H60" i="109"/>
  <c r="G60" i="109"/>
  <c r="F60" i="109"/>
  <c r="E60" i="109"/>
  <c r="H57" i="109"/>
  <c r="G57" i="109"/>
  <c r="F57" i="109"/>
  <c r="E57" i="109"/>
  <c r="H54" i="109"/>
  <c r="G54" i="109"/>
  <c r="F54" i="109"/>
  <c r="E54" i="109"/>
  <c r="D60" i="109"/>
  <c r="D57" i="109"/>
  <c r="D54" i="109"/>
  <c r="R97" i="107"/>
  <c r="S98" i="107" s="1"/>
  <c r="Q97" i="107"/>
  <c r="P97" i="107"/>
  <c r="R94" i="107"/>
  <c r="S95" i="107" s="1"/>
  <c r="Q94" i="107"/>
  <c r="P94" i="107"/>
  <c r="R91" i="107"/>
  <c r="S92" i="107" s="1"/>
  <c r="Q91" i="107"/>
  <c r="P91" i="107"/>
  <c r="R88" i="107"/>
  <c r="Q88" i="107"/>
  <c r="P88" i="107"/>
  <c r="R110" i="107"/>
  <c r="S111" i="107" s="1"/>
  <c r="Q110" i="107"/>
  <c r="P110" i="107"/>
  <c r="T110" i="107" s="1"/>
  <c r="R85" i="107"/>
  <c r="S86" i="107" s="1"/>
  <c r="Q85" i="107"/>
  <c r="P85" i="107"/>
  <c r="R82" i="107"/>
  <c r="S83" i="107" s="1"/>
  <c r="Q82" i="107"/>
  <c r="P82" i="107"/>
  <c r="R79" i="107"/>
  <c r="S80" i="107" s="1"/>
  <c r="Q79" i="107"/>
  <c r="P79" i="107"/>
  <c r="L97" i="107"/>
  <c r="K97" i="107"/>
  <c r="J97" i="107"/>
  <c r="I97" i="107"/>
  <c r="L94" i="107"/>
  <c r="K94" i="107"/>
  <c r="J94" i="107"/>
  <c r="I94" i="107"/>
  <c r="L91" i="107"/>
  <c r="K91" i="107"/>
  <c r="J91" i="107"/>
  <c r="I91" i="107"/>
  <c r="L88" i="107"/>
  <c r="K88" i="107"/>
  <c r="J88" i="107"/>
  <c r="I88" i="107"/>
  <c r="L110" i="107"/>
  <c r="K110" i="107"/>
  <c r="J110" i="107"/>
  <c r="I110" i="107"/>
  <c r="L85" i="107"/>
  <c r="K85" i="107"/>
  <c r="J85" i="107"/>
  <c r="I85" i="107"/>
  <c r="L82" i="107"/>
  <c r="K82" i="107"/>
  <c r="J82" i="107"/>
  <c r="I82" i="107"/>
  <c r="L79" i="107"/>
  <c r="K79" i="107"/>
  <c r="J79" i="107"/>
  <c r="J76" i="107" s="1"/>
  <c r="I79" i="107"/>
  <c r="I76" i="107" s="1"/>
  <c r="H97" i="107"/>
  <c r="H94" i="107"/>
  <c r="H91" i="107"/>
  <c r="H88" i="107"/>
  <c r="H110" i="107"/>
  <c r="H85" i="107"/>
  <c r="H82" i="107"/>
  <c r="H79" i="107"/>
  <c r="I50" i="109"/>
  <c r="U40" i="109"/>
  <c r="U41" i="109" s="1"/>
  <c r="U39" i="109"/>
  <c r="Q40" i="109"/>
  <c r="Q38" i="109"/>
  <c r="Q37" i="109"/>
  <c r="Q34" i="109"/>
  <c r="P45" i="109"/>
  <c r="O45" i="109"/>
  <c r="N45" i="109"/>
  <c r="M45" i="109"/>
  <c r="L45" i="109"/>
  <c r="P42" i="109"/>
  <c r="O42" i="109"/>
  <c r="N42" i="109"/>
  <c r="M42" i="109"/>
  <c r="L42" i="109"/>
  <c r="I40" i="109"/>
  <c r="I38" i="109"/>
  <c r="H140" i="109" s="1"/>
  <c r="I140" i="109" s="1"/>
  <c r="H45" i="109"/>
  <c r="G45" i="109"/>
  <c r="F45" i="109"/>
  <c r="E45" i="109"/>
  <c r="H42" i="109"/>
  <c r="G42" i="109"/>
  <c r="F42" i="109"/>
  <c r="E42" i="109"/>
  <c r="D45" i="109"/>
  <c r="D42" i="109"/>
  <c r="L76" i="107" l="1"/>
  <c r="Q45" i="109"/>
  <c r="T97" i="107"/>
  <c r="T94" i="107"/>
  <c r="T79" i="107"/>
  <c r="T88" i="107"/>
  <c r="T85" i="107"/>
  <c r="R89" i="107"/>
  <c r="S89" i="107"/>
  <c r="T82" i="107"/>
  <c r="T91" i="107"/>
  <c r="G43" i="109"/>
  <c r="P43" i="109"/>
  <c r="D58" i="109"/>
  <c r="Q86" i="107"/>
  <c r="P86" i="107"/>
  <c r="P95" i="107"/>
  <c r="P83" i="107"/>
  <c r="P92" i="107"/>
  <c r="P80" i="107"/>
  <c r="R86" i="107"/>
  <c r="P89" i="107"/>
  <c r="P111" i="107"/>
  <c r="Q89" i="107"/>
  <c r="P98" i="107"/>
  <c r="H43" i="109"/>
  <c r="M43" i="109"/>
  <c r="N43" i="109"/>
  <c r="E43" i="109"/>
  <c r="L43" i="109"/>
  <c r="F43" i="109"/>
  <c r="O43" i="109"/>
  <c r="H76" i="107"/>
  <c r="I77" i="107" s="1"/>
  <c r="Q76" i="107"/>
  <c r="K76" i="107"/>
  <c r="L77" i="107" s="1"/>
  <c r="P76" i="107"/>
  <c r="J77" i="107"/>
  <c r="R76" i="107"/>
  <c r="S77" i="107" s="1"/>
  <c r="G58" i="109"/>
  <c r="I57" i="109"/>
  <c r="G61" i="109"/>
  <c r="I60" i="109"/>
  <c r="D61" i="109"/>
  <c r="H58" i="109"/>
  <c r="E55" i="109"/>
  <c r="E58" i="109"/>
  <c r="E61" i="109"/>
  <c r="L55" i="109"/>
  <c r="M58" i="109"/>
  <c r="N61" i="109"/>
  <c r="G55" i="109"/>
  <c r="N55" i="109"/>
  <c r="L61" i="109"/>
  <c r="H55" i="109"/>
  <c r="H61" i="109"/>
  <c r="L58" i="109"/>
  <c r="M61" i="109"/>
  <c r="D55" i="109"/>
  <c r="F55" i="109"/>
  <c r="F58" i="109"/>
  <c r="F61" i="109"/>
  <c r="M55" i="109"/>
  <c r="N58" i="109"/>
  <c r="U42" i="109"/>
  <c r="Q42" i="109"/>
  <c r="T38" i="109"/>
  <c r="I45" i="109"/>
  <c r="U45" i="109"/>
  <c r="V40" i="109"/>
  <c r="V41" i="109" s="1"/>
  <c r="T40" i="109"/>
  <c r="H92" i="107"/>
  <c r="H86" i="107"/>
  <c r="H80" i="107"/>
  <c r="H111" i="107"/>
  <c r="H98" i="107"/>
  <c r="L83" i="107"/>
  <c r="L86" i="107"/>
  <c r="L111" i="107"/>
  <c r="L89" i="107"/>
  <c r="L92" i="107"/>
  <c r="L95" i="107"/>
  <c r="L98" i="107"/>
  <c r="Q92" i="107"/>
  <c r="J95" i="107"/>
  <c r="J98" i="107"/>
  <c r="R83" i="107"/>
  <c r="Q111" i="107"/>
  <c r="Q98" i="107"/>
  <c r="H95" i="107"/>
  <c r="H83" i="107"/>
  <c r="H89" i="107"/>
  <c r="I83" i="107"/>
  <c r="I86" i="107"/>
  <c r="I111" i="107"/>
  <c r="I89" i="107"/>
  <c r="I92" i="107"/>
  <c r="I95" i="107"/>
  <c r="I98" i="107"/>
  <c r="L80" i="107"/>
  <c r="Q83" i="107"/>
  <c r="R92" i="107"/>
  <c r="R95" i="107"/>
  <c r="I80" i="107"/>
  <c r="J80" i="107"/>
  <c r="J83" i="107"/>
  <c r="J86" i="107"/>
  <c r="J111" i="107"/>
  <c r="J89" i="107"/>
  <c r="J92" i="107"/>
  <c r="Q80" i="107"/>
  <c r="K80" i="107"/>
  <c r="K83" i="107"/>
  <c r="K86" i="107"/>
  <c r="K111" i="107"/>
  <c r="K89" i="107"/>
  <c r="K92" i="107"/>
  <c r="K95" i="107"/>
  <c r="K98" i="107"/>
  <c r="R80" i="107"/>
  <c r="R111" i="107"/>
  <c r="Q95" i="107"/>
  <c r="R98" i="107"/>
  <c r="I42" i="109"/>
  <c r="R62" i="107"/>
  <c r="Q62" i="107"/>
  <c r="R61" i="107"/>
  <c r="Q61" i="107"/>
  <c r="R60" i="107"/>
  <c r="Q60" i="107"/>
  <c r="R59" i="107"/>
  <c r="Q59" i="107"/>
  <c r="P62" i="107"/>
  <c r="P61" i="107"/>
  <c r="P60" i="107"/>
  <c r="P59" i="107"/>
  <c r="L62" i="107"/>
  <c r="K62" i="107"/>
  <c r="J62" i="107"/>
  <c r="I62" i="107"/>
  <c r="L61" i="107"/>
  <c r="K61" i="107"/>
  <c r="J61" i="107"/>
  <c r="I61" i="107"/>
  <c r="L60" i="107"/>
  <c r="K60" i="107"/>
  <c r="J60" i="107"/>
  <c r="I60" i="107"/>
  <c r="L59" i="107"/>
  <c r="K59" i="107"/>
  <c r="J59" i="107"/>
  <c r="I59" i="107"/>
  <c r="H62" i="107"/>
  <c r="H61" i="107"/>
  <c r="H60" i="107"/>
  <c r="H59" i="107"/>
  <c r="V152" i="107"/>
  <c r="J161" i="107"/>
  <c r="I161" i="107"/>
  <c r="T62" i="107" l="1"/>
  <c r="U62" i="107"/>
  <c r="U61" i="107"/>
  <c r="T61" i="107"/>
  <c r="U59" i="107"/>
  <c r="T59" i="107"/>
  <c r="U111" i="107"/>
  <c r="U92" i="107"/>
  <c r="U60" i="107"/>
  <c r="T60" i="107"/>
  <c r="U89" i="107"/>
  <c r="U83" i="107"/>
  <c r="U98" i="107"/>
  <c r="U95" i="107"/>
  <c r="T76" i="107"/>
  <c r="U80" i="107"/>
  <c r="U86" i="107"/>
  <c r="J43" i="109"/>
  <c r="P39" i="107"/>
  <c r="Q161" i="107"/>
  <c r="K39" i="107"/>
  <c r="K161" i="107"/>
  <c r="V39" i="107"/>
  <c r="R39" i="107"/>
  <c r="R161" i="107"/>
  <c r="H39" i="107"/>
  <c r="H161" i="107"/>
  <c r="O32" i="107"/>
  <c r="L39" i="107"/>
  <c r="L161" i="107"/>
  <c r="N83" i="107"/>
  <c r="N92" i="107"/>
  <c r="N95" i="107"/>
  <c r="N98" i="107"/>
  <c r="N86" i="107"/>
  <c r="P77" i="107"/>
  <c r="N111" i="107"/>
  <c r="H77" i="107"/>
  <c r="N89" i="107"/>
  <c r="N80" i="107"/>
  <c r="O31" i="107"/>
  <c r="J39" i="107"/>
  <c r="J61" i="109"/>
  <c r="J55" i="109"/>
  <c r="R43" i="109"/>
  <c r="J58" i="109"/>
  <c r="V42" i="109"/>
  <c r="V43" i="109" s="1"/>
  <c r="U43" i="109"/>
  <c r="V39" i="109"/>
  <c r="Q77" i="107"/>
  <c r="R77" i="107"/>
  <c r="K77" i="107"/>
  <c r="I152" i="107"/>
  <c r="K152" i="107"/>
  <c r="R152" i="107"/>
  <c r="H152" i="107"/>
  <c r="L152" i="107"/>
  <c r="J152" i="107"/>
  <c r="Q152" i="107"/>
  <c r="T42" i="109"/>
  <c r="T45" i="109"/>
  <c r="W40" i="109"/>
  <c r="W41" i="109" s="1"/>
  <c r="V45" i="109"/>
  <c r="H58" i="107"/>
  <c r="H70" i="107" s="1"/>
  <c r="N59" i="107"/>
  <c r="R58" i="107"/>
  <c r="S70" i="107" s="1"/>
  <c r="N61" i="107"/>
  <c r="Q58" i="107"/>
  <c r="N62" i="107"/>
  <c r="L58" i="107"/>
  <c r="P58" i="107"/>
  <c r="T58" i="107" s="1"/>
  <c r="K58" i="107"/>
  <c r="J58" i="107"/>
  <c r="I58" i="107"/>
  <c r="N60" i="107"/>
  <c r="AF39" i="107"/>
  <c r="O36" i="107"/>
  <c r="O34" i="107"/>
  <c r="O33" i="107"/>
  <c r="N77" i="107" l="1"/>
  <c r="U77" i="107"/>
  <c r="U58" i="107"/>
  <c r="P152" i="107"/>
  <c r="T152" i="107" s="1"/>
  <c r="W152" i="107" s="1"/>
  <c r="P161" i="107"/>
  <c r="T161" i="107" s="1"/>
  <c r="Q39" i="107"/>
  <c r="W39" i="107" s="1"/>
  <c r="N39" i="107"/>
  <c r="W42" i="109"/>
  <c r="X42" i="109" s="1"/>
  <c r="R70" i="107"/>
  <c r="P70" i="107"/>
  <c r="K70" i="107"/>
  <c r="W39" i="109"/>
  <c r="L70" i="107"/>
  <c r="J70" i="107"/>
  <c r="Q70" i="107"/>
  <c r="I70" i="107"/>
  <c r="X40" i="109"/>
  <c r="X41" i="109" s="1"/>
  <c r="W45" i="109"/>
  <c r="N58" i="107"/>
  <c r="R64" i="107"/>
  <c r="S72" i="107" s="1"/>
  <c r="Q64" i="107"/>
  <c r="P64" i="107"/>
  <c r="L64" i="107"/>
  <c r="K64" i="107"/>
  <c r="J64" i="107"/>
  <c r="I64" i="107"/>
  <c r="H64" i="107"/>
  <c r="H72" i="107" s="1"/>
  <c r="U39" i="107" l="1"/>
  <c r="T64" i="107"/>
  <c r="U64" i="107"/>
  <c r="U70" i="107"/>
  <c r="L72" i="107"/>
  <c r="W43" i="109"/>
  <c r="N70" i="107"/>
  <c r="P72" i="107"/>
  <c r="Q72" i="107"/>
  <c r="I72" i="107"/>
  <c r="J72" i="107"/>
  <c r="K72" i="107"/>
  <c r="R72" i="107"/>
  <c r="Y42" i="109"/>
  <c r="X43" i="109"/>
  <c r="Z38" i="109"/>
  <c r="X39" i="109"/>
  <c r="Y40" i="109"/>
  <c r="Y41" i="109" s="1"/>
  <c r="AA41" i="109" s="1"/>
  <c r="X45" i="109"/>
  <c r="N64" i="107"/>
  <c r="I35" i="109"/>
  <c r="I34" i="109"/>
  <c r="I33" i="109"/>
  <c r="I32" i="109"/>
  <c r="I30" i="109"/>
  <c r="I29" i="109"/>
  <c r="I28" i="109"/>
  <c r="I27" i="109"/>
  <c r="I26" i="109"/>
  <c r="I25" i="109"/>
  <c r="I24" i="109"/>
  <c r="I23" i="109"/>
  <c r="I22" i="109"/>
  <c r="I19" i="109"/>
  <c r="I18" i="109"/>
  <c r="I17" i="109"/>
  <c r="I54" i="109" s="1"/>
  <c r="I14" i="109"/>
  <c r="I13" i="109"/>
  <c r="I12" i="109"/>
  <c r="G20" i="109"/>
  <c r="G63" i="109" s="1"/>
  <c r="F20" i="109"/>
  <c r="E20" i="109"/>
  <c r="D20" i="109"/>
  <c r="G11" i="109"/>
  <c r="F11" i="109"/>
  <c r="E11" i="109"/>
  <c r="D11" i="109"/>
  <c r="M28" i="107"/>
  <c r="M97" i="107" s="1"/>
  <c r="M27" i="107"/>
  <c r="M26" i="107"/>
  <c r="M25" i="107"/>
  <c r="M122" i="107" s="1"/>
  <c r="M24" i="107"/>
  <c r="M23" i="107"/>
  <c r="M22" i="107"/>
  <c r="M21" i="107"/>
  <c r="M119" i="107" s="1"/>
  <c r="M20" i="107"/>
  <c r="M91" i="107" s="1"/>
  <c r="M19" i="107"/>
  <c r="M116" i="107" s="1"/>
  <c r="M18" i="107"/>
  <c r="M17" i="107"/>
  <c r="M110" i="107" s="1"/>
  <c r="M16" i="107"/>
  <c r="M113" i="107" s="1"/>
  <c r="M15" i="107"/>
  <c r="M14" i="107"/>
  <c r="M107" i="107" s="1"/>
  <c r="M13" i="107"/>
  <c r="M85" i="107" s="1"/>
  <c r="M12" i="107"/>
  <c r="M100" i="107" s="1"/>
  <c r="M11" i="107"/>
  <c r="M10" i="107"/>
  <c r="M59" i="107" s="1"/>
  <c r="K8" i="107"/>
  <c r="K45" i="107" s="1"/>
  <c r="J8" i="107"/>
  <c r="J45" i="107" s="1"/>
  <c r="I8" i="107"/>
  <c r="I45" i="107" s="1"/>
  <c r="H8" i="107"/>
  <c r="H45" i="107" s="1"/>
  <c r="K50" i="119"/>
  <c r="G35" i="119"/>
  <c r="G34" i="119"/>
  <c r="G33" i="119"/>
  <c r="G32" i="119"/>
  <c r="G30" i="119"/>
  <c r="T28" i="119"/>
  <c r="T27" i="119"/>
  <c r="P27" i="119"/>
  <c r="R27" i="119" s="1"/>
  <c r="O27" i="119"/>
  <c r="N27" i="119"/>
  <c r="M27" i="119"/>
  <c r="I27" i="119"/>
  <c r="T26" i="119"/>
  <c r="P26" i="119"/>
  <c r="O26" i="119"/>
  <c r="N26" i="119"/>
  <c r="M26" i="119"/>
  <c r="I26" i="119"/>
  <c r="T25" i="119"/>
  <c r="P25" i="119"/>
  <c r="R25" i="119" s="1"/>
  <c r="O25" i="119"/>
  <c r="N25" i="119"/>
  <c r="M25" i="119"/>
  <c r="I25" i="119"/>
  <c r="W25" i="119" s="1"/>
  <c r="T24" i="119"/>
  <c r="P24" i="119"/>
  <c r="R24" i="119" s="1"/>
  <c r="O24" i="119"/>
  <c r="N24" i="119"/>
  <c r="M24" i="119"/>
  <c r="I24" i="119"/>
  <c r="T23" i="119"/>
  <c r="I23" i="119"/>
  <c r="T22" i="119"/>
  <c r="P22" i="119"/>
  <c r="O22" i="119"/>
  <c r="N22" i="119"/>
  <c r="M22" i="119"/>
  <c r="I22" i="119"/>
  <c r="T21" i="119"/>
  <c r="T20" i="119"/>
  <c r="I20" i="119"/>
  <c r="T19" i="119"/>
  <c r="P19" i="119"/>
  <c r="R19" i="119" s="1"/>
  <c r="O19" i="119"/>
  <c r="N19" i="119"/>
  <c r="M19" i="119"/>
  <c r="I19" i="119"/>
  <c r="T18" i="119"/>
  <c r="T17" i="119"/>
  <c r="I17" i="119"/>
  <c r="T16" i="119"/>
  <c r="P16" i="119"/>
  <c r="O16" i="119"/>
  <c r="N16" i="119"/>
  <c r="M16" i="119"/>
  <c r="T15" i="119"/>
  <c r="P15" i="119"/>
  <c r="O15" i="119"/>
  <c r="N15" i="119"/>
  <c r="M15" i="119"/>
  <c r="I15" i="119"/>
  <c r="T14" i="119"/>
  <c r="T12" i="119"/>
  <c r="T11" i="119"/>
  <c r="G8" i="119"/>
  <c r="F8" i="119"/>
  <c r="F9" i="119" s="1"/>
  <c r="E8" i="119"/>
  <c r="E9" i="119" s="1"/>
  <c r="D8" i="119"/>
  <c r="D7" i="119" s="1"/>
  <c r="C8" i="119"/>
  <c r="C9" i="119" s="1"/>
  <c r="H149" i="107" l="1"/>
  <c r="H149" i="125"/>
  <c r="I149" i="107"/>
  <c r="I149" i="125"/>
  <c r="J149" i="107"/>
  <c r="J149" i="125"/>
  <c r="K149" i="107"/>
  <c r="K149" i="125"/>
  <c r="G16" i="109"/>
  <c r="G101" i="109" s="1"/>
  <c r="U19" i="119"/>
  <c r="V19" i="119" s="1"/>
  <c r="K19" i="119"/>
  <c r="J19" i="119"/>
  <c r="U24" i="119"/>
  <c r="V24" i="119" s="1"/>
  <c r="J24" i="119"/>
  <c r="U23" i="119"/>
  <c r="V23" i="119" s="1"/>
  <c r="K23" i="119"/>
  <c r="J23" i="119"/>
  <c r="U25" i="119"/>
  <c r="V25" i="119" s="1"/>
  <c r="J25" i="119"/>
  <c r="U27" i="119"/>
  <c r="V27" i="119" s="1"/>
  <c r="K27" i="119"/>
  <c r="J27" i="119"/>
  <c r="U17" i="119"/>
  <c r="V17" i="119" s="1"/>
  <c r="K17" i="119"/>
  <c r="J17" i="119"/>
  <c r="U22" i="119"/>
  <c r="V22" i="119" s="1"/>
  <c r="K22" i="119"/>
  <c r="J22" i="119"/>
  <c r="U15" i="119"/>
  <c r="V15" i="119" s="1"/>
  <c r="K15" i="119"/>
  <c r="J15" i="119"/>
  <c r="U20" i="119"/>
  <c r="V20" i="119" s="1"/>
  <c r="K20" i="119"/>
  <c r="J20" i="119"/>
  <c r="U26" i="119"/>
  <c r="V26" i="119" s="1"/>
  <c r="K26" i="119"/>
  <c r="J26" i="119"/>
  <c r="W23" i="119"/>
  <c r="W22" i="119"/>
  <c r="W15" i="119"/>
  <c r="W17" i="119"/>
  <c r="W19" i="119"/>
  <c r="W24" i="119"/>
  <c r="W27" i="119"/>
  <c r="U72" i="107"/>
  <c r="M125" i="107"/>
  <c r="N72" i="107"/>
  <c r="Y43" i="109"/>
  <c r="AA43" i="109" s="1"/>
  <c r="Y39" i="109"/>
  <c r="AA39" i="109" s="1"/>
  <c r="Z42" i="109"/>
  <c r="J151" i="107"/>
  <c r="J160" i="107"/>
  <c r="I151" i="107"/>
  <c r="I160" i="107"/>
  <c r="K151" i="107"/>
  <c r="K160" i="107"/>
  <c r="D110" i="109"/>
  <c r="D98" i="109"/>
  <c r="D99" i="109" s="1"/>
  <c r="G110" i="109"/>
  <c r="G98" i="109"/>
  <c r="E110" i="109"/>
  <c r="E98" i="109"/>
  <c r="E99" i="109" s="1"/>
  <c r="F110" i="109"/>
  <c r="F98" i="109"/>
  <c r="Y45" i="109"/>
  <c r="Z40" i="109"/>
  <c r="Z45" i="109" s="1"/>
  <c r="H46" i="107"/>
  <c r="I46" i="107"/>
  <c r="J46" i="107"/>
  <c r="K46" i="107"/>
  <c r="I9" i="107"/>
  <c r="I130" i="107"/>
  <c r="I129" i="107"/>
  <c r="H7" i="107"/>
  <c r="H129" i="107"/>
  <c r="H130" i="107"/>
  <c r="J7" i="107"/>
  <c r="J130" i="107"/>
  <c r="J129" i="107"/>
  <c r="K9" i="107"/>
  <c r="K130" i="107"/>
  <c r="K129" i="107"/>
  <c r="M79" i="107"/>
  <c r="M88" i="107"/>
  <c r="M61" i="107"/>
  <c r="M82" i="107"/>
  <c r="M60" i="107"/>
  <c r="M94" i="107"/>
  <c r="M62" i="107"/>
  <c r="M64" i="107"/>
  <c r="D16" i="109"/>
  <c r="D101" i="109" s="1"/>
  <c r="D102" i="109" s="1"/>
  <c r="D63" i="109"/>
  <c r="E16" i="109"/>
  <c r="E63" i="109"/>
  <c r="F16" i="109"/>
  <c r="F101" i="109" s="1"/>
  <c r="G102" i="109" s="1"/>
  <c r="F63" i="109"/>
  <c r="G64" i="109" s="1"/>
  <c r="G51" i="109"/>
  <c r="G48" i="109"/>
  <c r="G46" i="109"/>
  <c r="G44" i="109"/>
  <c r="G10" i="109"/>
  <c r="I7" i="107"/>
  <c r="K7" i="107"/>
  <c r="J9" i="107"/>
  <c r="H9" i="107"/>
  <c r="G7" i="119"/>
  <c r="E7" i="119"/>
  <c r="Q26" i="119"/>
  <c r="F7" i="119"/>
  <c r="Q24" i="119"/>
  <c r="C7" i="119"/>
  <c r="Q16" i="119"/>
  <c r="Q22" i="119"/>
  <c r="Q27" i="119"/>
  <c r="Q15" i="119"/>
  <c r="Q19" i="119"/>
  <c r="Q25" i="119"/>
  <c r="G31" i="119"/>
  <c r="G29" i="119" s="1"/>
  <c r="G9" i="119"/>
  <c r="D9" i="119"/>
  <c r="K151" i="125" l="1"/>
  <c r="K160" i="125"/>
  <c r="J151" i="125"/>
  <c r="J160" i="125"/>
  <c r="I151" i="125"/>
  <c r="I160" i="125"/>
  <c r="G138" i="109"/>
  <c r="K141" i="125"/>
  <c r="H151" i="125"/>
  <c r="H160" i="125"/>
  <c r="G8" i="109"/>
  <c r="G131" i="109" s="1"/>
  <c r="K141" i="107"/>
  <c r="G90" i="109"/>
  <c r="G93" i="109"/>
  <c r="G84" i="109"/>
  <c r="G75" i="109"/>
  <c r="G78" i="109"/>
  <c r="G87" i="109"/>
  <c r="G81" i="109"/>
  <c r="G69" i="109"/>
  <c r="G72" i="109"/>
  <c r="G56" i="109"/>
  <c r="G137" i="109"/>
  <c r="G134" i="109"/>
  <c r="H40" i="107"/>
  <c r="K48" i="107"/>
  <c r="K49" i="107" s="1"/>
  <c r="I43" i="107"/>
  <c r="I53" i="107" s="1"/>
  <c r="H48" i="107"/>
  <c r="J48" i="107"/>
  <c r="K43" i="107"/>
  <c r="K53" i="107" s="1"/>
  <c r="I48" i="107"/>
  <c r="I50" i="107" s="1"/>
  <c r="G53" i="109"/>
  <c r="G95" i="109"/>
  <c r="G97" i="109" s="1"/>
  <c r="D10" i="109"/>
  <c r="H151" i="107"/>
  <c r="H160" i="107"/>
  <c r="M76" i="107"/>
  <c r="F99" i="109"/>
  <c r="G99" i="109"/>
  <c r="G59" i="109"/>
  <c r="G62" i="109"/>
  <c r="G65" i="109"/>
  <c r="E64" i="109"/>
  <c r="F64" i="109"/>
  <c r="D64" i="109"/>
  <c r="H49" i="107"/>
  <c r="J49" i="107"/>
  <c r="E10" i="109"/>
  <c r="E101" i="109"/>
  <c r="E102" i="109" s="1"/>
  <c r="F116" i="109"/>
  <c r="F113" i="109"/>
  <c r="F119" i="109"/>
  <c r="G119" i="109"/>
  <c r="G116" i="109"/>
  <c r="G113" i="109"/>
  <c r="E119" i="109"/>
  <c r="E116" i="109"/>
  <c r="E113" i="109"/>
  <c r="D119" i="109"/>
  <c r="D113" i="109"/>
  <c r="D116" i="109"/>
  <c r="G106" i="109"/>
  <c r="G100" i="109"/>
  <c r="G94" i="109"/>
  <c r="I47" i="107"/>
  <c r="J40" i="107"/>
  <c r="J43" i="107"/>
  <c r="H57" i="107"/>
  <c r="H68" i="107" s="1"/>
  <c r="H43" i="107"/>
  <c r="H53" i="107" s="1"/>
  <c r="K73" i="107"/>
  <c r="K69" i="107"/>
  <c r="K128" i="107"/>
  <c r="K41" i="107"/>
  <c r="J73" i="107"/>
  <c r="J128" i="107"/>
  <c r="J41" i="107"/>
  <c r="J69" i="107"/>
  <c r="I131" i="107"/>
  <c r="I132" i="107" s="1"/>
  <c r="I42" i="107"/>
  <c r="J57" i="107"/>
  <c r="H42" i="107"/>
  <c r="H131" i="107"/>
  <c r="K42" i="107"/>
  <c r="K131" i="107"/>
  <c r="K132" i="107" s="1"/>
  <c r="H128" i="107"/>
  <c r="H41" i="107"/>
  <c r="H69" i="107"/>
  <c r="I73" i="107"/>
  <c r="I128" i="107"/>
  <c r="I41" i="107"/>
  <c r="I69" i="107"/>
  <c r="J131" i="107"/>
  <c r="J132" i="107" s="1"/>
  <c r="J42" i="107"/>
  <c r="H73" i="107"/>
  <c r="M58" i="107"/>
  <c r="F51" i="109"/>
  <c r="F46" i="109"/>
  <c r="F48" i="109"/>
  <c r="F44" i="109"/>
  <c r="D44" i="109"/>
  <c r="D51" i="109"/>
  <c r="D48" i="109"/>
  <c r="D46" i="109"/>
  <c r="F10" i="109"/>
  <c r="E51" i="109"/>
  <c r="E46" i="109"/>
  <c r="E44" i="109"/>
  <c r="E48" i="109"/>
  <c r="G47" i="109"/>
  <c r="K57" i="107"/>
  <c r="K40" i="107"/>
  <c r="I40" i="107"/>
  <c r="I57" i="107"/>
  <c r="E138" i="109" l="1"/>
  <c r="I141" i="125"/>
  <c r="I49" i="107"/>
  <c r="D138" i="109"/>
  <c r="H141" i="125"/>
  <c r="F138" i="109"/>
  <c r="J141" i="125"/>
  <c r="G128" i="109"/>
  <c r="G139" i="109"/>
  <c r="E90" i="109"/>
  <c r="E93" i="109"/>
  <c r="D93" i="109"/>
  <c r="D90" i="109"/>
  <c r="F8" i="109"/>
  <c r="F9" i="109" s="1"/>
  <c r="J141" i="107"/>
  <c r="F90" i="109"/>
  <c r="F93" i="109"/>
  <c r="E8" i="109"/>
  <c r="I141" i="107"/>
  <c r="D8" i="109"/>
  <c r="D137" i="109" s="1"/>
  <c r="H141" i="107"/>
  <c r="K50" i="107"/>
  <c r="D87" i="109"/>
  <c r="D78" i="109"/>
  <c r="D75" i="109"/>
  <c r="D81" i="109"/>
  <c r="D84" i="109"/>
  <c r="D72" i="109"/>
  <c r="D69" i="109"/>
  <c r="D56" i="109"/>
  <c r="F84" i="109"/>
  <c r="F87" i="109"/>
  <c r="F75" i="109"/>
  <c r="F78" i="109"/>
  <c r="F81" i="109"/>
  <c r="F69" i="109"/>
  <c r="F72" i="109"/>
  <c r="F56" i="109"/>
  <c r="D94" i="109"/>
  <c r="E81" i="109"/>
  <c r="E84" i="109"/>
  <c r="E75" i="109"/>
  <c r="E78" i="109"/>
  <c r="E87" i="109"/>
  <c r="E72" i="109"/>
  <c r="E69" i="109"/>
  <c r="E56" i="109"/>
  <c r="H102" i="107"/>
  <c r="H103" i="107"/>
  <c r="H124" i="107"/>
  <c r="H121" i="107"/>
  <c r="H118" i="107"/>
  <c r="J103" i="107"/>
  <c r="J118" i="107"/>
  <c r="J124" i="107"/>
  <c r="J121" i="107"/>
  <c r="K103" i="107"/>
  <c r="K124" i="107"/>
  <c r="K121" i="107"/>
  <c r="K118" i="107"/>
  <c r="K47" i="107"/>
  <c r="I103" i="107"/>
  <c r="I118" i="107"/>
  <c r="I124" i="107"/>
  <c r="I121" i="107"/>
  <c r="F137" i="109"/>
  <c r="F131" i="109"/>
  <c r="E137" i="109"/>
  <c r="E134" i="109"/>
  <c r="E131" i="109"/>
  <c r="D134" i="109"/>
  <c r="H127" i="107"/>
  <c r="H115" i="107"/>
  <c r="J115" i="107"/>
  <c r="J127" i="107"/>
  <c r="J102" i="107"/>
  <c r="K102" i="107"/>
  <c r="K115" i="107"/>
  <c r="K127" i="107"/>
  <c r="I127" i="107"/>
  <c r="I115" i="107"/>
  <c r="I102" i="107"/>
  <c r="D9" i="109"/>
  <c r="G9" i="109"/>
  <c r="E52" i="109"/>
  <c r="E53" i="109"/>
  <c r="D53" i="109"/>
  <c r="D52" i="109"/>
  <c r="F53" i="109"/>
  <c r="G107" i="109"/>
  <c r="F52" i="109"/>
  <c r="E47" i="109"/>
  <c r="G103" i="109"/>
  <c r="D95" i="109"/>
  <c r="D47" i="109"/>
  <c r="G52" i="109"/>
  <c r="I78" i="107"/>
  <c r="H78" i="107"/>
  <c r="J78" i="107"/>
  <c r="K78" i="107"/>
  <c r="F102" i="109"/>
  <c r="E95" i="109"/>
  <c r="E97" i="109" s="1"/>
  <c r="F62" i="109"/>
  <c r="F59" i="109"/>
  <c r="F65" i="109"/>
  <c r="E62" i="109"/>
  <c r="E59" i="109"/>
  <c r="D62" i="109"/>
  <c r="D59" i="109"/>
  <c r="G109" i="109"/>
  <c r="D65" i="109"/>
  <c r="E65" i="109"/>
  <c r="I109" i="107"/>
  <c r="H109" i="107"/>
  <c r="J109" i="107"/>
  <c r="K109" i="107"/>
  <c r="H50" i="107"/>
  <c r="H65" i="107"/>
  <c r="K44" i="107"/>
  <c r="J53" i="107"/>
  <c r="J50" i="107"/>
  <c r="E94" i="109"/>
  <c r="F94" i="109"/>
  <c r="F95" i="109"/>
  <c r="E103" i="109"/>
  <c r="E106" i="109"/>
  <c r="F47" i="109"/>
  <c r="H66" i="107"/>
  <c r="H63" i="107"/>
  <c r="H44" i="107"/>
  <c r="H47" i="107"/>
  <c r="I44" i="107"/>
  <c r="J44" i="107"/>
  <c r="J47" i="107"/>
  <c r="H93" i="107"/>
  <c r="H99" i="107"/>
  <c r="H96" i="107"/>
  <c r="H81" i="107"/>
  <c r="H112" i="107"/>
  <c r="H84" i="107"/>
  <c r="H87" i="107"/>
  <c r="H90" i="107"/>
  <c r="J93" i="107"/>
  <c r="J96" i="107"/>
  <c r="J112" i="107"/>
  <c r="J84" i="107"/>
  <c r="J90" i="107"/>
  <c r="J99" i="107"/>
  <c r="J87" i="107"/>
  <c r="J81" i="107"/>
  <c r="K81" i="107"/>
  <c r="K99" i="107"/>
  <c r="K96" i="107"/>
  <c r="K84" i="107"/>
  <c r="K112" i="107"/>
  <c r="K87" i="107"/>
  <c r="K93" i="107"/>
  <c r="K90" i="107"/>
  <c r="I81" i="107"/>
  <c r="I112" i="107"/>
  <c r="I93" i="107"/>
  <c r="I99" i="107"/>
  <c r="I84" i="107"/>
  <c r="I87" i="107"/>
  <c r="I90" i="107"/>
  <c r="I96" i="107"/>
  <c r="J105" i="107"/>
  <c r="J74" i="107"/>
  <c r="J75" i="107"/>
  <c r="K74" i="107"/>
  <c r="K75" i="107"/>
  <c r="H74" i="107"/>
  <c r="H75" i="107"/>
  <c r="I75" i="107"/>
  <c r="I74" i="107"/>
  <c r="J63" i="107"/>
  <c r="J65" i="107"/>
  <c r="J66" i="107"/>
  <c r="J68" i="107"/>
  <c r="H132" i="107"/>
  <c r="I63" i="107"/>
  <c r="I65" i="107"/>
  <c r="I66" i="107"/>
  <c r="I68" i="107"/>
  <c r="K63" i="107"/>
  <c r="K65" i="107"/>
  <c r="K66" i="107"/>
  <c r="K68" i="107"/>
  <c r="F134" i="109" l="1"/>
  <c r="E128" i="109"/>
  <c r="E139" i="109"/>
  <c r="F128" i="109"/>
  <c r="F139" i="109"/>
  <c r="D128" i="109"/>
  <c r="D139" i="109"/>
  <c r="E9" i="109"/>
  <c r="D131" i="109"/>
  <c r="F96" i="109"/>
  <c r="F97" i="109"/>
  <c r="D96" i="109"/>
  <c r="D97" i="109"/>
  <c r="E100" i="109"/>
  <c r="E96" i="109"/>
  <c r="G96" i="109"/>
  <c r="K67" i="107"/>
  <c r="K71" i="107"/>
  <c r="I67" i="107"/>
  <c r="I71" i="107"/>
  <c r="H67" i="107"/>
  <c r="H71" i="107"/>
  <c r="J67" i="107"/>
  <c r="J71" i="107"/>
  <c r="D106" i="109"/>
  <c r="D103" i="109"/>
  <c r="D100" i="109"/>
  <c r="D107" i="109"/>
  <c r="E107" i="109"/>
  <c r="E109" i="109" s="1"/>
  <c r="F107" i="109"/>
  <c r="F103" i="109"/>
  <c r="F106" i="109"/>
  <c r="F100" i="109"/>
  <c r="H104" i="107"/>
  <c r="H105" i="107"/>
  <c r="I104" i="107"/>
  <c r="I105" i="107"/>
  <c r="K104" i="107"/>
  <c r="K105" i="107"/>
  <c r="J104" i="107"/>
  <c r="P36" i="2"/>
  <c r="V35" i="109" s="1"/>
  <c r="K36" i="2"/>
  <c r="U35" i="109" l="1"/>
  <c r="C37" i="133"/>
  <c r="D21" i="127"/>
  <c r="D108" i="109"/>
  <c r="D109" i="109"/>
  <c r="E108" i="109"/>
  <c r="F108" i="109"/>
  <c r="G108" i="109"/>
  <c r="F109" i="109"/>
  <c r="Z34" i="109" l="1"/>
  <c r="N20" i="109"/>
  <c r="N63" i="109" s="1"/>
  <c r="M20" i="109"/>
  <c r="M63" i="109" s="1"/>
  <c r="L20" i="109"/>
  <c r="L63" i="109" s="1"/>
  <c r="H20" i="109"/>
  <c r="H63" i="109" s="1"/>
  <c r="N16" i="109"/>
  <c r="N101" i="109" s="1"/>
  <c r="M16" i="109"/>
  <c r="M101" i="109" s="1"/>
  <c r="N11" i="109"/>
  <c r="M11" i="109"/>
  <c r="L11" i="109"/>
  <c r="H11" i="109"/>
  <c r="Q8" i="107"/>
  <c r="Q45" i="107" s="1"/>
  <c r="P8" i="107"/>
  <c r="L8" i="107"/>
  <c r="L45" i="107" s="1"/>
  <c r="AE27" i="107"/>
  <c r="AD27" i="107"/>
  <c r="AE26" i="107"/>
  <c r="AD26" i="107"/>
  <c r="AE25" i="107"/>
  <c r="AE122" i="107" s="1"/>
  <c r="AD25" i="107"/>
  <c r="AD122" i="107" s="1"/>
  <c r="AE24" i="107"/>
  <c r="AD24" i="107"/>
  <c r="AE22" i="107"/>
  <c r="AD22" i="107"/>
  <c r="AE19" i="107"/>
  <c r="AE116" i="107" s="1"/>
  <c r="AD19" i="107"/>
  <c r="AD116" i="107" s="1"/>
  <c r="AE16" i="107"/>
  <c r="AE113" i="107" s="1"/>
  <c r="AD16" i="107"/>
  <c r="AD113" i="107" s="1"/>
  <c r="AE15" i="107"/>
  <c r="AD15" i="107"/>
  <c r="L64" i="109" l="1"/>
  <c r="L149" i="107"/>
  <c r="L149" i="125"/>
  <c r="P149" i="107"/>
  <c r="T149" i="107" s="1"/>
  <c r="P149" i="125"/>
  <c r="H16" i="109"/>
  <c r="H101" i="109" s="1"/>
  <c r="L16" i="109"/>
  <c r="L101" i="109" s="1"/>
  <c r="L102" i="109" s="1"/>
  <c r="P45" i="107"/>
  <c r="AE123" i="107"/>
  <c r="AE117" i="107"/>
  <c r="I49" i="109"/>
  <c r="AE114" i="107"/>
  <c r="M102" i="109"/>
  <c r="I101" i="109"/>
  <c r="H102" i="109"/>
  <c r="J102" i="109" s="1"/>
  <c r="M64" i="109"/>
  <c r="H64" i="109"/>
  <c r="J64" i="109" s="1"/>
  <c r="I63" i="109"/>
  <c r="N102" i="109"/>
  <c r="N64" i="109"/>
  <c r="H110" i="109"/>
  <c r="H98" i="109"/>
  <c r="H99" i="109" s="1"/>
  <c r="J99" i="109" s="1"/>
  <c r="I11" i="109"/>
  <c r="I159" i="109" s="1"/>
  <c r="L110" i="109"/>
  <c r="L98" i="109"/>
  <c r="M110" i="109"/>
  <c r="M98" i="109"/>
  <c r="N10" i="109"/>
  <c r="R141" i="125" s="1"/>
  <c r="N98" i="109"/>
  <c r="N110" i="109"/>
  <c r="Q46" i="107"/>
  <c r="P46" i="107"/>
  <c r="L46" i="107"/>
  <c r="N46" i="107" s="1"/>
  <c r="M45" i="107"/>
  <c r="P7" i="107"/>
  <c r="P129" i="107"/>
  <c r="L130" i="107"/>
  <c r="N130" i="107" s="1"/>
  <c r="L129" i="107"/>
  <c r="M129" i="107" s="1"/>
  <c r="Q7" i="107"/>
  <c r="Q163" i="107" s="1"/>
  <c r="Q129" i="107"/>
  <c r="AD94" i="107"/>
  <c r="AD62" i="107"/>
  <c r="AE94" i="107"/>
  <c r="AE62" i="107"/>
  <c r="H44" i="109"/>
  <c r="H48" i="109"/>
  <c r="L46" i="109"/>
  <c r="L51" i="109"/>
  <c r="L69" i="109" s="1"/>
  <c r="L48" i="109"/>
  <c r="L44" i="109"/>
  <c r="M51" i="109"/>
  <c r="M48" i="109"/>
  <c r="M44" i="109"/>
  <c r="M46" i="109"/>
  <c r="N51" i="109"/>
  <c r="N48" i="109"/>
  <c r="N44" i="109"/>
  <c r="N46" i="109"/>
  <c r="I16" i="109"/>
  <c r="I20" i="109"/>
  <c r="Q40" i="107"/>
  <c r="L7" i="107"/>
  <c r="L163" i="107" s="1"/>
  <c r="M8" i="107"/>
  <c r="L9" i="107"/>
  <c r="P9" i="107"/>
  <c r="M10" i="109"/>
  <c r="Q141" i="125" s="1"/>
  <c r="H10" i="109"/>
  <c r="Q9" i="107"/>
  <c r="P151" i="125" l="1"/>
  <c r="P160" i="125"/>
  <c r="H138" i="109"/>
  <c r="I138" i="109" s="1"/>
  <c r="L141" i="125"/>
  <c r="M141" i="125" s="1"/>
  <c r="L151" i="125"/>
  <c r="L160" i="125"/>
  <c r="L10" i="109"/>
  <c r="P141" i="125" s="1"/>
  <c r="H46" i="109"/>
  <c r="H51" i="109"/>
  <c r="M138" i="109"/>
  <c r="M139" i="109"/>
  <c r="N139" i="109"/>
  <c r="N138" i="109"/>
  <c r="L139" i="109"/>
  <c r="P163" i="107"/>
  <c r="Q164" i="107" s="1"/>
  <c r="P164" i="107"/>
  <c r="M8" i="109"/>
  <c r="M128" i="109" s="1"/>
  <c r="Q141" i="107"/>
  <c r="H8" i="109"/>
  <c r="H139" i="109" s="1"/>
  <c r="I139" i="109" s="1"/>
  <c r="L141" i="107"/>
  <c r="M141" i="107" s="1"/>
  <c r="L90" i="109"/>
  <c r="L93" i="109"/>
  <c r="H90" i="109"/>
  <c r="H93" i="109"/>
  <c r="N90" i="109"/>
  <c r="N93" i="109"/>
  <c r="M93" i="109"/>
  <c r="M90" i="109"/>
  <c r="L99" i="109"/>
  <c r="N8" i="109"/>
  <c r="N128" i="109" s="1"/>
  <c r="R141" i="107"/>
  <c r="L87" i="109"/>
  <c r="L81" i="109"/>
  <c r="L84" i="109"/>
  <c r="L75" i="109"/>
  <c r="L78" i="109"/>
  <c r="L72" i="109"/>
  <c r="H81" i="109"/>
  <c r="H87" i="109"/>
  <c r="H78" i="109"/>
  <c r="H75" i="109"/>
  <c r="H84" i="109"/>
  <c r="H72" i="109"/>
  <c r="H69" i="109"/>
  <c r="H56" i="109"/>
  <c r="N87" i="109"/>
  <c r="N75" i="109"/>
  <c r="N84" i="109"/>
  <c r="N78" i="109"/>
  <c r="N81" i="109"/>
  <c r="N72" i="109"/>
  <c r="N69" i="109"/>
  <c r="M81" i="109"/>
  <c r="M84" i="109"/>
  <c r="M87" i="109"/>
  <c r="M78" i="109"/>
  <c r="M75" i="109"/>
  <c r="M72" i="109"/>
  <c r="M69" i="109"/>
  <c r="M134" i="109"/>
  <c r="M131" i="109"/>
  <c r="N134" i="109"/>
  <c r="N131" i="109"/>
  <c r="Q48" i="107"/>
  <c r="Q50" i="107" s="1"/>
  <c r="P48" i="107"/>
  <c r="Q43" i="107"/>
  <c r="P43" i="107"/>
  <c r="L48" i="107"/>
  <c r="P49" i="107" s="1"/>
  <c r="L53" i="109"/>
  <c r="L52" i="109"/>
  <c r="H52" i="109"/>
  <c r="J52" i="109" s="1"/>
  <c r="H53" i="109"/>
  <c r="N52" i="109"/>
  <c r="N53" i="109"/>
  <c r="M53" i="109"/>
  <c r="M52" i="109"/>
  <c r="L47" i="109"/>
  <c r="H95" i="109"/>
  <c r="H103" i="109" s="1"/>
  <c r="N47" i="109"/>
  <c r="L151" i="107"/>
  <c r="L160" i="107"/>
  <c r="P151" i="107"/>
  <c r="T151" i="107" s="1"/>
  <c r="P160" i="107"/>
  <c r="T160" i="107" s="1"/>
  <c r="M99" i="109"/>
  <c r="N59" i="109"/>
  <c r="N56" i="109"/>
  <c r="N62" i="109"/>
  <c r="M59" i="109"/>
  <c r="M62" i="109"/>
  <c r="M56" i="109"/>
  <c r="M65" i="109"/>
  <c r="L62" i="109"/>
  <c r="L59" i="109"/>
  <c r="L56" i="109"/>
  <c r="H62" i="109"/>
  <c r="H59" i="109"/>
  <c r="N99" i="109"/>
  <c r="N65" i="109"/>
  <c r="H65" i="109"/>
  <c r="L65" i="109"/>
  <c r="Q57" i="107"/>
  <c r="Q66" i="107" s="1"/>
  <c r="M48" i="107"/>
  <c r="L49" i="107"/>
  <c r="N49" i="107" s="1"/>
  <c r="P50" i="107"/>
  <c r="Q47" i="107"/>
  <c r="N119" i="109"/>
  <c r="N116" i="109"/>
  <c r="N113" i="109"/>
  <c r="M119" i="109"/>
  <c r="M116" i="109"/>
  <c r="M113" i="109"/>
  <c r="I98" i="109"/>
  <c r="N94" i="109"/>
  <c r="N95" i="109"/>
  <c r="N97" i="109" s="1"/>
  <c r="L113" i="109"/>
  <c r="L119" i="109"/>
  <c r="L116" i="109"/>
  <c r="H119" i="109"/>
  <c r="H113" i="109"/>
  <c r="H116" i="109"/>
  <c r="I110" i="109"/>
  <c r="H106" i="109"/>
  <c r="M94" i="109"/>
  <c r="M95" i="109"/>
  <c r="M97" i="109" s="1"/>
  <c r="L94" i="109"/>
  <c r="L95" i="109"/>
  <c r="H47" i="109"/>
  <c r="H94" i="109"/>
  <c r="J94" i="109" s="1"/>
  <c r="I10" i="109"/>
  <c r="K11" i="109" s="1"/>
  <c r="P47" i="107"/>
  <c r="L43" i="107"/>
  <c r="L47" i="107" s="1"/>
  <c r="Q63" i="107"/>
  <c r="P128" i="107"/>
  <c r="P41" i="107"/>
  <c r="P69" i="107"/>
  <c r="P131" i="107"/>
  <c r="P42" i="107"/>
  <c r="P132" i="107"/>
  <c r="P130" i="107"/>
  <c r="P57" i="107"/>
  <c r="U57" i="107" s="1"/>
  <c r="P73" i="107"/>
  <c r="L132" i="107"/>
  <c r="N132" i="107" s="1"/>
  <c r="L131" i="107"/>
  <c r="M131" i="107" s="1"/>
  <c r="L42" i="107"/>
  <c r="N42" i="107" s="1"/>
  <c r="Q73" i="107"/>
  <c r="Q69" i="107"/>
  <c r="Q41" i="107"/>
  <c r="Q128" i="107"/>
  <c r="Q130" i="107"/>
  <c r="Q132" i="107"/>
  <c r="Q42" i="107"/>
  <c r="Q131" i="107"/>
  <c r="L41" i="107"/>
  <c r="N41" i="107" s="1"/>
  <c r="L128" i="107"/>
  <c r="N128" i="107" s="1"/>
  <c r="L69" i="107"/>
  <c r="N69" i="107" s="1"/>
  <c r="P40" i="107"/>
  <c r="AE95" i="107"/>
  <c r="L57" i="107"/>
  <c r="N57" i="107" s="1"/>
  <c r="L73" i="107"/>
  <c r="M7" i="107"/>
  <c r="I44" i="109"/>
  <c r="I51" i="109"/>
  <c r="I46" i="109"/>
  <c r="I48" i="109"/>
  <c r="M47" i="109"/>
  <c r="M9" i="107"/>
  <c r="L40" i="107"/>
  <c r="N40" i="107" s="1"/>
  <c r="L138" i="109" l="1"/>
  <c r="P141" i="107"/>
  <c r="L8" i="109"/>
  <c r="L128" i="109" s="1"/>
  <c r="H128" i="109"/>
  <c r="H131" i="109"/>
  <c r="H100" i="109"/>
  <c r="I100" i="109" s="1"/>
  <c r="H137" i="109"/>
  <c r="Q49" i="107"/>
  <c r="H9" i="109"/>
  <c r="J9" i="109" s="1"/>
  <c r="H107" i="109"/>
  <c r="H108" i="109" s="1"/>
  <c r="J108" i="109" s="1"/>
  <c r="I95" i="109"/>
  <c r="I106" i="109" s="1"/>
  <c r="L137" i="109"/>
  <c r="M137" i="109"/>
  <c r="H134" i="109"/>
  <c r="L9" i="109"/>
  <c r="L131" i="109"/>
  <c r="M9" i="109"/>
  <c r="N9" i="109"/>
  <c r="N137" i="109"/>
  <c r="L100" i="109"/>
  <c r="H96" i="109"/>
  <c r="J96" i="109" s="1"/>
  <c r="H97" i="109"/>
  <c r="K97" i="109" s="1"/>
  <c r="K88" i="109"/>
  <c r="K91" i="109"/>
  <c r="K79" i="109"/>
  <c r="K82" i="109"/>
  <c r="K85" i="109"/>
  <c r="K73" i="109"/>
  <c r="K76" i="109"/>
  <c r="K63" i="109"/>
  <c r="K70" i="109"/>
  <c r="K67" i="109"/>
  <c r="Q103" i="107"/>
  <c r="Q124" i="107"/>
  <c r="Q118" i="107"/>
  <c r="Q121" i="107"/>
  <c r="P121" i="107"/>
  <c r="P103" i="107"/>
  <c r="P124" i="107"/>
  <c r="P118" i="107"/>
  <c r="L103" i="107"/>
  <c r="L124" i="107"/>
  <c r="L121" i="107"/>
  <c r="L118" i="107"/>
  <c r="P53" i="107"/>
  <c r="P44" i="107"/>
  <c r="Q115" i="107"/>
  <c r="Q127" i="107"/>
  <c r="Q102" i="107"/>
  <c r="P74" i="107"/>
  <c r="P115" i="107"/>
  <c r="P102" i="107"/>
  <c r="P127" i="107"/>
  <c r="P90" i="107"/>
  <c r="Q53" i="107"/>
  <c r="Q44" i="107"/>
  <c r="L115" i="107"/>
  <c r="L102" i="107"/>
  <c r="L127" i="107"/>
  <c r="I8" i="109"/>
  <c r="I128" i="109" s="1"/>
  <c r="K12" i="109"/>
  <c r="K135" i="109"/>
  <c r="K132" i="109"/>
  <c r="K13" i="109"/>
  <c r="K14" i="109"/>
  <c r="M107" i="109"/>
  <c r="M96" i="109"/>
  <c r="I65" i="109"/>
  <c r="K53" i="109"/>
  <c r="N100" i="109"/>
  <c r="N96" i="109"/>
  <c r="L107" i="109"/>
  <c r="L109" i="109" s="1"/>
  <c r="L96" i="109"/>
  <c r="L78" i="107"/>
  <c r="Q78" i="107"/>
  <c r="P78" i="107"/>
  <c r="Q68" i="107"/>
  <c r="Q65" i="107"/>
  <c r="I62" i="109"/>
  <c r="I59" i="109"/>
  <c r="I56" i="109"/>
  <c r="L63" i="107"/>
  <c r="Q109" i="107"/>
  <c r="L109" i="107"/>
  <c r="M73" i="107"/>
  <c r="P109" i="107"/>
  <c r="L53" i="107"/>
  <c r="L50" i="107"/>
  <c r="M100" i="109"/>
  <c r="I103" i="109"/>
  <c r="L106" i="109"/>
  <c r="L103" i="109"/>
  <c r="M103" i="109"/>
  <c r="M106" i="109"/>
  <c r="I119" i="109"/>
  <c r="I116" i="109"/>
  <c r="I113" i="109"/>
  <c r="I107" i="109"/>
  <c r="N107" i="109"/>
  <c r="N103" i="109"/>
  <c r="N106" i="109"/>
  <c r="L44" i="107"/>
  <c r="N44" i="107" s="1"/>
  <c r="M43" i="107"/>
  <c r="P96" i="107"/>
  <c r="P93" i="107"/>
  <c r="P112" i="107"/>
  <c r="P87" i="107"/>
  <c r="P84" i="107"/>
  <c r="P81" i="107"/>
  <c r="P99" i="107"/>
  <c r="L81" i="107"/>
  <c r="L112" i="107"/>
  <c r="L93" i="107"/>
  <c r="L99" i="107"/>
  <c r="L87" i="107"/>
  <c r="L84" i="107"/>
  <c r="L90" i="107"/>
  <c r="L96" i="107"/>
  <c r="Q96" i="107"/>
  <c r="Q81" i="107"/>
  <c r="Q93" i="107"/>
  <c r="Q84" i="107"/>
  <c r="Q112" i="107"/>
  <c r="Q99" i="107"/>
  <c r="Q87" i="107"/>
  <c r="Q90" i="107"/>
  <c r="Q67" i="107"/>
  <c r="O135" i="107"/>
  <c r="O131" i="107"/>
  <c r="P63" i="107"/>
  <c r="P65" i="107"/>
  <c r="P66" i="107"/>
  <c r="P68" i="107"/>
  <c r="L74" i="107"/>
  <c r="N74" i="107" s="1"/>
  <c r="L75" i="107"/>
  <c r="L65" i="107"/>
  <c r="O65" i="107" s="1"/>
  <c r="L66" i="107"/>
  <c r="O66" i="107" s="1"/>
  <c r="L68" i="107"/>
  <c r="O68" i="107" s="1"/>
  <c r="O129" i="107"/>
  <c r="Q74" i="107"/>
  <c r="K51" i="109"/>
  <c r="K60" i="109"/>
  <c r="K57" i="109"/>
  <c r="K54" i="109"/>
  <c r="K16" i="109"/>
  <c r="I47" i="109"/>
  <c r="K30" i="109"/>
  <c r="K26" i="109"/>
  <c r="K10" i="109"/>
  <c r="K19" i="109"/>
  <c r="K25" i="109"/>
  <c r="K23" i="109"/>
  <c r="K21" i="109"/>
  <c r="K22" i="109"/>
  <c r="K29" i="109"/>
  <c r="K18" i="109"/>
  <c r="K17" i="109"/>
  <c r="K27" i="109"/>
  <c r="K24" i="109"/>
  <c r="K28" i="109"/>
  <c r="K20" i="109"/>
  <c r="O8" i="107"/>
  <c r="M57" i="107"/>
  <c r="O58" i="107" s="1"/>
  <c r="O9" i="107"/>
  <c r="O25" i="107"/>
  <c r="O21" i="107"/>
  <c r="O17" i="107"/>
  <c r="O13" i="107"/>
  <c r="O22" i="107"/>
  <c r="O18" i="107"/>
  <c r="O14" i="107"/>
  <c r="O10" i="107"/>
  <c r="O28" i="107"/>
  <c r="O24" i="107"/>
  <c r="O20" i="107"/>
  <c r="O16" i="107"/>
  <c r="O12" i="107"/>
  <c r="O26" i="107"/>
  <c r="O27" i="107"/>
  <c r="O23" i="107"/>
  <c r="O19" i="107"/>
  <c r="O15" i="107"/>
  <c r="O11" i="107"/>
  <c r="O7" i="107"/>
  <c r="G37" i="118"/>
  <c r="AP39" i="118"/>
  <c r="AP38" i="118"/>
  <c r="AP37" i="118"/>
  <c r="W36" i="118"/>
  <c r="V36" i="118"/>
  <c r="U36" i="118" s="1"/>
  <c r="T36" i="118"/>
  <c r="S36" i="118"/>
  <c r="Q36" i="118"/>
  <c r="P36" i="118"/>
  <c r="N36" i="118"/>
  <c r="M36" i="118"/>
  <c r="E36" i="118"/>
  <c r="D36" i="118"/>
  <c r="W34" i="118"/>
  <c r="V34" i="118"/>
  <c r="T34" i="118"/>
  <c r="S34" i="118"/>
  <c r="R34" i="118" s="1"/>
  <c r="Q34" i="118"/>
  <c r="P34" i="118"/>
  <c r="N34" i="118"/>
  <c r="M34" i="118"/>
  <c r="K34" i="118"/>
  <c r="J34" i="118"/>
  <c r="E34" i="118"/>
  <c r="D34" i="118"/>
  <c r="C34" i="118" s="1"/>
  <c r="H33" i="118"/>
  <c r="G33" i="118"/>
  <c r="E33" i="118"/>
  <c r="D33" i="118"/>
  <c r="C33" i="118" s="1"/>
  <c r="E32" i="118"/>
  <c r="D32" i="118"/>
  <c r="E31" i="118"/>
  <c r="D31" i="118"/>
  <c r="W30" i="118"/>
  <c r="V30" i="118"/>
  <c r="T30" i="118"/>
  <c r="S30" i="118"/>
  <c r="Q30" i="118"/>
  <c r="P30" i="118"/>
  <c r="O30" i="118" s="1"/>
  <c r="N30" i="118"/>
  <c r="M30" i="118"/>
  <c r="E30" i="118"/>
  <c r="D30" i="118"/>
  <c r="E28" i="118"/>
  <c r="D28" i="118"/>
  <c r="E27" i="118"/>
  <c r="D27" i="118"/>
  <c r="C27" i="118" s="1"/>
  <c r="E26" i="118"/>
  <c r="D26" i="118"/>
  <c r="W24" i="118"/>
  <c r="V24" i="118"/>
  <c r="T24" i="118"/>
  <c r="S24" i="118"/>
  <c r="Q24" i="118"/>
  <c r="P24" i="118"/>
  <c r="N24" i="118"/>
  <c r="M24" i="118"/>
  <c r="K24" i="118"/>
  <c r="J24" i="118"/>
  <c r="E24" i="118"/>
  <c r="D24" i="118"/>
  <c r="C24" i="118" s="1"/>
  <c r="E21" i="118"/>
  <c r="D21" i="118"/>
  <c r="AA17" i="118"/>
  <c r="W17" i="118"/>
  <c r="V17" i="118"/>
  <c r="T17" i="118"/>
  <c r="S17" i="118"/>
  <c r="Q17" i="118"/>
  <c r="P17" i="118"/>
  <c r="N17" i="118"/>
  <c r="M17" i="118"/>
  <c r="K17" i="118"/>
  <c r="Z17" i="118" s="1"/>
  <c r="J17" i="118"/>
  <c r="E17" i="118"/>
  <c r="D17" i="118"/>
  <c r="E16" i="118"/>
  <c r="W10" i="118"/>
  <c r="T10" i="118"/>
  <c r="Q10" i="118"/>
  <c r="N10" i="118"/>
  <c r="K10" i="118"/>
  <c r="H10" i="118"/>
  <c r="E10" i="118"/>
  <c r="E23" i="118" s="1"/>
  <c r="W9" i="118"/>
  <c r="T9" i="118"/>
  <c r="Q9" i="118"/>
  <c r="E9" i="118"/>
  <c r="E22" i="118" s="1"/>
  <c r="M18" i="119"/>
  <c r="T31" i="1"/>
  <c r="Z31" i="1" s="1"/>
  <c r="AF31" i="1" s="1"/>
  <c r="AL31" i="1" s="1"/>
  <c r="T24" i="1"/>
  <c r="Z24" i="1" s="1"/>
  <c r="AF24" i="1" s="1"/>
  <c r="AL24" i="1" s="1"/>
  <c r="I21" i="119"/>
  <c r="I18" i="119"/>
  <c r="M53" i="107" l="1"/>
  <c r="N47" i="107"/>
  <c r="L134" i="109"/>
  <c r="L97" i="109"/>
  <c r="M50" i="107"/>
  <c r="Z34" i="118"/>
  <c r="Z24" i="118"/>
  <c r="Z10" i="118"/>
  <c r="Y17" i="118"/>
  <c r="Y24" i="118"/>
  <c r="Y34" i="118"/>
  <c r="I109" i="109"/>
  <c r="H109" i="109"/>
  <c r="K18" i="119"/>
  <c r="J18" i="119"/>
  <c r="U21" i="119"/>
  <c r="V21" i="119" s="1"/>
  <c r="K21" i="119"/>
  <c r="J21" i="119"/>
  <c r="U18" i="119"/>
  <c r="V18" i="119" s="1"/>
  <c r="W18" i="119"/>
  <c r="P71" i="107"/>
  <c r="U63" i="107"/>
  <c r="U24" i="118"/>
  <c r="C28" i="118"/>
  <c r="O122" i="107"/>
  <c r="M118" i="107"/>
  <c r="M124" i="107"/>
  <c r="O119" i="107"/>
  <c r="M121" i="107"/>
  <c r="O116" i="107"/>
  <c r="M103" i="107"/>
  <c r="M108" i="109"/>
  <c r="M109" i="109"/>
  <c r="Q104" i="107"/>
  <c r="O125" i="107"/>
  <c r="M102" i="107"/>
  <c r="M127" i="107"/>
  <c r="O100" i="107"/>
  <c r="O113" i="107"/>
  <c r="M115" i="107"/>
  <c r="O76" i="107"/>
  <c r="P104" i="107"/>
  <c r="P105" i="107"/>
  <c r="K129" i="109"/>
  <c r="I137" i="109"/>
  <c r="I134" i="109"/>
  <c r="I131" i="109"/>
  <c r="L108" i="109"/>
  <c r="K95" i="109"/>
  <c r="C26" i="118"/>
  <c r="L17" i="118"/>
  <c r="O18" i="119"/>
  <c r="U17" i="118"/>
  <c r="M17" i="119"/>
  <c r="M23" i="119"/>
  <c r="C17" i="118"/>
  <c r="I17" i="118"/>
  <c r="I24" i="118"/>
  <c r="O24" i="118"/>
  <c r="C30" i="118"/>
  <c r="F33" i="118"/>
  <c r="K27" i="118"/>
  <c r="U30" i="118"/>
  <c r="U34" i="118"/>
  <c r="O36" i="118"/>
  <c r="C21" i="118"/>
  <c r="R17" i="118"/>
  <c r="R24" i="118"/>
  <c r="C32" i="118"/>
  <c r="C36" i="118"/>
  <c r="R36" i="118"/>
  <c r="C31" i="118"/>
  <c r="O34" i="118"/>
  <c r="O17" i="118"/>
  <c r="R30" i="118"/>
  <c r="N63" i="107"/>
  <c r="L71" i="107"/>
  <c r="N71" i="107" s="1"/>
  <c r="Q71" i="107"/>
  <c r="O82" i="107"/>
  <c r="M78" i="107"/>
  <c r="L67" i="107"/>
  <c r="O67" i="107" s="1"/>
  <c r="N109" i="109"/>
  <c r="N108" i="109"/>
  <c r="O79" i="107"/>
  <c r="M109" i="107"/>
  <c r="M87" i="107"/>
  <c r="O91" i="107"/>
  <c r="Q105" i="107"/>
  <c r="O94" i="107"/>
  <c r="M93" i="107"/>
  <c r="M99" i="107"/>
  <c r="M112" i="107"/>
  <c r="M81" i="107"/>
  <c r="M96" i="107"/>
  <c r="M84" i="107"/>
  <c r="M90" i="107"/>
  <c r="L104" i="107"/>
  <c r="N104" i="107" s="1"/>
  <c r="L105" i="107"/>
  <c r="O110" i="107"/>
  <c r="O88" i="107"/>
  <c r="P67" i="107"/>
  <c r="O59" i="107"/>
  <c r="O97" i="107"/>
  <c r="M75" i="107"/>
  <c r="O73" i="107"/>
  <c r="O85" i="107"/>
  <c r="O62" i="107"/>
  <c r="O57" i="107"/>
  <c r="O61" i="107"/>
  <c r="O60" i="107"/>
  <c r="M63" i="107"/>
  <c r="O63" i="107" s="1"/>
  <c r="O64" i="107"/>
  <c r="AO10" i="118"/>
  <c r="I34" i="118"/>
  <c r="C21" i="127" s="1"/>
  <c r="AR10" i="118"/>
  <c r="L24" i="118"/>
  <c r="F37" i="118"/>
  <c r="E20" i="118"/>
  <c r="AL10" i="118"/>
  <c r="L36" i="118"/>
  <c r="L30" i="118"/>
  <c r="L34" i="118"/>
  <c r="X24" i="118" l="1"/>
  <c r="D20" i="117"/>
  <c r="X34" i="118"/>
  <c r="X17" i="118"/>
  <c r="N23" i="119"/>
  <c r="N17" i="119"/>
  <c r="N18" i="119"/>
  <c r="O103" i="107"/>
  <c r="M105" i="107"/>
  <c r="AD18" i="107"/>
  <c r="P18" i="119"/>
  <c r="R18" i="119" s="1"/>
  <c r="D37" i="118"/>
  <c r="H61" i="1"/>
  <c r="I35" i="119" s="1"/>
  <c r="O23" i="119" l="1"/>
  <c r="AD23" i="107"/>
  <c r="AD125" i="107" s="1"/>
  <c r="O17" i="119"/>
  <c r="AD17" i="107"/>
  <c r="AD110" i="107" s="1"/>
  <c r="AD88" i="107"/>
  <c r="AD61" i="107"/>
  <c r="AE18" i="107"/>
  <c r="Q18" i="119"/>
  <c r="C37" i="118"/>
  <c r="F21" i="117"/>
  <c r="F18" i="117" s="1"/>
  <c r="E21" i="117"/>
  <c r="E18" i="117" s="1"/>
  <c r="G24" i="117"/>
  <c r="G23" i="117"/>
  <c r="G16" i="117"/>
  <c r="B14" i="117"/>
  <c r="F13" i="117"/>
  <c r="E13" i="117"/>
  <c r="E7" i="117" s="1"/>
  <c r="B6" i="117"/>
  <c r="C6" i="117" s="1"/>
  <c r="E6" i="117" s="1"/>
  <c r="F6" i="117" s="1"/>
  <c r="C14" i="117" l="1"/>
  <c r="P23" i="119"/>
  <c r="R23" i="119" s="1"/>
  <c r="AE23" i="107"/>
  <c r="P17" i="119"/>
  <c r="R17" i="119" s="1"/>
  <c r="AE17" i="107"/>
  <c r="AE110" i="107" s="1"/>
  <c r="AE111" i="107" s="1"/>
  <c r="AE88" i="107"/>
  <c r="AE61" i="107"/>
  <c r="B15" i="117"/>
  <c r="C15" i="117" l="1"/>
  <c r="D15" i="117"/>
  <c r="AE125" i="107"/>
  <c r="AE126" i="107" s="1"/>
  <c r="Q23" i="119"/>
  <c r="C13" i="117"/>
  <c r="Q17" i="119"/>
  <c r="B13" i="117"/>
  <c r="AE89" i="107"/>
  <c r="S37" i="118"/>
  <c r="M37" i="118"/>
  <c r="P37" i="118"/>
  <c r="J37" i="118"/>
  <c r="Y37" i="118" l="1"/>
  <c r="V37" i="118"/>
  <c r="L37" i="118"/>
  <c r="I37" i="118"/>
  <c r="O37" i="118"/>
  <c r="R37" i="118"/>
  <c r="X37" i="118" l="1"/>
  <c r="U37" i="118"/>
  <c r="J33" i="1" l="1"/>
  <c r="E36" i="101" l="1"/>
  <c r="D36" i="101"/>
  <c r="N30" i="119"/>
  <c r="M30" i="119"/>
  <c r="E13" i="2"/>
  <c r="D13" i="2"/>
  <c r="C36" i="101" l="1"/>
  <c r="K10" i="102" l="1"/>
  <c r="W36" i="102" l="1"/>
  <c r="V36" i="102"/>
  <c r="W34" i="102"/>
  <c r="V34" i="102"/>
  <c r="W30" i="102"/>
  <c r="V30" i="102"/>
  <c r="T24" i="102"/>
  <c r="S24" i="102"/>
  <c r="W24" i="102"/>
  <c r="V24" i="102"/>
  <c r="AI16" i="2"/>
  <c r="W23" i="118" s="1"/>
  <c r="AI15" i="2"/>
  <c r="W22" i="118" s="1"/>
  <c r="W10" i="102"/>
  <c r="W9" i="102"/>
  <c r="T36" i="102"/>
  <c r="S36" i="102"/>
  <c r="T34" i="102"/>
  <c r="S34" i="102"/>
  <c r="T30" i="102"/>
  <c r="S30" i="102"/>
  <c r="AD16" i="2"/>
  <c r="T23" i="118" s="1"/>
  <c r="AD15" i="2"/>
  <c r="T22" i="118" s="1"/>
  <c r="T9" i="102"/>
  <c r="W17" i="102"/>
  <c r="V17" i="102"/>
  <c r="T17" i="102"/>
  <c r="S17" i="102"/>
  <c r="T10" i="102"/>
  <c r="AR10" i="102" l="1"/>
  <c r="U17" i="102"/>
  <c r="W22" i="102"/>
  <c r="T22" i="102"/>
  <c r="T23" i="102"/>
  <c r="W23" i="102"/>
  <c r="R17" i="102"/>
  <c r="R34" i="102"/>
  <c r="U36" i="102"/>
  <c r="R24" i="102"/>
  <c r="R36" i="102"/>
  <c r="U30" i="102"/>
  <c r="U34" i="102"/>
  <c r="U24" i="102"/>
  <c r="AE41" i="2"/>
  <c r="Y36" i="109" s="1"/>
  <c r="AI37" i="2"/>
  <c r="AE36" i="2"/>
  <c r="Y35" i="109" s="1"/>
  <c r="AE34" i="2"/>
  <c r="Y32" i="109" s="1"/>
  <c r="AE17" i="2"/>
  <c r="Y15" i="109" s="1"/>
  <c r="Z41" i="2"/>
  <c r="X36" i="109" s="1"/>
  <c r="AD37" i="2"/>
  <c r="Z36" i="2"/>
  <c r="X35" i="109" s="1"/>
  <c r="Z34" i="2"/>
  <c r="X32" i="109" s="1"/>
  <c r="Z17" i="2"/>
  <c r="X15" i="109" s="1"/>
  <c r="H31" i="110" l="1"/>
  <c r="I31" i="110"/>
  <c r="I26" i="110"/>
  <c r="H29" i="110"/>
  <c r="W35" i="102"/>
  <c r="W35" i="118"/>
  <c r="H26" i="110"/>
  <c r="I29" i="110"/>
  <c r="T35" i="102"/>
  <c r="T35" i="118"/>
  <c r="J32" i="118" l="1"/>
  <c r="Q24" i="102"/>
  <c r="P24" i="102"/>
  <c r="K24" i="102"/>
  <c r="J24" i="102"/>
  <c r="E24" i="102"/>
  <c r="D24" i="102"/>
  <c r="U17" i="2"/>
  <c r="W15" i="109" s="1"/>
  <c r="P17" i="2"/>
  <c r="V15" i="109" s="1"/>
  <c r="K17" i="2"/>
  <c r="U15" i="109" s="1"/>
  <c r="C17" i="2"/>
  <c r="J30" i="2"/>
  <c r="I29" i="2"/>
  <c r="Q36" i="102"/>
  <c r="P36" i="102"/>
  <c r="E36" i="102"/>
  <c r="D36" i="102"/>
  <c r="Y24" i="102" l="1"/>
  <c r="Z24" i="102"/>
  <c r="Z15" i="109"/>
  <c r="P12" i="86"/>
  <c r="S12" i="86"/>
  <c r="M12" i="86"/>
  <c r="D12" i="86"/>
  <c r="J12" i="86"/>
  <c r="Q12" i="86"/>
  <c r="N12" i="86"/>
  <c r="T12" i="86"/>
  <c r="E12" i="86"/>
  <c r="K12" i="86"/>
  <c r="G12" i="86"/>
  <c r="H12" i="86"/>
  <c r="F12" i="86" l="1"/>
  <c r="R12" i="86"/>
  <c r="L12" i="86"/>
  <c r="I12" i="86"/>
  <c r="O12" i="86"/>
  <c r="H56" i="1" l="1"/>
  <c r="I30" i="119" s="1"/>
  <c r="H16" i="118"/>
  <c r="H60" i="1"/>
  <c r="I34" i="119" s="1"/>
  <c r="H59" i="1"/>
  <c r="I33" i="119" s="1"/>
  <c r="H58" i="1"/>
  <c r="I32" i="119" s="1"/>
  <c r="J40" i="2"/>
  <c r="I40" i="2"/>
  <c r="J39" i="2"/>
  <c r="I39" i="2"/>
  <c r="J38" i="2"/>
  <c r="I38" i="2"/>
  <c r="J36" i="2"/>
  <c r="J32" i="2"/>
  <c r="H32" i="118" s="1"/>
  <c r="I32" i="2"/>
  <c r="G32" i="118" s="1"/>
  <c r="J31" i="2"/>
  <c r="I31" i="2"/>
  <c r="J29" i="2"/>
  <c r="J27" i="2"/>
  <c r="I27" i="2"/>
  <c r="J26" i="2"/>
  <c r="I26" i="2"/>
  <c r="J25" i="2"/>
  <c r="I25" i="2"/>
  <c r="J24" i="2"/>
  <c r="I24" i="2"/>
  <c r="J23" i="2"/>
  <c r="H26" i="118" s="1"/>
  <c r="I23" i="2"/>
  <c r="G26" i="118" s="1"/>
  <c r="J22" i="2"/>
  <c r="I22" i="2"/>
  <c r="G27" i="118" s="1"/>
  <c r="J20" i="2"/>
  <c r="H28" i="118" s="1"/>
  <c r="I20" i="2"/>
  <c r="G28" i="118" s="1"/>
  <c r="F28" i="118" s="1"/>
  <c r="J16" i="2"/>
  <c r="H23" i="118" s="1"/>
  <c r="J14" i="2"/>
  <c r="H21" i="118" s="1"/>
  <c r="I14" i="2"/>
  <c r="G21" i="118" s="1"/>
  <c r="F26" i="118" l="1"/>
  <c r="F21" i="118"/>
  <c r="I31" i="119"/>
  <c r="I29" i="119" s="1"/>
  <c r="J13" i="118"/>
  <c r="J13" i="102"/>
  <c r="H27" i="118"/>
  <c r="F27" i="118" s="1"/>
  <c r="F32" i="118"/>
  <c r="H34" i="118"/>
  <c r="AO63" i="1"/>
  <c r="AQ57" i="1"/>
  <c r="AQ55" i="1" s="1"/>
  <c r="AN57" i="1"/>
  <c r="AN55" i="1" s="1"/>
  <c r="AO56" i="1"/>
  <c r="AP51" i="1"/>
  <c r="V10" i="118" s="1"/>
  <c r="U10" i="118" s="1"/>
  <c r="AM51" i="1"/>
  <c r="AQ50" i="1"/>
  <c r="AN50" i="1"/>
  <c r="AO50" i="1" s="1"/>
  <c r="AM50" i="1"/>
  <c r="AO49" i="1"/>
  <c r="AP49" i="1" s="1"/>
  <c r="AO48" i="1"/>
  <c r="AP48" i="1" s="1"/>
  <c r="AM48" i="1"/>
  <c r="AO47" i="1"/>
  <c r="AP47" i="1" s="1"/>
  <c r="AM47" i="1"/>
  <c r="AN46" i="1"/>
  <c r="AO46" i="1" s="1"/>
  <c r="AP46" i="1" s="1"/>
  <c r="AN44" i="1"/>
  <c r="AP43" i="1"/>
  <c r="AO43" i="1" s="1"/>
  <c r="AM43" i="1"/>
  <c r="AO42" i="1"/>
  <c r="AP42" i="1" s="1"/>
  <c r="AM42" i="1"/>
  <c r="AN41" i="1"/>
  <c r="AO41" i="1" s="1"/>
  <c r="AP41" i="1" s="1"/>
  <c r="AM41" i="1"/>
  <c r="AQ40" i="1"/>
  <c r="AN40" i="1"/>
  <c r="AO40" i="1" s="1"/>
  <c r="AM40" i="1"/>
  <c r="AN39" i="1"/>
  <c r="AO39" i="1" s="1"/>
  <c r="AP39" i="1" s="1"/>
  <c r="AN38" i="1"/>
  <c r="AN32" i="1"/>
  <c r="AO31" i="1"/>
  <c r="AP31" i="1" s="1"/>
  <c r="AO30" i="1"/>
  <c r="AP30" i="1" s="1"/>
  <c r="AO29" i="1"/>
  <c r="AP29" i="1" s="1"/>
  <c r="AO28" i="1"/>
  <c r="AP28" i="1" s="1"/>
  <c r="AQ27" i="1"/>
  <c r="AN27" i="1"/>
  <c r="AL27" i="1"/>
  <c r="AC12" i="125" s="1"/>
  <c r="AO26" i="1"/>
  <c r="AP26" i="1" s="1"/>
  <c r="AO25" i="1"/>
  <c r="AP25" i="1" s="1"/>
  <c r="AO24" i="1"/>
  <c r="AP24" i="1" s="1"/>
  <c r="AO23" i="1"/>
  <c r="AP23" i="1" s="1"/>
  <c r="AO22" i="1"/>
  <c r="AP22" i="1" s="1"/>
  <c r="AQ21" i="1"/>
  <c r="AN21" i="1"/>
  <c r="AL21" i="1"/>
  <c r="AC11" i="125" s="1"/>
  <c r="AP20" i="1"/>
  <c r="AO19" i="1"/>
  <c r="AP19" i="1" s="1"/>
  <c r="AO18" i="1"/>
  <c r="AP18" i="1" s="1"/>
  <c r="AO17" i="1"/>
  <c r="AO16" i="1"/>
  <c r="AQ15" i="1"/>
  <c r="AN15" i="1"/>
  <c r="AL15" i="1"/>
  <c r="AC10" i="125" s="1"/>
  <c r="AI63" i="1"/>
  <c r="AK57" i="1"/>
  <c r="AK55" i="1" s="1"/>
  <c r="AH57" i="1"/>
  <c r="AH55" i="1" s="1"/>
  <c r="AI56" i="1"/>
  <c r="H14" i="110" s="1"/>
  <c r="AJ51" i="1"/>
  <c r="S10" i="118" s="1"/>
  <c r="R10" i="118" s="1"/>
  <c r="AG51" i="1"/>
  <c r="AK50" i="1"/>
  <c r="AH50" i="1"/>
  <c r="AI50" i="1" s="1"/>
  <c r="AG50" i="1"/>
  <c r="AI49" i="1"/>
  <c r="AJ49" i="1" s="1"/>
  <c r="AI48" i="1"/>
  <c r="AJ48" i="1" s="1"/>
  <c r="AG48" i="1"/>
  <c r="AI47" i="1"/>
  <c r="AJ47" i="1" s="1"/>
  <c r="AG47" i="1"/>
  <c r="AH46" i="1"/>
  <c r="AI46" i="1" s="1"/>
  <c r="AJ46" i="1" s="1"/>
  <c r="AH44" i="1"/>
  <c r="AJ43" i="1"/>
  <c r="AI43" i="1" s="1"/>
  <c r="AG43" i="1"/>
  <c r="AI42" i="1"/>
  <c r="AJ42" i="1" s="1"/>
  <c r="AG42" i="1"/>
  <c r="AH41" i="1"/>
  <c r="AI41" i="1" s="1"/>
  <c r="AJ41" i="1" s="1"/>
  <c r="AG41" i="1"/>
  <c r="AK40" i="1"/>
  <c r="AH40" i="1"/>
  <c r="AI40" i="1" s="1"/>
  <c r="AG40" i="1"/>
  <c r="AH39" i="1"/>
  <c r="AI39" i="1" s="1"/>
  <c r="AJ39" i="1" s="1"/>
  <c r="AH38" i="1"/>
  <c r="AH32" i="1"/>
  <c r="AI31" i="1"/>
  <c r="AJ31" i="1" s="1"/>
  <c r="AI30" i="1"/>
  <c r="AJ30" i="1" s="1"/>
  <c r="AI29" i="1"/>
  <c r="AJ29" i="1" s="1"/>
  <c r="AI28" i="1"/>
  <c r="AK27" i="1"/>
  <c r="AH27" i="1"/>
  <c r="AF27" i="1"/>
  <c r="AB12" i="125" s="1"/>
  <c r="AI26" i="1"/>
  <c r="AJ26" i="1" s="1"/>
  <c r="AI25" i="1"/>
  <c r="AJ25" i="1" s="1"/>
  <c r="AI24" i="1"/>
  <c r="AJ24" i="1" s="1"/>
  <c r="AI23" i="1"/>
  <c r="AJ23" i="1" s="1"/>
  <c r="AI22" i="1"/>
  <c r="AJ22" i="1" s="1"/>
  <c r="AK21" i="1"/>
  <c r="AH21" i="1"/>
  <c r="AF21" i="1"/>
  <c r="AB11" i="125" s="1"/>
  <c r="AJ20" i="1"/>
  <c r="AI19" i="1"/>
  <c r="AJ19" i="1" s="1"/>
  <c r="AI18" i="1"/>
  <c r="AJ18" i="1" s="1"/>
  <c r="AI17" i="1"/>
  <c r="AJ17" i="1" s="1"/>
  <c r="AI16" i="1"/>
  <c r="AK15" i="1"/>
  <c r="AH15" i="1"/>
  <c r="AF15" i="1"/>
  <c r="AB10" i="125" s="1"/>
  <c r="M13" i="102" l="1"/>
  <c r="Z144" i="125" s="1"/>
  <c r="Y144" i="125"/>
  <c r="AB79" i="125"/>
  <c r="AB59" i="125"/>
  <c r="AB82" i="125"/>
  <c r="AB60" i="125"/>
  <c r="AB100" i="125"/>
  <c r="AB64" i="125"/>
  <c r="AC79" i="125"/>
  <c r="AC59" i="125"/>
  <c r="AC82" i="125"/>
  <c r="AC60" i="125"/>
  <c r="AC100" i="125"/>
  <c r="AC64" i="125"/>
  <c r="AA144" i="107"/>
  <c r="AE11" i="107"/>
  <c r="AE82" i="107" s="1"/>
  <c r="P11" i="119"/>
  <c r="AF63" i="1"/>
  <c r="H19" i="110"/>
  <c r="AE10" i="107"/>
  <c r="AE79" i="107" s="1"/>
  <c r="P10" i="119"/>
  <c r="AD10" i="107"/>
  <c r="AD59" i="107" s="1"/>
  <c r="O10" i="119"/>
  <c r="AD11" i="107"/>
  <c r="AD60" i="107" s="1"/>
  <c r="O11" i="119"/>
  <c r="AP56" i="1"/>
  <c r="I14" i="110"/>
  <c r="M13" i="118"/>
  <c r="I13" i="118"/>
  <c r="V13" i="118"/>
  <c r="U13" i="118" s="1"/>
  <c r="S13" i="118"/>
  <c r="R13" i="118" s="1"/>
  <c r="P13" i="118"/>
  <c r="O13" i="118" s="1"/>
  <c r="AL63" i="1"/>
  <c r="I19" i="110"/>
  <c r="S13" i="102"/>
  <c r="P13" i="102"/>
  <c r="AB144" i="107"/>
  <c r="V13" i="102"/>
  <c r="AD12" i="107"/>
  <c r="AD100" i="107" s="1"/>
  <c r="O12" i="119"/>
  <c r="AE12" i="107"/>
  <c r="AE100" i="107" s="1"/>
  <c r="P12" i="119"/>
  <c r="AP16" i="1"/>
  <c r="AJ16" i="1"/>
  <c r="AJ15" i="1" s="1"/>
  <c r="AJ40" i="1"/>
  <c r="AP40" i="1"/>
  <c r="AO51" i="1"/>
  <c r="AI51" i="1"/>
  <c r="AC16" i="2"/>
  <c r="S23" i="118" s="1"/>
  <c r="R23" i="118" s="1"/>
  <c r="S10" i="102"/>
  <c r="R10" i="102" s="1"/>
  <c r="AH16" i="2"/>
  <c r="V23" i="118" s="1"/>
  <c r="U23" i="118" s="1"/>
  <c r="V10" i="102"/>
  <c r="U10" i="102" s="1"/>
  <c r="AO15" i="1"/>
  <c r="AN13" i="1"/>
  <c r="AN14" i="1" s="1"/>
  <c r="AM27" i="1"/>
  <c r="AI27" i="1"/>
  <c r="AJ28" i="1"/>
  <c r="AJ27" i="1" s="1"/>
  <c r="AM21" i="1"/>
  <c r="AI21" i="1"/>
  <c r="AM15" i="1"/>
  <c r="AP27" i="1"/>
  <c r="AP21" i="1"/>
  <c r="AP17" i="1"/>
  <c r="AO21" i="1"/>
  <c r="AO27" i="1"/>
  <c r="AJ21" i="1"/>
  <c r="AJ56" i="1"/>
  <c r="AH13" i="1"/>
  <c r="AH14" i="1" s="1"/>
  <c r="AI15" i="1"/>
  <c r="AE101" i="107" l="1"/>
  <c r="AC144" i="107"/>
  <c r="AA144" i="125"/>
  <c r="AD144" i="107"/>
  <c r="AB144" i="125"/>
  <c r="AE144" i="107"/>
  <c r="AC144" i="125"/>
  <c r="AD148" i="107"/>
  <c r="AD156" i="107" s="1"/>
  <c r="AD159" i="107" s="1"/>
  <c r="AD161" i="107" s="1"/>
  <c r="AB148" i="125"/>
  <c r="AB156" i="125" s="1"/>
  <c r="AB159" i="125" s="1"/>
  <c r="AB161" i="125" s="1"/>
  <c r="AE148" i="107"/>
  <c r="AE156" i="107" s="1"/>
  <c r="AE159" i="107" s="1"/>
  <c r="AE161" i="107" s="1"/>
  <c r="AC148" i="125"/>
  <c r="AC156" i="125" s="1"/>
  <c r="AC159" i="125" s="1"/>
  <c r="AC161" i="125" s="1"/>
  <c r="AB58" i="125"/>
  <c r="AC76" i="125"/>
  <c r="AC80" i="125"/>
  <c r="AC83" i="125"/>
  <c r="AC72" i="125"/>
  <c r="AC101" i="125"/>
  <c r="AC58" i="125"/>
  <c r="AB76" i="125"/>
  <c r="Y13" i="118"/>
  <c r="AE59" i="107"/>
  <c r="Y13" i="102"/>
  <c r="AF144" i="107"/>
  <c r="AD82" i="107"/>
  <c r="AE83" i="107" s="1"/>
  <c r="AE60" i="107"/>
  <c r="AE64" i="107"/>
  <c r="AD79" i="107"/>
  <c r="AE80" i="107" s="1"/>
  <c r="AP15" i="1"/>
  <c r="AD64" i="107"/>
  <c r="L13" i="118"/>
  <c r="X13" i="118" s="1"/>
  <c r="AD58" i="107"/>
  <c r="AE76" i="107"/>
  <c r="V23" i="102"/>
  <c r="AE16" i="2"/>
  <c r="S23" i="102"/>
  <c r="Z16" i="2"/>
  <c r="AE58" i="107" l="1"/>
  <c r="AD144" i="125"/>
  <c r="AC70" i="125"/>
  <c r="AC77" i="125"/>
  <c r="Y14" i="109"/>
  <c r="Y117" i="109" s="1"/>
  <c r="X14" i="109"/>
  <c r="X117" i="109" s="1"/>
  <c r="AE72" i="107"/>
  <c r="AD76" i="107"/>
  <c r="AE77" i="107" s="1"/>
  <c r="AE70" i="107"/>
  <c r="AG16" i="2"/>
  <c r="U23" i="102"/>
  <c r="Y118" i="109" l="1"/>
  <c r="M63" i="1"/>
  <c r="H17" i="118" s="1"/>
  <c r="D37" i="2"/>
  <c r="D35" i="118" s="1"/>
  <c r="C41" i="2"/>
  <c r="C31" i="110" s="1"/>
  <c r="C40" i="2"/>
  <c r="C39" i="2"/>
  <c r="B35" i="127" s="1"/>
  <c r="C38" i="2"/>
  <c r="B34" i="127" s="1"/>
  <c r="E37" i="2"/>
  <c r="E35" i="118" s="1"/>
  <c r="C36" i="2"/>
  <c r="C35" i="2"/>
  <c r="C34" i="2"/>
  <c r="C33" i="2"/>
  <c r="C32" i="2"/>
  <c r="C31" i="2"/>
  <c r="C30" i="2"/>
  <c r="C29" i="2"/>
  <c r="C28" i="2"/>
  <c r="C27" i="2"/>
  <c r="C26" i="2"/>
  <c r="C25" i="2"/>
  <c r="C24" i="2"/>
  <c r="C23" i="2"/>
  <c r="C22" i="2"/>
  <c r="E21" i="2"/>
  <c r="D21" i="2"/>
  <c r="D18" i="2" s="1"/>
  <c r="D25" i="118" s="1"/>
  <c r="C20" i="2"/>
  <c r="C19" i="2"/>
  <c r="E18" i="2"/>
  <c r="C16" i="2"/>
  <c r="C15" i="2"/>
  <c r="C14" i="2"/>
  <c r="D16" i="118"/>
  <c r="C16" i="118" s="1"/>
  <c r="E63" i="1"/>
  <c r="C63" i="1" s="1"/>
  <c r="B37" i="127" s="1"/>
  <c r="G45" i="1"/>
  <c r="C52" i="1"/>
  <c r="C32" i="1"/>
  <c r="E12" i="108" s="1"/>
  <c r="C27" i="1"/>
  <c r="E11" i="108" s="1"/>
  <c r="C21" i="1"/>
  <c r="B36" i="127" l="1"/>
  <c r="B33" i="127" s="1"/>
  <c r="D15" i="102"/>
  <c r="B17" i="127" s="1"/>
  <c r="D15" i="118"/>
  <c r="C15" i="118" s="1"/>
  <c r="F37" i="127"/>
  <c r="G37" i="127"/>
  <c r="C19" i="110"/>
  <c r="H63" i="1"/>
  <c r="T148" i="125" s="1"/>
  <c r="C7" i="110"/>
  <c r="E27" i="108"/>
  <c r="D29" i="118"/>
  <c r="E12" i="2"/>
  <c r="E11" i="2" s="1"/>
  <c r="E25" i="118"/>
  <c r="C16" i="110"/>
  <c r="D12" i="2"/>
  <c r="D11" i="2" s="1"/>
  <c r="C35" i="118"/>
  <c r="G30" i="118"/>
  <c r="H30" i="118"/>
  <c r="J41" i="2"/>
  <c r="C21" i="2"/>
  <c r="C18" i="2" s="1"/>
  <c r="C13" i="2"/>
  <c r="C37" i="2"/>
  <c r="E62" i="1"/>
  <c r="I37" i="2"/>
  <c r="G35" i="118" s="1"/>
  <c r="J37" i="2"/>
  <c r="H35" i="118" s="1"/>
  <c r="T156" i="125" l="1"/>
  <c r="T159" i="125" s="1"/>
  <c r="T161" i="125" s="1"/>
  <c r="U148" i="125"/>
  <c r="V148" i="107"/>
  <c r="K63" i="1"/>
  <c r="E29" i="118"/>
  <c r="C29" i="118" s="1"/>
  <c r="E19" i="118"/>
  <c r="E18" i="118" s="1"/>
  <c r="F35" i="118"/>
  <c r="C25" i="118"/>
  <c r="C12" i="2"/>
  <c r="H36" i="118"/>
  <c r="K30" i="118"/>
  <c r="Z30" i="118" s="1"/>
  <c r="E44" i="101"/>
  <c r="G34" i="118"/>
  <c r="F34" i="118" s="1"/>
  <c r="F30" i="118"/>
  <c r="J30" i="118"/>
  <c r="D44" i="101"/>
  <c r="H36" i="102"/>
  <c r="C11" i="2" l="1"/>
  <c r="I30" i="118"/>
  <c r="X30" i="118" s="1"/>
  <c r="Y30" i="118"/>
  <c r="V156" i="107"/>
  <c r="W148" i="107"/>
  <c r="D19" i="110"/>
  <c r="L63" i="1"/>
  <c r="C44" i="101"/>
  <c r="V159" i="107" l="1"/>
  <c r="W156" i="107"/>
  <c r="I41" i="2"/>
  <c r="G17" i="118"/>
  <c r="F17" i="118" s="1"/>
  <c r="V161" i="107" l="1"/>
  <c r="W161" i="107" s="1"/>
  <c r="W159" i="107"/>
  <c r="G36" i="118"/>
  <c r="F36" i="118" s="1"/>
  <c r="G36" i="102"/>
  <c r="S26" i="84"/>
  <c r="S14" i="84"/>
  <c r="D41" i="66" l="1"/>
  <c r="E41" i="66"/>
  <c r="E30" i="66" s="1"/>
  <c r="E19" i="66" l="1"/>
  <c r="AA23" i="63"/>
  <c r="AA22" i="63"/>
  <c r="X23" i="63"/>
  <c r="X22" i="63"/>
  <c r="U23" i="63"/>
  <c r="U22" i="63"/>
  <c r="R23" i="63"/>
  <c r="R22" i="63"/>
  <c r="R20" i="63"/>
  <c r="R19" i="63"/>
  <c r="R18" i="63"/>
  <c r="T23" i="63" l="1"/>
  <c r="T21" i="63" s="1"/>
  <c r="Z23" i="63"/>
  <c r="Z21" i="63" s="1"/>
  <c r="T20" i="63"/>
  <c r="W23" i="63"/>
  <c r="W21" i="63" s="1"/>
  <c r="AC23" i="63"/>
  <c r="AC21" i="63" s="1"/>
  <c r="U21" i="63"/>
  <c r="AA21" i="63"/>
  <c r="X21" i="63"/>
  <c r="R21" i="63"/>
  <c r="T21" i="1" l="1"/>
  <c r="Y21" i="1"/>
  <c r="V21" i="1"/>
  <c r="AB21" i="1"/>
  <c r="AE21" i="1"/>
  <c r="Z21" i="1"/>
  <c r="AA11" i="125" s="1"/>
  <c r="S21" i="1"/>
  <c r="AA82" i="125" l="1"/>
  <c r="AA60" i="125"/>
  <c r="M11" i="119"/>
  <c r="Z11" i="125"/>
  <c r="AG21" i="1"/>
  <c r="N11" i="119"/>
  <c r="AA21" i="1"/>
  <c r="Z82" i="125" l="1"/>
  <c r="Z60" i="125"/>
  <c r="Q11" i="119"/>
  <c r="AA83" i="125"/>
  <c r="AB83" i="125"/>
  <c r="E14" i="66"/>
  <c r="E11" i="66" s="1"/>
  <c r="C17" i="66"/>
  <c r="C13" i="66"/>
  <c r="C26" i="66"/>
  <c r="C24" i="66"/>
  <c r="S23" i="84"/>
  <c r="E30" i="101" l="1"/>
  <c r="E7" i="101"/>
  <c r="D7" i="101"/>
  <c r="S62" i="84" l="1"/>
  <c r="D14" i="66"/>
  <c r="D11" i="66" s="1"/>
  <c r="D16" i="64" l="1"/>
  <c r="E17" i="75" l="1"/>
  <c r="C17" i="75"/>
  <c r="H42" i="63" l="1"/>
  <c r="Q8" i="128" l="1"/>
  <c r="Q8" i="98"/>
  <c r="Q8" i="65"/>
  <c r="D43" i="84"/>
  <c r="Q43" i="84"/>
  <c r="BA28" i="74"/>
  <c r="AO25" i="74"/>
  <c r="C43" i="84" l="1"/>
  <c r="AG20" i="74" l="1"/>
  <c r="CC24" i="74" l="1"/>
  <c r="CO24" i="74"/>
  <c r="AS24" i="74"/>
  <c r="DA24" i="74"/>
  <c r="DY24" i="74"/>
  <c r="DM24" i="74"/>
  <c r="U24" i="74"/>
  <c r="BQ24" i="74"/>
  <c r="BE24" i="74"/>
  <c r="EW24" i="74"/>
  <c r="EK24" i="74"/>
  <c r="EX24" i="74" l="1"/>
  <c r="EL24" i="74"/>
  <c r="DZ24" i="74"/>
  <c r="DN24" i="74"/>
  <c r="DB24" i="74"/>
  <c r="CP24" i="74"/>
  <c r="CD24" i="74"/>
  <c r="BR24" i="74"/>
  <c r="BF24" i="74"/>
  <c r="AT24" i="74"/>
  <c r="AF24" i="74"/>
  <c r="AH24" i="74"/>
  <c r="V24" i="74"/>
  <c r="T24" i="74"/>
  <c r="H24" i="74" s="1"/>
  <c r="R24" i="74"/>
  <c r="D24" i="74"/>
  <c r="I24" i="74"/>
  <c r="G24" i="74"/>
  <c r="C24" i="74"/>
  <c r="FD24" i="74" l="1"/>
  <c r="FF24" i="74"/>
  <c r="FE24" i="74"/>
  <c r="FC24" i="74"/>
  <c r="J24" i="74"/>
  <c r="Q17" i="102" l="1"/>
  <c r="P17" i="102"/>
  <c r="N17" i="102"/>
  <c r="K17" i="102"/>
  <c r="O41" i="2"/>
  <c r="Z17" i="102" l="1"/>
  <c r="K36" i="118"/>
  <c r="Z36" i="118" s="1"/>
  <c r="K36" i="102"/>
  <c r="Z36" i="102" s="1"/>
  <c r="E47" i="101"/>
  <c r="D30" i="101"/>
  <c r="C30" i="101" s="1"/>
  <c r="D42" i="84"/>
  <c r="D20" i="66"/>
  <c r="AH54" i="1" l="1"/>
  <c r="AG54" i="1"/>
  <c r="C29" i="66"/>
  <c r="C15" i="93"/>
  <c r="C15" i="70"/>
  <c r="J17" i="102"/>
  <c r="Y17" i="102" s="1"/>
  <c r="N41" i="2"/>
  <c r="C114" i="96" l="1"/>
  <c r="C114" i="132"/>
  <c r="J36" i="118"/>
  <c r="AG53" i="1"/>
  <c r="AH53" i="1"/>
  <c r="AF52" i="1"/>
  <c r="AB28" i="125" s="1"/>
  <c r="J36" i="102"/>
  <c r="AN54" i="1"/>
  <c r="AM54" i="1"/>
  <c r="AL52" i="1"/>
  <c r="AN53" i="1"/>
  <c r="AM53" i="1"/>
  <c r="D47" i="101"/>
  <c r="S42" i="84"/>
  <c r="C33" i="66"/>
  <c r="C114" i="84"/>
  <c r="C41" i="93"/>
  <c r="C44" i="70"/>
  <c r="AB135" i="125" l="1"/>
  <c r="AB97" i="125"/>
  <c r="AB51" i="125"/>
  <c r="P28" i="119"/>
  <c r="AC28" i="125"/>
  <c r="I36" i="102"/>
  <c r="Y36" i="102"/>
  <c r="I36" i="118"/>
  <c r="X36" i="118" s="1"/>
  <c r="Y36" i="118"/>
  <c r="Q42" i="84"/>
  <c r="C42" i="84" s="1"/>
  <c r="H7" i="110"/>
  <c r="O28" i="119"/>
  <c r="AE28" i="107"/>
  <c r="AE51" i="107" s="1"/>
  <c r="I7" i="110"/>
  <c r="AH52" i="1"/>
  <c r="AI52" i="1" s="1"/>
  <c r="AD28" i="107"/>
  <c r="AD51" i="107" s="1"/>
  <c r="AM52" i="1"/>
  <c r="AN52" i="1"/>
  <c r="AN12" i="1" s="1"/>
  <c r="AN64" i="1" s="1"/>
  <c r="AC97" i="125" l="1"/>
  <c r="AC51" i="125"/>
  <c r="AC135" i="125"/>
  <c r="AC136" i="125" s="1"/>
  <c r="AE52" i="107"/>
  <c r="AD135" i="107"/>
  <c r="AE135" i="107"/>
  <c r="AD97" i="107"/>
  <c r="AE97" i="107"/>
  <c r="AH12" i="1"/>
  <c r="AH64" i="1" s="1"/>
  <c r="AO52" i="1"/>
  <c r="AP52" i="1" s="1"/>
  <c r="AJ52" i="1"/>
  <c r="AC52" i="125" l="1"/>
  <c r="AC98" i="125"/>
  <c r="AE136" i="107"/>
  <c r="AE98" i="107"/>
  <c r="AC12" i="75"/>
  <c r="AC11" i="75" s="1"/>
  <c r="U12" i="75"/>
  <c r="U11" i="75" s="1"/>
  <c r="M12" i="75"/>
  <c r="M11" i="75" s="1"/>
  <c r="DA16" i="75" l="1"/>
  <c r="CS16" i="75"/>
  <c r="CK16" i="75"/>
  <c r="BU16" i="75"/>
  <c r="BM16" i="75"/>
  <c r="BE16" i="75"/>
  <c r="AW16" i="75"/>
  <c r="AO16" i="75"/>
  <c r="AG16" i="75"/>
  <c r="EF38" i="74" l="1"/>
  <c r="AZ38" i="74"/>
  <c r="FB35" i="74"/>
  <c r="FA35" i="74"/>
  <c r="EZ35" i="74"/>
  <c r="EY35" i="74"/>
  <c r="EX35" i="74"/>
  <c r="EV35" i="74"/>
  <c r="ET35" i="74"/>
  <c r="EP35" i="74"/>
  <c r="EO35" i="74"/>
  <c r="EM35" i="74"/>
  <c r="EL35" i="74"/>
  <c r="EJ35" i="74"/>
  <c r="EH35" i="74"/>
  <c r="ED35" i="74"/>
  <c r="EC35" i="74"/>
  <c r="EA35" i="74"/>
  <c r="DZ35" i="74"/>
  <c r="DX35" i="74"/>
  <c r="DV35" i="74"/>
  <c r="DR35" i="74"/>
  <c r="DQ35" i="74"/>
  <c r="DP35" i="74"/>
  <c r="DO35" i="74"/>
  <c r="DN35" i="74"/>
  <c r="DL35" i="74"/>
  <c r="DJ35" i="74"/>
  <c r="DF35" i="74"/>
  <c r="DE35" i="74"/>
  <c r="DD35" i="74"/>
  <c r="DC35" i="74"/>
  <c r="DB35" i="74"/>
  <c r="CZ35" i="74"/>
  <c r="CX35" i="74"/>
  <c r="CT35" i="74"/>
  <c r="CS35" i="74"/>
  <c r="CR35" i="74"/>
  <c r="CQ35" i="74"/>
  <c r="CP35" i="74"/>
  <c r="CN35" i="74"/>
  <c r="CL35" i="74"/>
  <c r="CH35" i="74"/>
  <c r="CG35" i="74"/>
  <c r="CF35" i="74"/>
  <c r="CE35" i="74"/>
  <c r="CD35" i="74"/>
  <c r="CB35" i="74"/>
  <c r="BZ35" i="74"/>
  <c r="BV35" i="74"/>
  <c r="BU35" i="74"/>
  <c r="BT35" i="74"/>
  <c r="BS35" i="74"/>
  <c r="BR35" i="74"/>
  <c r="BP35" i="74"/>
  <c r="H35" i="74" s="1"/>
  <c r="BN35" i="74"/>
  <c r="BJ35" i="74"/>
  <c r="BI35" i="74"/>
  <c r="BG35" i="74"/>
  <c r="BF35" i="74"/>
  <c r="BD35" i="74"/>
  <c r="BB35" i="74"/>
  <c r="AX35" i="74"/>
  <c r="AW35" i="74"/>
  <c r="AU35" i="74"/>
  <c r="AT35" i="74"/>
  <c r="AR35" i="74"/>
  <c r="AP35" i="74"/>
  <c r="AL35" i="74"/>
  <c r="AK35" i="74"/>
  <c r="AJ35" i="74"/>
  <c r="AI35" i="74"/>
  <c r="AH35" i="74"/>
  <c r="AF35" i="74"/>
  <c r="AD35" i="74"/>
  <c r="Z35" i="74"/>
  <c r="Y35" i="74"/>
  <c r="X35" i="74"/>
  <c r="W35" i="74"/>
  <c r="V35" i="74"/>
  <c r="J35" i="74" s="1"/>
  <c r="T35" i="74"/>
  <c r="R35" i="74"/>
  <c r="D35" i="74"/>
  <c r="I35" i="74"/>
  <c r="G35" i="74"/>
  <c r="E35" i="74"/>
  <c r="C35" i="74"/>
  <c r="EX34" i="74"/>
  <c r="EV34" i="74"/>
  <c r="EV31" i="74" s="1"/>
  <c r="ET34" i="74"/>
  <c r="ET31" i="74" s="1"/>
  <c r="EL34" i="74"/>
  <c r="EL31" i="74" s="1"/>
  <c r="EJ34" i="74"/>
  <c r="EH34" i="74"/>
  <c r="EH31" i="74" s="1"/>
  <c r="DZ34" i="74"/>
  <c r="DZ31" i="74" s="1"/>
  <c r="DX34" i="74"/>
  <c r="DX31" i="74" s="1"/>
  <c r="DV34" i="74"/>
  <c r="DV31" i="74" s="1"/>
  <c r="DN34" i="74"/>
  <c r="DN31" i="74" s="1"/>
  <c r="DL34" i="74"/>
  <c r="DL31" i="74" s="1"/>
  <c r="DJ34" i="74"/>
  <c r="DJ31" i="74" s="1"/>
  <c r="DB34" i="74"/>
  <c r="CZ34" i="74"/>
  <c r="CZ31" i="74" s="1"/>
  <c r="CX34" i="74"/>
  <c r="CX31" i="74" s="1"/>
  <c r="CN34" i="74"/>
  <c r="CN31" i="74" s="1"/>
  <c r="CL34" i="74"/>
  <c r="CL31" i="74" s="1"/>
  <c r="CD34" i="74"/>
  <c r="CD31" i="74" s="1"/>
  <c r="CB34" i="74"/>
  <c r="CB31" i="74" s="1"/>
  <c r="BZ34" i="74"/>
  <c r="BZ31" i="74" s="1"/>
  <c r="BR34" i="74"/>
  <c r="BR31" i="74" s="1"/>
  <c r="BP34" i="74"/>
  <c r="BP31" i="74" s="1"/>
  <c r="BN34" i="74"/>
  <c r="BN31" i="74" s="1"/>
  <c r="BF34" i="74"/>
  <c r="BF31" i="74" s="1"/>
  <c r="BD34" i="74"/>
  <c r="BD31" i="74" s="1"/>
  <c r="BB34" i="74"/>
  <c r="AT34" i="74"/>
  <c r="G34" i="74"/>
  <c r="AP34" i="74"/>
  <c r="AH34" i="74"/>
  <c r="AH31" i="74" s="1"/>
  <c r="AF34" i="74"/>
  <c r="AF31" i="74" s="1"/>
  <c r="AD34" i="74"/>
  <c r="AD31" i="74" s="1"/>
  <c r="V34" i="74"/>
  <c r="V31" i="74" s="1"/>
  <c r="T34" i="74"/>
  <c r="R34" i="74"/>
  <c r="C34" i="74"/>
  <c r="J33" i="74"/>
  <c r="I33" i="74"/>
  <c r="H33" i="74"/>
  <c r="F33" i="74"/>
  <c r="E33" i="74"/>
  <c r="D33" i="74"/>
  <c r="C33" i="74"/>
  <c r="J32" i="74"/>
  <c r="H32" i="74"/>
  <c r="F32" i="74"/>
  <c r="E32" i="74"/>
  <c r="D32" i="74"/>
  <c r="C32" i="74"/>
  <c r="EX31" i="74"/>
  <c r="EW31" i="74"/>
  <c r="FA31" i="74"/>
  <c r="ES31" i="74"/>
  <c r="EK31" i="74"/>
  <c r="EJ31" i="74"/>
  <c r="EO31" i="74"/>
  <c r="DY31" i="74"/>
  <c r="ED31" i="74"/>
  <c r="DU31" i="74"/>
  <c r="DM31" i="74"/>
  <c r="DQ31" i="74"/>
  <c r="DI31" i="74"/>
  <c r="DB31" i="74"/>
  <c r="DA31" i="74"/>
  <c r="DE31" i="74"/>
  <c r="CW31" i="74"/>
  <c r="CK31" i="74"/>
  <c r="CC31" i="74"/>
  <c r="BY31" i="74"/>
  <c r="BQ31" i="74"/>
  <c r="BV31" i="74"/>
  <c r="BM31" i="74"/>
  <c r="BE31" i="74"/>
  <c r="BJ31" i="74"/>
  <c r="BA31" i="74"/>
  <c r="AT31" i="74"/>
  <c r="AS31" i="74"/>
  <c r="AP31" i="74"/>
  <c r="AO31" i="74"/>
  <c r="AG31" i="74"/>
  <c r="AL31" i="74"/>
  <c r="AC31" i="74"/>
  <c r="U31" i="74"/>
  <c r="R31" i="74"/>
  <c r="Q31" i="74"/>
  <c r="C31" i="74"/>
  <c r="EX30" i="74"/>
  <c r="EV30" i="74"/>
  <c r="EV28" i="74" s="1"/>
  <c r="ET30" i="74"/>
  <c r="EL30" i="74"/>
  <c r="EJ30" i="74"/>
  <c r="EJ28" i="74" s="1"/>
  <c r="EH30" i="74"/>
  <c r="EH28" i="74" s="1"/>
  <c r="DZ30" i="74"/>
  <c r="DX30" i="74"/>
  <c r="DX28" i="74" s="1"/>
  <c r="DV30" i="74"/>
  <c r="DV28" i="74" s="1"/>
  <c r="DN30" i="74"/>
  <c r="DN28" i="74" s="1"/>
  <c r="DL30" i="74"/>
  <c r="DL28" i="74" s="1"/>
  <c r="DJ30" i="74"/>
  <c r="DB30" i="74"/>
  <c r="DB28" i="74" s="1"/>
  <c r="CZ30" i="74"/>
  <c r="CZ28" i="74" s="1"/>
  <c r="CX30" i="74"/>
  <c r="CP30" i="74"/>
  <c r="CN30" i="74"/>
  <c r="CL30" i="74"/>
  <c r="CB30" i="74"/>
  <c r="BZ30" i="74"/>
  <c r="BR30" i="74"/>
  <c r="BR28" i="74" s="1"/>
  <c r="BP30" i="74"/>
  <c r="BP28" i="74" s="1"/>
  <c r="BN30" i="74"/>
  <c r="BN28" i="74" s="1"/>
  <c r="BF30" i="74"/>
  <c r="BD30" i="74"/>
  <c r="BB30" i="74"/>
  <c r="AT30" i="74"/>
  <c r="AR30" i="74"/>
  <c r="AP30" i="74"/>
  <c r="AH30" i="74"/>
  <c r="AF30" i="74"/>
  <c r="AF28" i="74" s="1"/>
  <c r="AD30" i="74"/>
  <c r="AD28" i="74" s="1"/>
  <c r="V30" i="74"/>
  <c r="V28" i="74" s="1"/>
  <c r="T30" i="74"/>
  <c r="R30" i="74"/>
  <c r="R28" i="74" s="1"/>
  <c r="G30" i="74"/>
  <c r="E30" i="74"/>
  <c r="C30" i="74"/>
  <c r="J29" i="74"/>
  <c r="I29" i="74"/>
  <c r="H29" i="74"/>
  <c r="G29" i="74"/>
  <c r="F29" i="74"/>
  <c r="E29" i="74"/>
  <c r="D29" i="74"/>
  <c r="C29" i="74"/>
  <c r="EX28" i="74"/>
  <c r="EW28" i="74"/>
  <c r="FB28" i="74"/>
  <c r="ET28" i="74"/>
  <c r="ES28" i="74"/>
  <c r="ER38" i="74"/>
  <c r="EL28" i="74"/>
  <c r="EK28" i="74"/>
  <c r="EP28" i="74"/>
  <c r="EG28" i="74"/>
  <c r="DZ28" i="74"/>
  <c r="DY28" i="74"/>
  <c r="ED28" i="74"/>
  <c r="DU28" i="74"/>
  <c r="DT38" i="74"/>
  <c r="DM28" i="74"/>
  <c r="DQ28" i="74"/>
  <c r="DJ28" i="74"/>
  <c r="DI28" i="74"/>
  <c r="DH38" i="74"/>
  <c r="DA28" i="74"/>
  <c r="DF28" i="74"/>
  <c r="CX28" i="74"/>
  <c r="CW28" i="74"/>
  <c r="CV38" i="74"/>
  <c r="DE28" i="74"/>
  <c r="CP28" i="74"/>
  <c r="CO28" i="74"/>
  <c r="CQ28" i="74" s="1"/>
  <c r="CL28" i="74"/>
  <c r="CK28" i="74"/>
  <c r="CJ38" i="74"/>
  <c r="CB28" i="74"/>
  <c r="CG28" i="74"/>
  <c r="BZ28" i="74"/>
  <c r="BY28" i="74"/>
  <c r="BX38" i="74"/>
  <c r="BQ28" i="74"/>
  <c r="BS28" i="74" s="1"/>
  <c r="BM28" i="74"/>
  <c r="BL38" i="74"/>
  <c r="BF28" i="74"/>
  <c r="BE28" i="74"/>
  <c r="BG28" i="74" s="1"/>
  <c r="BD28" i="74"/>
  <c r="BB28" i="74"/>
  <c r="AT28" i="74"/>
  <c r="AS28" i="74"/>
  <c r="AU28" i="74" s="1"/>
  <c r="AR28" i="74"/>
  <c r="AP28" i="74"/>
  <c r="AO28" i="74"/>
  <c r="AN38" i="74"/>
  <c r="AH28" i="74"/>
  <c r="AG28" i="74"/>
  <c r="AL28" i="74"/>
  <c r="AC28" i="74"/>
  <c r="U28" i="74"/>
  <c r="T28" i="74"/>
  <c r="S28" i="74"/>
  <c r="Q28" i="74"/>
  <c r="P38" i="74"/>
  <c r="C28" i="74"/>
  <c r="EX27" i="74"/>
  <c r="EX25" i="74" s="1"/>
  <c r="EV27" i="74"/>
  <c r="EV25" i="74" s="1"/>
  <c r="ET27" i="74"/>
  <c r="ET25" i="74" s="1"/>
  <c r="EL27" i="74"/>
  <c r="EL25" i="74" s="1"/>
  <c r="DZ27" i="74"/>
  <c r="DZ25" i="74" s="1"/>
  <c r="DX27" i="74"/>
  <c r="DV27" i="74"/>
  <c r="DV25" i="74" s="1"/>
  <c r="DN27" i="74"/>
  <c r="DN25" i="74" s="1"/>
  <c r="DL27" i="74"/>
  <c r="DJ27" i="74"/>
  <c r="DJ25" i="74" s="1"/>
  <c r="DB27" i="74"/>
  <c r="DB25" i="74" s="1"/>
  <c r="CZ27" i="74"/>
  <c r="CZ25" i="74" s="1"/>
  <c r="CX27" i="74"/>
  <c r="CX25" i="74" s="1"/>
  <c r="CP27" i="74"/>
  <c r="CP25" i="74" s="1"/>
  <c r="CN27" i="74"/>
  <c r="CN25" i="74" s="1"/>
  <c r="CL27" i="74"/>
  <c r="CL25" i="74" s="1"/>
  <c r="CD27" i="74"/>
  <c r="CD25" i="74" s="1"/>
  <c r="CB27" i="74"/>
  <c r="CB25" i="74" s="1"/>
  <c r="BZ27" i="74"/>
  <c r="BZ25" i="74" s="1"/>
  <c r="BR27" i="74"/>
  <c r="BR25" i="74" s="1"/>
  <c r="BP27" i="74"/>
  <c r="BP25" i="74" s="1"/>
  <c r="BN27" i="74"/>
  <c r="BN25" i="74" s="1"/>
  <c r="BF27" i="74"/>
  <c r="BF25" i="74" s="1"/>
  <c r="BD27" i="74"/>
  <c r="BD25" i="74" s="1"/>
  <c r="BB27" i="74"/>
  <c r="BB25" i="74" s="1"/>
  <c r="AT27" i="74"/>
  <c r="AT25" i="74" s="1"/>
  <c r="AR27" i="74"/>
  <c r="AR25" i="74" s="1"/>
  <c r="AP27" i="74"/>
  <c r="AP25" i="74" s="1"/>
  <c r="AH27" i="74"/>
  <c r="AH25" i="74" s="1"/>
  <c r="AF27" i="74"/>
  <c r="AD27" i="74"/>
  <c r="AD25" i="74" s="1"/>
  <c r="V27" i="74"/>
  <c r="V25" i="74" s="1"/>
  <c r="T27" i="74"/>
  <c r="T25" i="74" s="1"/>
  <c r="R27" i="74"/>
  <c r="R25" i="74" s="1"/>
  <c r="I27" i="74"/>
  <c r="D27" i="74"/>
  <c r="C27" i="74"/>
  <c r="EG26" i="74"/>
  <c r="BY25" i="74"/>
  <c r="J26" i="74"/>
  <c r="I26" i="74"/>
  <c r="H26" i="74"/>
  <c r="F26" i="74"/>
  <c r="D26" i="74"/>
  <c r="C26" i="74"/>
  <c r="EW25" i="74"/>
  <c r="ES25" i="74"/>
  <c r="EK25" i="74"/>
  <c r="DY25" i="74"/>
  <c r="DX25" i="74"/>
  <c r="DU25" i="74"/>
  <c r="DM25" i="74"/>
  <c r="DL25" i="74"/>
  <c r="DI25" i="74"/>
  <c r="DA25" i="74"/>
  <c r="DC25" i="74" s="1"/>
  <c r="CW25" i="74"/>
  <c r="CO25" i="74"/>
  <c r="CK25" i="74"/>
  <c r="BQ25" i="74"/>
  <c r="BM25" i="74"/>
  <c r="BE25" i="74"/>
  <c r="BA25" i="74"/>
  <c r="AS25" i="74"/>
  <c r="AU25" i="74" s="1"/>
  <c r="AF25" i="74"/>
  <c r="AC25" i="74"/>
  <c r="X25" i="74"/>
  <c r="W25" i="74"/>
  <c r="Y25" i="74"/>
  <c r="EX23" i="74"/>
  <c r="EX20" i="74" s="1"/>
  <c r="EV23" i="74"/>
  <c r="EV20" i="74" s="1"/>
  <c r="ET23" i="74"/>
  <c r="ET20" i="74" s="1"/>
  <c r="EL23" i="74"/>
  <c r="EL20" i="74" s="1"/>
  <c r="EJ23" i="74"/>
  <c r="EJ20" i="74" s="1"/>
  <c r="EH23" i="74"/>
  <c r="EH20" i="74" s="1"/>
  <c r="DZ23" i="74"/>
  <c r="DZ20" i="74" s="1"/>
  <c r="DX23" i="74"/>
  <c r="DX20" i="74" s="1"/>
  <c r="DV23" i="74"/>
  <c r="DV20" i="74" s="1"/>
  <c r="DN23" i="74"/>
  <c r="DN20" i="74" s="1"/>
  <c r="DL23" i="74"/>
  <c r="DL20" i="74" s="1"/>
  <c r="DJ23" i="74"/>
  <c r="DJ20" i="74" s="1"/>
  <c r="DB23" i="74"/>
  <c r="DB20" i="74" s="1"/>
  <c r="CZ23" i="74"/>
  <c r="CZ20" i="74" s="1"/>
  <c r="CX23" i="74"/>
  <c r="CX20" i="74" s="1"/>
  <c r="CP23" i="74"/>
  <c r="CP20" i="74" s="1"/>
  <c r="CN23" i="74"/>
  <c r="CN20" i="74" s="1"/>
  <c r="CL23" i="74"/>
  <c r="CL20" i="74" s="1"/>
  <c r="CD23" i="74"/>
  <c r="CD20" i="74" s="1"/>
  <c r="CB23" i="74"/>
  <c r="CB20" i="74" s="1"/>
  <c r="BZ23" i="74"/>
  <c r="BZ20" i="74" s="1"/>
  <c r="BR23" i="74"/>
  <c r="BR20" i="74" s="1"/>
  <c r="BP23" i="74"/>
  <c r="BP20" i="74" s="1"/>
  <c r="BN23" i="74"/>
  <c r="BN20" i="74" s="1"/>
  <c r="BF23" i="74"/>
  <c r="BF20" i="74" s="1"/>
  <c r="BD23" i="74"/>
  <c r="BD20" i="74" s="1"/>
  <c r="BB23" i="74"/>
  <c r="AT23" i="74"/>
  <c r="AP23" i="74"/>
  <c r="AP20" i="74" s="1"/>
  <c r="AH23" i="74"/>
  <c r="AH20" i="74" s="1"/>
  <c r="AF23" i="74"/>
  <c r="AF20" i="74" s="1"/>
  <c r="AD23" i="74"/>
  <c r="AD20" i="74" s="1"/>
  <c r="V23" i="74"/>
  <c r="V20" i="74" s="1"/>
  <c r="T23" i="74"/>
  <c r="R20" i="74"/>
  <c r="I23" i="74"/>
  <c r="E23" i="74"/>
  <c r="C23" i="74"/>
  <c r="J22" i="74"/>
  <c r="I22" i="74"/>
  <c r="H22" i="74"/>
  <c r="F22" i="74"/>
  <c r="E22" i="74"/>
  <c r="D22" i="74"/>
  <c r="C22" i="74"/>
  <c r="CQ21" i="74"/>
  <c r="J21" i="74"/>
  <c r="I21" i="74"/>
  <c r="H21" i="74"/>
  <c r="F21" i="74"/>
  <c r="E21" i="74"/>
  <c r="D21" i="74"/>
  <c r="C21" i="74"/>
  <c r="EW20" i="74"/>
  <c r="FA20" i="74"/>
  <c r="ES20" i="74"/>
  <c r="EG20" i="74"/>
  <c r="DY20" i="74"/>
  <c r="DU20" i="74"/>
  <c r="DM20" i="74"/>
  <c r="DQ20" i="74"/>
  <c r="DI20" i="74"/>
  <c r="DA20" i="74"/>
  <c r="DE20" i="74"/>
  <c r="CW20" i="74"/>
  <c r="CO20" i="74"/>
  <c r="CK20" i="74"/>
  <c r="CC20" i="74"/>
  <c r="BY20" i="74"/>
  <c r="BQ20" i="74"/>
  <c r="BU20" i="74"/>
  <c r="BM20" i="74"/>
  <c r="BE20" i="74"/>
  <c r="BI20" i="74"/>
  <c r="BA20" i="74"/>
  <c r="AS20" i="74"/>
  <c r="AO20" i="74"/>
  <c r="AK20" i="74"/>
  <c r="AC20" i="74"/>
  <c r="S20" i="74"/>
  <c r="Z20" i="74" s="1"/>
  <c r="Q20" i="74"/>
  <c r="FA19" i="74"/>
  <c r="EZ19" i="74"/>
  <c r="EY19" i="74"/>
  <c r="EX19" i="74"/>
  <c r="EV19" i="74"/>
  <c r="ET19" i="74"/>
  <c r="EO19" i="74"/>
  <c r="EN19" i="74"/>
  <c r="EM19" i="74"/>
  <c r="EL19" i="74"/>
  <c r="EJ19" i="74"/>
  <c r="EH19" i="74"/>
  <c r="EC19" i="74"/>
  <c r="EB19" i="74"/>
  <c r="EA19" i="74"/>
  <c r="DZ19" i="74"/>
  <c r="DX19" i="74"/>
  <c r="DV19" i="74"/>
  <c r="DQ19" i="74"/>
  <c r="DP19" i="74"/>
  <c r="DO19" i="74"/>
  <c r="DN19" i="74"/>
  <c r="DL19" i="74"/>
  <c r="DJ19" i="74"/>
  <c r="DE19" i="74"/>
  <c r="DD19" i="74"/>
  <c r="DC19" i="74"/>
  <c r="DB19" i="74"/>
  <c r="CZ19" i="74"/>
  <c r="CX19" i="74"/>
  <c r="CS19" i="74"/>
  <c r="CR19" i="74"/>
  <c r="CQ19" i="74"/>
  <c r="CP19" i="74"/>
  <c r="CN19" i="74"/>
  <c r="CL19" i="74"/>
  <c r="CG19" i="74"/>
  <c r="CF19" i="74"/>
  <c r="CE19" i="74"/>
  <c r="CD19" i="74"/>
  <c r="CB19" i="74"/>
  <c r="BZ19" i="74"/>
  <c r="BU19" i="74"/>
  <c r="BT19" i="74"/>
  <c r="BS19" i="74"/>
  <c r="BR19" i="74"/>
  <c r="BP19" i="74"/>
  <c r="BN19" i="74"/>
  <c r="BI19" i="74"/>
  <c r="BH19" i="74"/>
  <c r="BG19" i="74"/>
  <c r="BF19" i="74"/>
  <c r="BD19" i="74"/>
  <c r="BB19" i="74"/>
  <c r="AW19" i="74"/>
  <c r="AV19" i="74"/>
  <c r="AU19" i="74"/>
  <c r="AT19" i="74"/>
  <c r="AR19" i="74"/>
  <c r="AP19" i="74"/>
  <c r="AK19" i="74"/>
  <c r="AJ19" i="74"/>
  <c r="AI19" i="74"/>
  <c r="AH19" i="74"/>
  <c r="AF19" i="74"/>
  <c r="AD19" i="74"/>
  <c r="Y19" i="74"/>
  <c r="W19" i="74"/>
  <c r="V19" i="74"/>
  <c r="T19" i="74"/>
  <c r="R19" i="74"/>
  <c r="I19" i="74"/>
  <c r="G19" i="74"/>
  <c r="I16" i="119" s="1"/>
  <c r="E19" i="74"/>
  <c r="C19" i="74"/>
  <c r="FA18" i="74"/>
  <c r="EY18" i="74"/>
  <c r="EX18" i="74"/>
  <c r="EV18" i="74"/>
  <c r="ET18" i="74"/>
  <c r="EO18" i="74"/>
  <c r="EM18" i="74"/>
  <c r="EL18" i="74"/>
  <c r="EJ18" i="74"/>
  <c r="EH18" i="74"/>
  <c r="EC18" i="74"/>
  <c r="EA18" i="74"/>
  <c r="DZ18" i="74"/>
  <c r="DX18" i="74"/>
  <c r="DV18" i="74"/>
  <c r="DQ18" i="74"/>
  <c r="DO18" i="74"/>
  <c r="DN18" i="74"/>
  <c r="DL18" i="74"/>
  <c r="DJ18" i="74"/>
  <c r="DE18" i="74"/>
  <c r="DC18" i="74"/>
  <c r="DB18" i="74"/>
  <c r="CZ18" i="74"/>
  <c r="CW18" i="74"/>
  <c r="CS18" i="74"/>
  <c r="CQ18" i="74"/>
  <c r="CP18" i="74"/>
  <c r="CN18" i="74"/>
  <c r="CL18" i="74"/>
  <c r="CG18" i="74"/>
  <c r="CE18" i="74"/>
  <c r="CD18" i="74"/>
  <c r="CB18" i="74"/>
  <c r="BZ18" i="74"/>
  <c r="BS18" i="74"/>
  <c r="BR18" i="74"/>
  <c r="BP18" i="74"/>
  <c r="BU18" i="74"/>
  <c r="BN18" i="74"/>
  <c r="BI18" i="74"/>
  <c r="BG18" i="74"/>
  <c r="BF18" i="74"/>
  <c r="BD18" i="74"/>
  <c r="BB18" i="74"/>
  <c r="AW18" i="74"/>
  <c r="AU18" i="74"/>
  <c r="AT18" i="74"/>
  <c r="AR18" i="74"/>
  <c r="AP18" i="74"/>
  <c r="AK18" i="74"/>
  <c r="AI18" i="74"/>
  <c r="AH18" i="74"/>
  <c r="AF18" i="74"/>
  <c r="AD18" i="74"/>
  <c r="Y18" i="74"/>
  <c r="W18" i="74"/>
  <c r="V18" i="74"/>
  <c r="T18" i="74"/>
  <c r="R18" i="74"/>
  <c r="I18" i="74"/>
  <c r="G18" i="74"/>
  <c r="K18" i="74" s="1"/>
  <c r="C18" i="74"/>
  <c r="FB17" i="74"/>
  <c r="FA17" i="74"/>
  <c r="EZ17" i="74"/>
  <c r="EY17" i="74"/>
  <c r="EX17" i="74"/>
  <c r="EV17" i="74"/>
  <c r="ET17" i="74"/>
  <c r="EP17" i="74"/>
  <c r="EO17" i="74"/>
  <c r="EN17" i="74"/>
  <c r="EM17" i="74"/>
  <c r="EL17" i="74"/>
  <c r="EJ17" i="74"/>
  <c r="EH17" i="74"/>
  <c r="ED17" i="74"/>
  <c r="EC17" i="74"/>
  <c r="EB17" i="74"/>
  <c r="EA17" i="74"/>
  <c r="DZ17" i="74"/>
  <c r="DX17" i="74"/>
  <c r="DV17" i="74"/>
  <c r="DR17" i="74"/>
  <c r="DQ17" i="74"/>
  <c r="DP17" i="74"/>
  <c r="DO17" i="74"/>
  <c r="DN17" i="74"/>
  <c r="DL17" i="74"/>
  <c r="DJ17" i="74"/>
  <c r="DF17" i="74"/>
  <c r="DE17" i="74"/>
  <c r="DD17" i="74"/>
  <c r="DC17" i="74"/>
  <c r="DB17" i="74"/>
  <c r="CZ17" i="74"/>
  <c r="CX17" i="74"/>
  <c r="CT17" i="74"/>
  <c r="CS17" i="74"/>
  <c r="CR17" i="74"/>
  <c r="CQ17" i="74"/>
  <c r="CP17" i="74"/>
  <c r="CN17" i="74"/>
  <c r="CL17" i="74"/>
  <c r="CH17" i="74"/>
  <c r="CG17" i="74"/>
  <c r="CF17" i="74"/>
  <c r="CE17" i="74"/>
  <c r="CD17" i="74"/>
  <c r="CB17" i="74"/>
  <c r="BZ17" i="74"/>
  <c r="BV17" i="74"/>
  <c r="BU17" i="74"/>
  <c r="BT17" i="74"/>
  <c r="BS17" i="74"/>
  <c r="BR17" i="74"/>
  <c r="BP17" i="74"/>
  <c r="BN17" i="74"/>
  <c r="BJ17" i="74"/>
  <c r="BI17" i="74"/>
  <c r="BH17" i="74"/>
  <c r="BG17" i="74"/>
  <c r="BF17" i="74"/>
  <c r="BD17" i="74"/>
  <c r="BB17" i="74"/>
  <c r="AX17" i="74"/>
  <c r="AW17" i="74"/>
  <c r="AV17" i="74"/>
  <c r="AU17" i="74"/>
  <c r="AT17" i="74"/>
  <c r="AR17" i="74"/>
  <c r="AP17" i="74"/>
  <c r="AL17" i="74"/>
  <c r="AK17" i="74"/>
  <c r="AJ17" i="74"/>
  <c r="AI17" i="74"/>
  <c r="AH17" i="74"/>
  <c r="AF17" i="74"/>
  <c r="AD17" i="74"/>
  <c r="Z17" i="74"/>
  <c r="Y17" i="74"/>
  <c r="X17" i="74"/>
  <c r="W17" i="74"/>
  <c r="V17" i="74"/>
  <c r="T17" i="74"/>
  <c r="R17" i="74"/>
  <c r="D17" i="74"/>
  <c r="I17" i="74"/>
  <c r="G17" i="74"/>
  <c r="I14" i="119" s="1"/>
  <c r="E17" i="74"/>
  <c r="C17" i="74"/>
  <c r="FA16" i="74"/>
  <c r="EY16" i="74"/>
  <c r="EC16" i="74"/>
  <c r="EA16" i="74"/>
  <c r="DE16" i="74"/>
  <c r="DC16" i="74"/>
  <c r="CG16" i="74"/>
  <c r="CE16" i="74"/>
  <c r="BU16" i="74"/>
  <c r="BS16" i="74"/>
  <c r="AW16" i="74"/>
  <c r="AU16" i="74"/>
  <c r="Z16" i="74"/>
  <c r="Y16" i="74"/>
  <c r="X16" i="74"/>
  <c r="W16" i="74"/>
  <c r="J16" i="74"/>
  <c r="I16" i="74"/>
  <c r="H16" i="74"/>
  <c r="G16" i="74"/>
  <c r="F16" i="74"/>
  <c r="E16" i="74"/>
  <c r="D16" i="74"/>
  <c r="C16" i="74"/>
  <c r="FA15" i="74"/>
  <c r="EY15" i="74"/>
  <c r="EX15" i="74"/>
  <c r="EV15" i="74"/>
  <c r="ET15" i="74"/>
  <c r="EP15" i="74"/>
  <c r="EO15" i="74"/>
  <c r="EN15" i="74"/>
  <c r="EM15" i="74"/>
  <c r="EL15" i="74"/>
  <c r="EJ15" i="74"/>
  <c r="EH15" i="74"/>
  <c r="ED15" i="74"/>
  <c r="EC15" i="74"/>
  <c r="EB15" i="74"/>
  <c r="EA15" i="74"/>
  <c r="DZ15" i="74"/>
  <c r="DX15" i="74"/>
  <c r="DV15" i="74"/>
  <c r="DR15" i="74"/>
  <c r="DQ15" i="74"/>
  <c r="DP15" i="74"/>
  <c r="DO15" i="74"/>
  <c r="DN15" i="74"/>
  <c r="DL15" i="74"/>
  <c r="DJ15" i="74"/>
  <c r="DF15" i="74"/>
  <c r="DE15" i="74"/>
  <c r="DD15" i="74"/>
  <c r="DC15" i="74"/>
  <c r="DB15" i="74"/>
  <c r="CZ15" i="74"/>
  <c r="CX15" i="74"/>
  <c r="CS15" i="74"/>
  <c r="CQ15" i="74"/>
  <c r="CP15" i="74"/>
  <c r="CN15" i="74"/>
  <c r="CL15" i="74"/>
  <c r="D15" i="74"/>
  <c r="CD15" i="74"/>
  <c r="CB15" i="74"/>
  <c r="BZ15" i="74"/>
  <c r="BV15" i="74"/>
  <c r="BU15" i="74"/>
  <c r="BT15" i="74"/>
  <c r="BS15" i="74"/>
  <c r="BR15" i="74"/>
  <c r="BP15" i="74"/>
  <c r="BN15" i="74"/>
  <c r="BJ15" i="74"/>
  <c r="BI15" i="74"/>
  <c r="BH15" i="74"/>
  <c r="BG15" i="74"/>
  <c r="BF15" i="74"/>
  <c r="BD15" i="74"/>
  <c r="BB15" i="74"/>
  <c r="AX15" i="74"/>
  <c r="AW15" i="74"/>
  <c r="AV15" i="74"/>
  <c r="AU15" i="74"/>
  <c r="AT15" i="74"/>
  <c r="AR15" i="74"/>
  <c r="AP15" i="74"/>
  <c r="AK15" i="74"/>
  <c r="AI15" i="74"/>
  <c r="AH15" i="74"/>
  <c r="AF15" i="74"/>
  <c r="AD15" i="74"/>
  <c r="F15" i="74" s="1"/>
  <c r="Y15" i="74"/>
  <c r="W15" i="74"/>
  <c r="V15" i="74"/>
  <c r="T15" i="74"/>
  <c r="R15" i="74"/>
  <c r="I15" i="74"/>
  <c r="E15" i="74"/>
  <c r="C15" i="74"/>
  <c r="FA14" i="74"/>
  <c r="EY14" i="74"/>
  <c r="EO14" i="74"/>
  <c r="EM14" i="74"/>
  <c r="EC14" i="74"/>
  <c r="EA14" i="74"/>
  <c r="DQ14" i="74"/>
  <c r="DO14" i="74"/>
  <c r="DE14" i="74"/>
  <c r="DC14" i="74"/>
  <c r="CS14" i="74"/>
  <c r="CQ14" i="74"/>
  <c r="CG14" i="74"/>
  <c r="CE14" i="74"/>
  <c r="BU14" i="74"/>
  <c r="BS14" i="74"/>
  <c r="BI14" i="74"/>
  <c r="BG14" i="74"/>
  <c r="AW14" i="74"/>
  <c r="AU14" i="74"/>
  <c r="AK14" i="74"/>
  <c r="AI14" i="74"/>
  <c r="Z14" i="74"/>
  <c r="Y14" i="74"/>
  <c r="X14" i="74"/>
  <c r="W14" i="74"/>
  <c r="J14" i="74"/>
  <c r="I14" i="74"/>
  <c r="H14" i="74"/>
  <c r="G14" i="74"/>
  <c r="F14" i="74"/>
  <c r="E14" i="74"/>
  <c r="D14" i="74"/>
  <c r="C14" i="74"/>
  <c r="FA13" i="74"/>
  <c r="EY13" i="74"/>
  <c r="EO13" i="74"/>
  <c r="EM13" i="74"/>
  <c r="EC13" i="74"/>
  <c r="EA13" i="74"/>
  <c r="DQ13" i="74"/>
  <c r="DO13" i="74"/>
  <c r="DE13" i="74"/>
  <c r="DC13" i="74"/>
  <c r="CS13" i="74"/>
  <c r="CQ13" i="74"/>
  <c r="CG13" i="74"/>
  <c r="CE13" i="74"/>
  <c r="BU13" i="74"/>
  <c r="BS13" i="74"/>
  <c r="BI13" i="74"/>
  <c r="BG13" i="74"/>
  <c r="AW13" i="74"/>
  <c r="AU13" i="74"/>
  <c r="AK13" i="74"/>
  <c r="AI13" i="74"/>
  <c r="Y13" i="74"/>
  <c r="W13" i="74"/>
  <c r="J13" i="74"/>
  <c r="I13" i="74"/>
  <c r="H13" i="74"/>
  <c r="G13" i="74"/>
  <c r="F13" i="74"/>
  <c r="E13" i="74"/>
  <c r="D13" i="74"/>
  <c r="C13" i="74"/>
  <c r="FB12" i="74"/>
  <c r="FA12" i="74"/>
  <c r="EZ12" i="74"/>
  <c r="EY12" i="74"/>
  <c r="EX12" i="74"/>
  <c r="EV12" i="74"/>
  <c r="EP12" i="74"/>
  <c r="EO12" i="74"/>
  <c r="EN12" i="74"/>
  <c r="EM12" i="74"/>
  <c r="EL12" i="74"/>
  <c r="EJ12" i="74"/>
  <c r="EH12" i="74"/>
  <c r="ED12" i="74"/>
  <c r="EC12" i="74"/>
  <c r="EB12" i="74"/>
  <c r="EA12" i="74"/>
  <c r="DZ12" i="74"/>
  <c r="DX12" i="74"/>
  <c r="DV12" i="74"/>
  <c r="DR12" i="74"/>
  <c r="DQ12" i="74"/>
  <c r="DP12" i="74"/>
  <c r="DO12" i="74"/>
  <c r="DN12" i="74"/>
  <c r="DL12" i="74"/>
  <c r="DJ12" i="74"/>
  <c r="DF12" i="74"/>
  <c r="DE12" i="74"/>
  <c r="DD12" i="74"/>
  <c r="DC12" i="74"/>
  <c r="DB12" i="74"/>
  <c r="CZ12" i="74"/>
  <c r="CX12" i="74"/>
  <c r="CT12" i="74"/>
  <c r="CS12" i="74"/>
  <c r="CR12" i="74"/>
  <c r="CQ12" i="74"/>
  <c r="CP12" i="74"/>
  <c r="CN12" i="74"/>
  <c r="CL12" i="74"/>
  <c r="CH12" i="74"/>
  <c r="CG12" i="74"/>
  <c r="CF12" i="74"/>
  <c r="CE12" i="74"/>
  <c r="CD12" i="74"/>
  <c r="J12" i="74" s="1"/>
  <c r="CB12" i="74"/>
  <c r="BZ12" i="74"/>
  <c r="BV12" i="74"/>
  <c r="BU12" i="74"/>
  <c r="BT12" i="74"/>
  <c r="BS12" i="74"/>
  <c r="BR12" i="74"/>
  <c r="BP12" i="74"/>
  <c r="BN12" i="74"/>
  <c r="BJ12" i="74"/>
  <c r="BI12" i="74"/>
  <c r="BH12" i="74"/>
  <c r="BG12" i="74"/>
  <c r="BF12" i="74"/>
  <c r="BD12" i="74"/>
  <c r="BB12" i="74"/>
  <c r="AX12" i="74"/>
  <c r="AW12" i="74"/>
  <c r="AV12" i="74"/>
  <c r="AU12" i="74"/>
  <c r="AT12" i="74"/>
  <c r="AR12" i="74"/>
  <c r="AP12" i="74"/>
  <c r="AL12" i="74"/>
  <c r="AK12" i="74"/>
  <c r="AJ12" i="74"/>
  <c r="AI12" i="74"/>
  <c r="AH12" i="74"/>
  <c r="AF12" i="74"/>
  <c r="AD12" i="74"/>
  <c r="Z12" i="74"/>
  <c r="Y12" i="74"/>
  <c r="X12" i="74"/>
  <c r="W12" i="74"/>
  <c r="V12" i="74"/>
  <c r="T12" i="74"/>
  <c r="R12" i="74"/>
  <c r="I12" i="74"/>
  <c r="G12" i="74"/>
  <c r="E12" i="74"/>
  <c r="C12" i="74"/>
  <c r="FB11" i="74"/>
  <c r="FA11" i="74"/>
  <c r="EZ11" i="74"/>
  <c r="EY11" i="74"/>
  <c r="EX11" i="74"/>
  <c r="EX10" i="74" s="1"/>
  <c r="EV11" i="74"/>
  <c r="ET11" i="74"/>
  <c r="EP11" i="74"/>
  <c r="EO11" i="74"/>
  <c r="EN11" i="74"/>
  <c r="EM11" i="74"/>
  <c r="EL11" i="74"/>
  <c r="EL10" i="74" s="1"/>
  <c r="EJ11" i="74"/>
  <c r="EH11" i="74"/>
  <c r="ED11" i="74"/>
  <c r="EC11" i="74"/>
  <c r="EB11" i="74"/>
  <c r="EA11" i="74"/>
  <c r="DZ11" i="74"/>
  <c r="DX11" i="74"/>
  <c r="DX10" i="74" s="1"/>
  <c r="DV11" i="74"/>
  <c r="DR11" i="74"/>
  <c r="DQ11" i="74"/>
  <c r="DP11" i="74"/>
  <c r="DO11" i="74"/>
  <c r="DN11" i="74"/>
  <c r="DL11" i="74"/>
  <c r="DJ11" i="74"/>
  <c r="DF11" i="74"/>
  <c r="DE11" i="74"/>
  <c r="DD11" i="74"/>
  <c r="DC11" i="74"/>
  <c r="DB11" i="74"/>
  <c r="CZ11" i="74"/>
  <c r="CX11" i="74"/>
  <c r="CT11" i="74"/>
  <c r="CS11" i="74"/>
  <c r="CR11" i="74"/>
  <c r="CQ11" i="74"/>
  <c r="CP11" i="74"/>
  <c r="CP10" i="74" s="1"/>
  <c r="CN11" i="74"/>
  <c r="CL11" i="74"/>
  <c r="CH11" i="74"/>
  <c r="CG11" i="74"/>
  <c r="CF11" i="74"/>
  <c r="CE11" i="74"/>
  <c r="CD11" i="74"/>
  <c r="CB11" i="74"/>
  <c r="BZ11" i="74"/>
  <c r="BV11" i="74"/>
  <c r="BU11" i="74"/>
  <c r="BT11" i="74"/>
  <c r="BS11" i="74"/>
  <c r="BR11" i="74"/>
  <c r="BP11" i="74"/>
  <c r="BN11" i="74"/>
  <c r="BJ11" i="74"/>
  <c r="BI11" i="74"/>
  <c r="BH11" i="74"/>
  <c r="BG11" i="74"/>
  <c r="BF11" i="74"/>
  <c r="BD11" i="74"/>
  <c r="BB11" i="74"/>
  <c r="AX11" i="74"/>
  <c r="AW11" i="74"/>
  <c r="AV11" i="74"/>
  <c r="AU11" i="74"/>
  <c r="AT11" i="74"/>
  <c r="AR11" i="74"/>
  <c r="AP11" i="74"/>
  <c r="AL11" i="74"/>
  <c r="AK11" i="74"/>
  <c r="AJ11" i="74"/>
  <c r="AI11" i="74"/>
  <c r="AH11" i="74"/>
  <c r="AF11" i="74"/>
  <c r="AD11" i="74"/>
  <c r="D11" i="74"/>
  <c r="Z11" i="74"/>
  <c r="Y11" i="74"/>
  <c r="X11" i="74"/>
  <c r="W11" i="74"/>
  <c r="V11" i="74"/>
  <c r="T11" i="74"/>
  <c r="R11" i="74"/>
  <c r="I11" i="74"/>
  <c r="G11" i="74"/>
  <c r="M33" i="1" s="1"/>
  <c r="E11" i="74"/>
  <c r="C11" i="74"/>
  <c r="EW10" i="74"/>
  <c r="ES10" i="74"/>
  <c r="EK10" i="74"/>
  <c r="EJ10" i="74"/>
  <c r="EG10" i="74"/>
  <c r="DY10" i="74"/>
  <c r="DU10" i="74"/>
  <c r="DM10" i="74"/>
  <c r="DL10" i="74"/>
  <c r="DI10" i="74"/>
  <c r="DB10" i="74"/>
  <c r="DA10" i="74"/>
  <c r="CW10" i="74"/>
  <c r="CO10" i="74"/>
  <c r="CK10" i="74"/>
  <c r="CC10" i="74"/>
  <c r="BY10" i="74"/>
  <c r="BQ10" i="74"/>
  <c r="BM10" i="74"/>
  <c r="BE10" i="74"/>
  <c r="BA10" i="74"/>
  <c r="AS10" i="74"/>
  <c r="AO10" i="74"/>
  <c r="AG10" i="74"/>
  <c r="AC10" i="74"/>
  <c r="U10" i="74"/>
  <c r="U8" i="74" s="1"/>
  <c r="U9" i="74" s="1"/>
  <c r="S10" i="74"/>
  <c r="Q10" i="74"/>
  <c r="N9" i="75" l="1"/>
  <c r="N30" i="126"/>
  <c r="N9" i="126"/>
  <c r="AT9" i="126"/>
  <c r="AT30" i="126"/>
  <c r="V30" i="126"/>
  <c r="V9" i="126"/>
  <c r="AK30" i="126"/>
  <c r="AK27" i="126" s="1"/>
  <c r="AK9" i="126"/>
  <c r="BJ30" i="126"/>
  <c r="BJ9" i="126"/>
  <c r="CH30" i="126"/>
  <c r="CH9" i="126"/>
  <c r="M30" i="126"/>
  <c r="M9" i="126"/>
  <c r="CG9" i="126"/>
  <c r="CG30" i="126"/>
  <c r="CG27" i="126" s="1"/>
  <c r="AL9" i="126"/>
  <c r="AL30" i="126"/>
  <c r="CX9" i="126"/>
  <c r="CX30" i="126"/>
  <c r="U30" i="126"/>
  <c r="U27" i="126" s="1"/>
  <c r="U9" i="126"/>
  <c r="EG25" i="74"/>
  <c r="EG27" i="74"/>
  <c r="EI26" i="74"/>
  <c r="BA9" i="126"/>
  <c r="BA30" i="126"/>
  <c r="BA27" i="126" s="1"/>
  <c r="AS9" i="126"/>
  <c r="AS30" i="126"/>
  <c r="AS27" i="126" s="1"/>
  <c r="BQ9" i="126"/>
  <c r="BQ30" i="126"/>
  <c r="BQ27" i="126" s="1"/>
  <c r="J18" i="74"/>
  <c r="AC9" i="126"/>
  <c r="AC30" i="126"/>
  <c r="AC27" i="126" s="1"/>
  <c r="CP9" i="126"/>
  <c r="CP30" i="126"/>
  <c r="BR9" i="126"/>
  <c r="BR30" i="126"/>
  <c r="CO9" i="126"/>
  <c r="CO30" i="126"/>
  <c r="CO27" i="126" s="1"/>
  <c r="CN10" i="74"/>
  <c r="AD9" i="126"/>
  <c r="AD30" i="126"/>
  <c r="BY30" i="126"/>
  <c r="BY27" i="126" s="1"/>
  <c r="BY9" i="126"/>
  <c r="FF16" i="74"/>
  <c r="BZ30" i="126"/>
  <c r="BZ9" i="126"/>
  <c r="CW30" i="126"/>
  <c r="CW27" i="126" s="1"/>
  <c r="CW9" i="126"/>
  <c r="AH38" i="74"/>
  <c r="V9" i="75"/>
  <c r="EX38" i="74"/>
  <c r="CX9" i="75"/>
  <c r="EV10" i="74"/>
  <c r="EL38" i="74"/>
  <c r="CP9" i="75"/>
  <c r="DZ38" i="74"/>
  <c r="CH9" i="75"/>
  <c r="H17" i="74"/>
  <c r="DN38" i="74"/>
  <c r="BZ9" i="75"/>
  <c r="DB38" i="74"/>
  <c r="BR9" i="75"/>
  <c r="CZ10" i="74"/>
  <c r="CR28" i="74"/>
  <c r="CP38" i="74"/>
  <c r="BJ9" i="75"/>
  <c r="BR38" i="74"/>
  <c r="AT9" i="75"/>
  <c r="BF38" i="74"/>
  <c r="AL9" i="75"/>
  <c r="AT38" i="74"/>
  <c r="AD9" i="75"/>
  <c r="P9" i="75"/>
  <c r="Q9" i="75"/>
  <c r="R9" i="75"/>
  <c r="W28" i="74"/>
  <c r="EV38" i="74"/>
  <c r="CW9" i="75"/>
  <c r="EJ38" i="74"/>
  <c r="CO9" i="75"/>
  <c r="DX38" i="74"/>
  <c r="CG9" i="75"/>
  <c r="DL38" i="74"/>
  <c r="BY9" i="75"/>
  <c r="CZ38" i="74"/>
  <c r="BQ9" i="75"/>
  <c r="CB38" i="74"/>
  <c r="BA9" i="75"/>
  <c r="BP38" i="74"/>
  <c r="AS9" i="75"/>
  <c r="BA8" i="74"/>
  <c r="BA9" i="74" s="1"/>
  <c r="BD38" i="74"/>
  <c r="AK9" i="75"/>
  <c r="AR38" i="74"/>
  <c r="AC9" i="75"/>
  <c r="AF38" i="74"/>
  <c r="U9" i="75"/>
  <c r="F35" i="74"/>
  <c r="FF35" i="74" s="1"/>
  <c r="T38" i="74"/>
  <c r="M9" i="75"/>
  <c r="FE19" i="74"/>
  <c r="FC19" i="74"/>
  <c r="FC35" i="74"/>
  <c r="FE35" i="74"/>
  <c r="FE16" i="74"/>
  <c r="FC16" i="74"/>
  <c r="FC17" i="74"/>
  <c r="FE17" i="74"/>
  <c r="M34" i="1"/>
  <c r="K12" i="74"/>
  <c r="U16" i="119"/>
  <c r="V16" i="119" s="1"/>
  <c r="K16" i="119"/>
  <c r="J16" i="119"/>
  <c r="U14" i="119"/>
  <c r="V14" i="119" s="1"/>
  <c r="K14" i="119"/>
  <c r="J14" i="119"/>
  <c r="EO28" i="74"/>
  <c r="F17" i="74"/>
  <c r="FF17" i="74" s="1"/>
  <c r="AO8" i="74"/>
  <c r="AO9" i="74" s="1"/>
  <c r="H12" i="74"/>
  <c r="F23" i="74"/>
  <c r="I10" i="74"/>
  <c r="FA28" i="74"/>
  <c r="EZ10" i="74"/>
  <c r="EX8" i="74"/>
  <c r="J11" i="74"/>
  <c r="EC28" i="74"/>
  <c r="DZ10" i="74"/>
  <c r="DW8" i="74"/>
  <c r="DN10" i="74"/>
  <c r="DN8" i="74" s="1"/>
  <c r="DD10" i="74"/>
  <c r="CT28" i="74"/>
  <c r="CR25" i="74"/>
  <c r="M18" i="74"/>
  <c r="CR10" i="74"/>
  <c r="CB10" i="74"/>
  <c r="CB8" i="74" s="1"/>
  <c r="BP10" i="74"/>
  <c r="BJ28" i="74"/>
  <c r="BG10" i="74"/>
  <c r="H11" i="74"/>
  <c r="BD10" i="74"/>
  <c r="BD8" i="74" s="1"/>
  <c r="H19" i="74"/>
  <c r="AR10" i="74"/>
  <c r="AU10" i="74"/>
  <c r="AI10" i="74"/>
  <c r="AF10" i="74"/>
  <c r="AF8" i="74" s="1"/>
  <c r="M19" i="74"/>
  <c r="L13" i="74"/>
  <c r="W10" i="74"/>
  <c r="T10" i="74"/>
  <c r="D30" i="74"/>
  <c r="D25" i="74"/>
  <c r="N19" i="74"/>
  <c r="D19" i="74"/>
  <c r="D12" i="74"/>
  <c r="D10" i="74" s="1"/>
  <c r="C10" i="74"/>
  <c r="N35" i="74"/>
  <c r="M16" i="74"/>
  <c r="D31" i="74"/>
  <c r="DR28" i="74"/>
  <c r="EN10" i="74"/>
  <c r="EZ25" i="74"/>
  <c r="EU8" i="74"/>
  <c r="FB31" i="74"/>
  <c r="EV8" i="74"/>
  <c r="EP31" i="74"/>
  <c r="F34" i="74"/>
  <c r="DX8" i="74"/>
  <c r="EC31" i="74"/>
  <c r="F30" i="74"/>
  <c r="DP20" i="74"/>
  <c r="DR31" i="74"/>
  <c r="DL8" i="74"/>
  <c r="DD20" i="74"/>
  <c r="DF31" i="74"/>
  <c r="CM8" i="74"/>
  <c r="G28" i="74"/>
  <c r="M28" i="74" s="1"/>
  <c r="CH28" i="74"/>
  <c r="BY8" i="74"/>
  <c r="BY9" i="74" s="1"/>
  <c r="E26" i="74"/>
  <c r="BU31" i="74"/>
  <c r="BP8" i="74"/>
  <c r="BT28" i="74"/>
  <c r="BV28" i="74"/>
  <c r="BT20" i="74"/>
  <c r="BO8" i="74"/>
  <c r="BI31" i="74"/>
  <c r="BH28" i="74"/>
  <c r="BG20" i="74"/>
  <c r="BC8" i="74"/>
  <c r="BB31" i="74"/>
  <c r="F31" i="74" s="1"/>
  <c r="BH25" i="74"/>
  <c r="BB20" i="74"/>
  <c r="F20" i="74" s="1"/>
  <c r="AV28" i="74"/>
  <c r="AX28" i="74"/>
  <c r="AR34" i="74"/>
  <c r="AR31" i="74" s="1"/>
  <c r="F28" i="74"/>
  <c r="AC8" i="74"/>
  <c r="AC9" i="74" s="1"/>
  <c r="AK31" i="74"/>
  <c r="AJ28" i="74"/>
  <c r="AL20" i="74"/>
  <c r="AJ20" i="74"/>
  <c r="L35" i="74"/>
  <c r="ES8" i="74"/>
  <c r="ES9" i="74" s="1"/>
  <c r="DU8" i="74"/>
  <c r="DU9" i="74" s="1"/>
  <c r="DI8" i="74"/>
  <c r="DI9" i="74" s="1"/>
  <c r="CK8" i="74"/>
  <c r="CK9" i="74" s="1"/>
  <c r="BM8" i="74"/>
  <c r="BM9" i="74" s="1"/>
  <c r="F12" i="74"/>
  <c r="Q8" i="74"/>
  <c r="S31" i="74"/>
  <c r="Y31" i="74" s="1"/>
  <c r="X28" i="74"/>
  <c r="Z28" i="74"/>
  <c r="W20" i="74"/>
  <c r="AI20" i="74"/>
  <c r="CD10" i="74"/>
  <c r="EZ20" i="74"/>
  <c r="DY8" i="74"/>
  <c r="DY9" i="74" s="1"/>
  <c r="DB8" i="74"/>
  <c r="AI28" i="74"/>
  <c r="DO20" i="74"/>
  <c r="BS20" i="74"/>
  <c r="J23" i="74"/>
  <c r="BQ8" i="74"/>
  <c r="BQ9" i="74" s="1"/>
  <c r="EL8" i="74"/>
  <c r="J27" i="74"/>
  <c r="EA25" i="74"/>
  <c r="BS25" i="74"/>
  <c r="BG25" i="74"/>
  <c r="J25" i="74"/>
  <c r="E10" i="74"/>
  <c r="N17" i="74"/>
  <c r="J17" i="74"/>
  <c r="DZ8" i="74"/>
  <c r="DO10" i="74"/>
  <c r="BS10" i="74"/>
  <c r="BR10" i="74"/>
  <c r="BR8" i="74" s="1"/>
  <c r="BH10" i="74"/>
  <c r="BF10" i="74"/>
  <c r="BF8" i="74" s="1"/>
  <c r="L12" i="74"/>
  <c r="AT10" i="74"/>
  <c r="AG8" i="74"/>
  <c r="AG9" i="74" s="1"/>
  <c r="AH10" i="74"/>
  <c r="AH8" i="74" s="1"/>
  <c r="V8" i="126" s="1"/>
  <c r="V10" i="74"/>
  <c r="EF37" i="74"/>
  <c r="EF39" i="74" s="1"/>
  <c r="AB37" i="74"/>
  <c r="DH37" i="74"/>
  <c r="DH39" i="74" s="1"/>
  <c r="ER37" i="74"/>
  <c r="ER39" i="74" s="1"/>
  <c r="AZ37" i="74"/>
  <c r="AZ39" i="74" s="1"/>
  <c r="BX37" i="74"/>
  <c r="BX39" i="74" s="1"/>
  <c r="DT37" i="74"/>
  <c r="DT39" i="74" s="1"/>
  <c r="CZ8" i="74"/>
  <c r="BQ8" i="126" s="1"/>
  <c r="BQ7" i="126" s="1"/>
  <c r="V8" i="74"/>
  <c r="V37" i="74" s="1"/>
  <c r="AN37" i="74"/>
  <c r="AN39" i="74" s="1"/>
  <c r="BL37" i="74"/>
  <c r="BL39" i="74" s="1"/>
  <c r="CJ37" i="74"/>
  <c r="CJ39" i="74" s="1"/>
  <c r="CV37" i="74"/>
  <c r="CV39" i="74" s="1"/>
  <c r="EN20" i="74"/>
  <c r="EM20" i="74"/>
  <c r="Z10" i="74"/>
  <c r="Y10" i="74"/>
  <c r="AL10" i="74"/>
  <c r="AK10" i="74"/>
  <c r="AX10" i="74"/>
  <c r="AW10" i="74"/>
  <c r="AV10" i="74"/>
  <c r="CH10" i="74"/>
  <c r="CG10" i="74"/>
  <c r="ED10" i="74"/>
  <c r="EC10" i="74"/>
  <c r="L11" i="74"/>
  <c r="N14" i="74"/>
  <c r="M14" i="74"/>
  <c r="L17" i="74"/>
  <c r="K17" i="74"/>
  <c r="E18" i="74"/>
  <c r="FE18" i="74" s="1"/>
  <c r="CX18" i="74"/>
  <c r="F18" i="74" s="1"/>
  <c r="J19" i="74"/>
  <c r="C20" i="74"/>
  <c r="Y20" i="74"/>
  <c r="AT20" i="74"/>
  <c r="ED20" i="74"/>
  <c r="EA20" i="74"/>
  <c r="CQ25" i="74"/>
  <c r="EY25" i="74"/>
  <c r="CF10" i="74"/>
  <c r="CT10" i="74"/>
  <c r="CS10" i="74"/>
  <c r="CQ10" i="74"/>
  <c r="EB10" i="74"/>
  <c r="EP10" i="74"/>
  <c r="EO10" i="74"/>
  <c r="EM10" i="74"/>
  <c r="L14" i="74"/>
  <c r="J15" i="74"/>
  <c r="K16" i="74"/>
  <c r="L16" i="74"/>
  <c r="M17" i="74"/>
  <c r="DC20" i="74"/>
  <c r="EY20" i="74"/>
  <c r="AR23" i="74"/>
  <c r="AR20" i="74" s="1"/>
  <c r="G23" i="74"/>
  <c r="AV20" i="74"/>
  <c r="D23" i="74"/>
  <c r="D20" i="74"/>
  <c r="CF25" i="74"/>
  <c r="CE25" i="74"/>
  <c r="V38" i="74"/>
  <c r="AB38" i="74"/>
  <c r="D28" i="74"/>
  <c r="DD31" i="74"/>
  <c r="DC31" i="74"/>
  <c r="CS31" i="74"/>
  <c r="CT31" i="74"/>
  <c r="DR10" i="74"/>
  <c r="DQ10" i="74"/>
  <c r="N11" i="74"/>
  <c r="M11" i="74"/>
  <c r="K11" i="74"/>
  <c r="DP25" i="74"/>
  <c r="DO25" i="74"/>
  <c r="BH31" i="74"/>
  <c r="BG31" i="74"/>
  <c r="AE8" i="74"/>
  <c r="CY8" i="74"/>
  <c r="DK8" i="74"/>
  <c r="DK54" i="74" s="1"/>
  <c r="X10" i="74"/>
  <c r="AJ10" i="74"/>
  <c r="BJ10" i="74"/>
  <c r="BI10" i="74"/>
  <c r="BV10" i="74"/>
  <c r="BU10" i="74"/>
  <c r="BT10" i="74"/>
  <c r="CE10" i="74"/>
  <c r="DP10" i="74"/>
  <c r="EA10" i="74"/>
  <c r="N12" i="74"/>
  <c r="M12" i="74"/>
  <c r="K14" i="74"/>
  <c r="AS8" i="74"/>
  <c r="BE8" i="74"/>
  <c r="CW8" i="74"/>
  <c r="CW9" i="74" s="1"/>
  <c r="DA8" i="74"/>
  <c r="DM8" i="74"/>
  <c r="EK8" i="74"/>
  <c r="EW8" i="74"/>
  <c r="DF10" i="74"/>
  <c r="DE10" i="74"/>
  <c r="DC10" i="74"/>
  <c r="FB10" i="74"/>
  <c r="FA10" i="74"/>
  <c r="EY10" i="74"/>
  <c r="F11" i="74"/>
  <c r="R10" i="74"/>
  <c r="R8" i="74" s="1"/>
  <c r="R9" i="74" s="1"/>
  <c r="AD10" i="74"/>
  <c r="AD8" i="74" s="1"/>
  <c r="AD9" i="74" s="1"/>
  <c r="AP10" i="74"/>
  <c r="AP8" i="74" s="1"/>
  <c r="AP9" i="74" s="1"/>
  <c r="BB10" i="74"/>
  <c r="BB8" i="74" s="1"/>
  <c r="BB9" i="74" s="1"/>
  <c r="BN10" i="74"/>
  <c r="BN8" i="74" s="1"/>
  <c r="BN9" i="74" s="1"/>
  <c r="BZ10" i="74"/>
  <c r="BZ8" i="74" s="1"/>
  <c r="BZ9" i="74" s="1"/>
  <c r="CL10" i="74"/>
  <c r="CL8" i="74" s="1"/>
  <c r="CL9" i="74" s="1"/>
  <c r="CX10" i="74"/>
  <c r="DJ10" i="74"/>
  <c r="DJ8" i="74" s="1"/>
  <c r="DJ9" i="74" s="1"/>
  <c r="DV10" i="74"/>
  <c r="DV8" i="74" s="1"/>
  <c r="DV9" i="74" s="1"/>
  <c r="EH10" i="74"/>
  <c r="ET10" i="74"/>
  <c r="ET8" i="74" s="1"/>
  <c r="ET9" i="74" s="1"/>
  <c r="N13" i="74"/>
  <c r="M13" i="74"/>
  <c r="K13" i="74"/>
  <c r="H15" i="74"/>
  <c r="CE15" i="74"/>
  <c r="G15" i="74"/>
  <c r="CG15" i="74"/>
  <c r="K19" i="74"/>
  <c r="L19" i="74"/>
  <c r="F19" i="74"/>
  <c r="I20" i="74"/>
  <c r="E20" i="74"/>
  <c r="BJ20" i="74"/>
  <c r="EC20" i="74"/>
  <c r="EP20" i="74"/>
  <c r="EO20" i="74"/>
  <c r="E25" i="74"/>
  <c r="AI25" i="74"/>
  <c r="DP28" i="74"/>
  <c r="DO28" i="74"/>
  <c r="H30" i="74"/>
  <c r="CN28" i="74"/>
  <c r="EB31" i="74"/>
  <c r="EA31" i="74"/>
  <c r="D18" i="74"/>
  <c r="H18" i="74"/>
  <c r="X20" i="74"/>
  <c r="BH20" i="74"/>
  <c r="BV20" i="74"/>
  <c r="DR20" i="74"/>
  <c r="EB20" i="74"/>
  <c r="AV25" i="74"/>
  <c r="DD25" i="74"/>
  <c r="E28" i="74"/>
  <c r="FE28" i="74" s="1"/>
  <c r="I30" i="74"/>
  <c r="CD30" i="74"/>
  <c r="CD28" i="74" s="1"/>
  <c r="EZ31" i="74"/>
  <c r="EY31" i="74"/>
  <c r="G33" i="74"/>
  <c r="AV31" i="74"/>
  <c r="DF20" i="74"/>
  <c r="FB20" i="74"/>
  <c r="G22" i="74"/>
  <c r="T20" i="74"/>
  <c r="H20" i="74" s="1"/>
  <c r="C25" i="74"/>
  <c r="I25" i="74"/>
  <c r="AJ25" i="74"/>
  <c r="BT25" i="74"/>
  <c r="EB25" i="74"/>
  <c r="EN28" i="74"/>
  <c r="EM28" i="74"/>
  <c r="Y28" i="74"/>
  <c r="AK28" i="74"/>
  <c r="AW28" i="74"/>
  <c r="BI28" i="74"/>
  <c r="BU28" i="74"/>
  <c r="CS28" i="74"/>
  <c r="DD28" i="74"/>
  <c r="DC28" i="74"/>
  <c r="EZ28" i="74"/>
  <c r="EY28" i="74"/>
  <c r="BT31" i="74"/>
  <c r="BS31" i="74"/>
  <c r="EG31" i="74"/>
  <c r="E31" i="74" s="1"/>
  <c r="EN31" i="74"/>
  <c r="EM31" i="74"/>
  <c r="E34" i="74"/>
  <c r="D34" i="74"/>
  <c r="M35" i="74"/>
  <c r="K35" i="74"/>
  <c r="EB28" i="74"/>
  <c r="EA28" i="74"/>
  <c r="AJ31" i="74"/>
  <c r="AI31" i="74"/>
  <c r="DP31" i="74"/>
  <c r="DO31" i="74"/>
  <c r="G32" i="74"/>
  <c r="CF31" i="74"/>
  <c r="T31" i="74"/>
  <c r="V39" i="74" l="1"/>
  <c r="V46" i="74" s="1"/>
  <c r="CC30" i="126"/>
  <c r="CB30" i="126"/>
  <c r="CD30" i="126"/>
  <c r="BU30" i="126"/>
  <c r="BV30" i="126"/>
  <c r="BT30" i="126"/>
  <c r="X9" i="126"/>
  <c r="Z9" i="126"/>
  <c r="Y9" i="126"/>
  <c r="BB9" i="75"/>
  <c r="F9" i="75" s="1"/>
  <c r="BB9" i="126"/>
  <c r="BB30" i="126"/>
  <c r="BI30" i="126"/>
  <c r="BI27" i="126" s="1"/>
  <c r="BI9" i="126"/>
  <c r="E9" i="126" s="1"/>
  <c r="BT9" i="126"/>
  <c r="BU9" i="126"/>
  <c r="BV9" i="126"/>
  <c r="M27" i="126"/>
  <c r="E30" i="126"/>
  <c r="E27" i="126" s="1"/>
  <c r="X30" i="126"/>
  <c r="Z30" i="126"/>
  <c r="Y30" i="126"/>
  <c r="CS30" i="126"/>
  <c r="CR30" i="126"/>
  <c r="CT30" i="126"/>
  <c r="DA30" i="126"/>
  <c r="CZ30" i="126"/>
  <c r="DB30" i="126"/>
  <c r="CJ9" i="126"/>
  <c r="CL9" i="126"/>
  <c r="CK9" i="126"/>
  <c r="AW30" i="126"/>
  <c r="AV30" i="126"/>
  <c r="AX30" i="126"/>
  <c r="AF30" i="126"/>
  <c r="AH30" i="126"/>
  <c r="AG30" i="126"/>
  <c r="CT9" i="126"/>
  <c r="CR9" i="126"/>
  <c r="CS9" i="126"/>
  <c r="CZ9" i="126"/>
  <c r="DB9" i="126"/>
  <c r="DA9" i="126"/>
  <c r="CK30" i="126"/>
  <c r="CL30" i="126"/>
  <c r="CJ30" i="126"/>
  <c r="AX9" i="126"/>
  <c r="AV9" i="126"/>
  <c r="AW9" i="126"/>
  <c r="H28" i="74"/>
  <c r="M44" i="1" s="1"/>
  <c r="AH9" i="126"/>
  <c r="AF9" i="126"/>
  <c r="AG9" i="126"/>
  <c r="AO30" i="126"/>
  <c r="AP30" i="126"/>
  <c r="AN30" i="126"/>
  <c r="BN9" i="126"/>
  <c r="BL9" i="126"/>
  <c r="BM9" i="126"/>
  <c r="R9" i="126"/>
  <c r="F9" i="126"/>
  <c r="P9" i="126"/>
  <c r="Q9" i="126"/>
  <c r="EI27" i="74"/>
  <c r="EI25" i="74"/>
  <c r="G26" i="74"/>
  <c r="AN9" i="126"/>
  <c r="AO9" i="126"/>
  <c r="AP9" i="126"/>
  <c r="BN30" i="126"/>
  <c r="BM30" i="126"/>
  <c r="BL30" i="126"/>
  <c r="Q30" i="126"/>
  <c r="F30" i="126"/>
  <c r="P30" i="126"/>
  <c r="R30" i="126"/>
  <c r="CD9" i="126"/>
  <c r="CB9" i="126"/>
  <c r="CC9" i="126"/>
  <c r="EH27" i="74"/>
  <c r="E27" i="74"/>
  <c r="EL9" i="74"/>
  <c r="CP8" i="126"/>
  <c r="BP9" i="74"/>
  <c r="AS8" i="126"/>
  <c r="AS7" i="126" s="1"/>
  <c r="CB9" i="74"/>
  <c r="BA8" i="126"/>
  <c r="BA7" i="126" s="1"/>
  <c r="Z8" i="126"/>
  <c r="X8" i="126"/>
  <c r="Y8" i="126"/>
  <c r="BF37" i="74"/>
  <c r="BF39" i="74" s="1"/>
  <c r="AL8" i="126"/>
  <c r="DL9" i="74"/>
  <c r="BY8" i="126"/>
  <c r="BY7" i="126" s="1"/>
  <c r="DZ9" i="74"/>
  <c r="CH8" i="126"/>
  <c r="DB37" i="74"/>
  <c r="DB39" i="74" s="1"/>
  <c r="BR8" i="126"/>
  <c r="DX9" i="74"/>
  <c r="CG8" i="126"/>
  <c r="CG7" i="126" s="1"/>
  <c r="AF9" i="74"/>
  <c r="U8" i="126"/>
  <c r="U7" i="126" s="1"/>
  <c r="DN37" i="74"/>
  <c r="DN39" i="74" s="1"/>
  <c r="DN46" i="74" s="1"/>
  <c r="DN47" i="74" s="1"/>
  <c r="DN48" i="74" s="1"/>
  <c r="BZ8" i="126"/>
  <c r="N8" i="75"/>
  <c r="N8" i="126"/>
  <c r="BR9" i="74"/>
  <c r="AT8" i="126"/>
  <c r="EV9" i="74"/>
  <c r="CW8" i="126"/>
  <c r="CW7" i="126" s="1"/>
  <c r="BD9" i="74"/>
  <c r="AK8" i="126"/>
  <c r="AK7" i="126" s="1"/>
  <c r="EX9" i="74"/>
  <c r="CX8" i="126"/>
  <c r="BF46" i="74"/>
  <c r="BF47" i="74" s="1"/>
  <c r="BF48" i="74" s="1"/>
  <c r="FA8" i="74"/>
  <c r="EC8" i="74"/>
  <c r="BO9" i="74"/>
  <c r="BS9" i="74" s="1"/>
  <c r="BJ8" i="74"/>
  <c r="Y9" i="75"/>
  <c r="X9" i="75"/>
  <c r="Z9" i="75"/>
  <c r="CZ9" i="75"/>
  <c r="DA9" i="75"/>
  <c r="DB9" i="75"/>
  <c r="CR9" i="75"/>
  <c r="CT9" i="75"/>
  <c r="CS9" i="75"/>
  <c r="CJ9" i="75"/>
  <c r="CK9" i="75"/>
  <c r="CL9" i="75"/>
  <c r="CB9" i="75"/>
  <c r="CC9" i="75"/>
  <c r="CD9" i="75"/>
  <c r="BT9" i="75"/>
  <c r="BV9" i="75"/>
  <c r="BU9" i="75"/>
  <c r="BL9" i="75"/>
  <c r="BM9" i="75"/>
  <c r="BN9" i="75"/>
  <c r="CS8" i="74"/>
  <c r="BD9" i="75"/>
  <c r="BF9" i="75"/>
  <c r="BE9" i="75"/>
  <c r="AV9" i="75"/>
  <c r="AW9" i="75"/>
  <c r="AX9" i="75"/>
  <c r="AN9" i="75"/>
  <c r="AO9" i="75"/>
  <c r="AP9" i="75"/>
  <c r="H9" i="75"/>
  <c r="AF9" i="75"/>
  <c r="AH9" i="75"/>
  <c r="AG9" i="75"/>
  <c r="H10" i="74"/>
  <c r="I9" i="75"/>
  <c r="J9" i="75"/>
  <c r="CN38" i="74"/>
  <c r="BI9" i="75"/>
  <c r="E9" i="75" s="1"/>
  <c r="FF18" i="74"/>
  <c r="H23" i="74"/>
  <c r="FD35" i="74"/>
  <c r="FC28" i="74"/>
  <c r="FD17" i="74"/>
  <c r="FD31" i="74"/>
  <c r="FF31" i="74"/>
  <c r="FF20" i="74"/>
  <c r="FD20" i="74"/>
  <c r="FF19" i="74"/>
  <c r="FD19" i="74"/>
  <c r="D38" i="74"/>
  <c r="FF28" i="74"/>
  <c r="FD28" i="74"/>
  <c r="FC25" i="74"/>
  <c r="FE25" i="74"/>
  <c r="FC10" i="74"/>
  <c r="FE10" i="74"/>
  <c r="W31" i="74"/>
  <c r="FE31" i="74"/>
  <c r="FC31" i="74"/>
  <c r="FC20" i="74"/>
  <c r="FE20" i="74"/>
  <c r="H38" i="74"/>
  <c r="K15" i="74"/>
  <c r="M37" i="1"/>
  <c r="J10" i="74"/>
  <c r="EX37" i="74"/>
  <c r="EX39" i="74" s="1"/>
  <c r="EV37" i="74"/>
  <c r="EV39" i="74" s="1"/>
  <c r="EV40" i="74" s="1"/>
  <c r="DW9" i="74"/>
  <c r="EA9" i="74" s="1"/>
  <c r="ED8" i="74"/>
  <c r="CT20" i="74"/>
  <c r="CQ20" i="74"/>
  <c r="CB37" i="74"/>
  <c r="CB39" i="74" s="1"/>
  <c r="CB40" i="74" s="1"/>
  <c r="BD37" i="74"/>
  <c r="BD39" i="74" s="1"/>
  <c r="DB42" i="74"/>
  <c r="DB43" i="74" s="1"/>
  <c r="BF42" i="74"/>
  <c r="BF43" i="74" s="1"/>
  <c r="D8" i="74"/>
  <c r="Q9" i="74"/>
  <c r="EU9" i="74"/>
  <c r="FA9" i="74" s="1"/>
  <c r="FB8" i="74"/>
  <c r="EG8" i="74"/>
  <c r="EG9" i="74" s="1"/>
  <c r="DX37" i="74"/>
  <c r="DX39" i="74" s="1"/>
  <c r="DX40" i="74" s="1"/>
  <c r="N28" i="74"/>
  <c r="DL37" i="74"/>
  <c r="DL39" i="74" s="1"/>
  <c r="DL40" i="74" s="1"/>
  <c r="CR20" i="74"/>
  <c r="CS20" i="74"/>
  <c r="CM9" i="74"/>
  <c r="CS9" i="74" s="1"/>
  <c r="CT8" i="74"/>
  <c r="CE31" i="74"/>
  <c r="BP37" i="74"/>
  <c r="BP39" i="74" s="1"/>
  <c r="BP40" i="74" s="1"/>
  <c r="BU8" i="74"/>
  <c r="BV8" i="74"/>
  <c r="BC9" i="74"/>
  <c r="BJ9" i="74" s="1"/>
  <c r="BI8" i="74"/>
  <c r="H34" i="74"/>
  <c r="AR8" i="74"/>
  <c r="H31" i="74"/>
  <c r="AU31" i="74"/>
  <c r="AF37" i="74"/>
  <c r="AF39" i="74" s="1"/>
  <c r="S8" i="74"/>
  <c r="F10" i="74"/>
  <c r="T8" i="74"/>
  <c r="X31" i="74"/>
  <c r="Z31" i="74"/>
  <c r="EB8" i="74"/>
  <c r="EL37" i="74"/>
  <c r="EL39" i="74" s="1"/>
  <c r="EA8" i="74"/>
  <c r="DB9" i="74"/>
  <c r="BS8" i="74"/>
  <c r="BT8" i="74"/>
  <c r="C8" i="74"/>
  <c r="C9" i="74" s="1"/>
  <c r="G10" i="74"/>
  <c r="L10" i="74" s="1"/>
  <c r="DZ37" i="74"/>
  <c r="DZ39" i="74" s="1"/>
  <c r="DN9" i="74"/>
  <c r="BR37" i="74"/>
  <c r="BR39" i="74" s="1"/>
  <c r="BF9" i="74"/>
  <c r="AT8" i="74"/>
  <c r="AH37" i="74"/>
  <c r="AH39" i="74" s="1"/>
  <c r="AH46" i="74" s="1"/>
  <c r="AH9" i="74"/>
  <c r="CD38" i="74"/>
  <c r="CD8" i="74"/>
  <c r="BB8" i="126" s="1"/>
  <c r="AB39" i="74"/>
  <c r="CX8" i="74"/>
  <c r="CX9" i="74" s="1"/>
  <c r="EC9" i="74"/>
  <c r="AW20" i="74"/>
  <c r="AX20" i="74"/>
  <c r="AQ8" i="74"/>
  <c r="E8" i="74"/>
  <c r="CZ37" i="74"/>
  <c r="CZ39" i="74" s="1"/>
  <c r="CZ40" i="74" s="1"/>
  <c r="CZ9" i="74"/>
  <c r="DN42" i="74"/>
  <c r="DN43" i="74" s="1"/>
  <c r="J30" i="74"/>
  <c r="M15" i="74"/>
  <c r="DM9" i="74"/>
  <c r="DP8" i="74"/>
  <c r="DO8" i="74"/>
  <c r="BE9" i="74"/>
  <c r="BH8" i="74"/>
  <c r="BG8" i="74"/>
  <c r="DQ8" i="74"/>
  <c r="DK9" i="74"/>
  <c r="DR8" i="74"/>
  <c r="CN8" i="74"/>
  <c r="BI8" i="126" s="1"/>
  <c r="BI7" i="126" s="1"/>
  <c r="EW9" i="74"/>
  <c r="EY8" i="74"/>
  <c r="EZ8" i="74"/>
  <c r="CG31" i="74"/>
  <c r="CH31" i="74"/>
  <c r="EK9" i="74"/>
  <c r="AK8" i="74"/>
  <c r="AE9" i="74"/>
  <c r="AI8" i="74"/>
  <c r="AL8" i="74"/>
  <c r="G21" i="74"/>
  <c r="G31" i="74"/>
  <c r="AW31" i="74"/>
  <c r="AX31" i="74"/>
  <c r="CE28" i="74"/>
  <c r="I28" i="74"/>
  <c r="CF28" i="74"/>
  <c r="CC8" i="74"/>
  <c r="J20" i="74"/>
  <c r="DA9" i="74"/>
  <c r="DC8" i="74"/>
  <c r="DD8" i="74"/>
  <c r="AS9" i="74"/>
  <c r="BV9" i="74"/>
  <c r="DE8" i="74"/>
  <c r="CY9" i="74"/>
  <c r="DF8" i="74"/>
  <c r="J28" i="74"/>
  <c r="J38" i="74" s="1"/>
  <c r="AJ8" i="74"/>
  <c r="AU20" i="74"/>
  <c r="V9" i="74"/>
  <c r="BF49" i="74" l="1"/>
  <c r="AL49" i="75" s="1"/>
  <c r="J9" i="126"/>
  <c r="I9" i="126"/>
  <c r="BE30" i="126"/>
  <c r="BF30" i="126"/>
  <c r="BD30" i="126"/>
  <c r="H30" i="126"/>
  <c r="BD9" i="126"/>
  <c r="BE9" i="126"/>
  <c r="BF9" i="126"/>
  <c r="J30" i="126"/>
  <c r="I30" i="126"/>
  <c r="EI8" i="74"/>
  <c r="EN25" i="74"/>
  <c r="EM25" i="74"/>
  <c r="G25" i="74"/>
  <c r="EH25" i="74"/>
  <c r="F27" i="74"/>
  <c r="G27" i="74"/>
  <c r="EJ27" i="74"/>
  <c r="AH47" i="74"/>
  <c r="AH48" i="74" s="1"/>
  <c r="AH49" i="74" s="1"/>
  <c r="V49" i="75" s="1"/>
  <c r="H9" i="126"/>
  <c r="V47" i="74"/>
  <c r="V48" i="74"/>
  <c r="DN49" i="74"/>
  <c r="BZ49" i="75" s="1"/>
  <c r="BF8" i="126"/>
  <c r="BD8" i="126"/>
  <c r="BE8" i="126"/>
  <c r="AT37" i="74"/>
  <c r="AT39" i="74" s="1"/>
  <c r="AD8" i="126"/>
  <c r="DZ42" i="74"/>
  <c r="DZ43" i="74" s="1"/>
  <c r="CH32" i="75" s="1"/>
  <c r="CJ32" i="75" s="1"/>
  <c r="M11" i="130" s="1"/>
  <c r="CH15" i="126"/>
  <c r="CH46" i="75"/>
  <c r="CH46" i="126"/>
  <c r="CH15" i="75"/>
  <c r="DZ46" i="74"/>
  <c r="DZ47" i="74" s="1"/>
  <c r="DZ48" i="74" s="1"/>
  <c r="BR35" i="126"/>
  <c r="BR28" i="126"/>
  <c r="BR33" i="126"/>
  <c r="BR32" i="126"/>
  <c r="DB8" i="126"/>
  <c r="CZ8" i="126"/>
  <c r="DA8" i="126"/>
  <c r="P8" i="126"/>
  <c r="Q8" i="126"/>
  <c r="R8" i="126"/>
  <c r="CL8" i="126"/>
  <c r="CJ8" i="126"/>
  <c r="CK8" i="126"/>
  <c r="AP8" i="126"/>
  <c r="AN8" i="126"/>
  <c r="AO8" i="126"/>
  <c r="N46" i="126"/>
  <c r="N15" i="126"/>
  <c r="N46" i="75"/>
  <c r="N15" i="75"/>
  <c r="N47" i="75" s="1"/>
  <c r="BZ32" i="126"/>
  <c r="BZ35" i="126"/>
  <c r="BZ28" i="126"/>
  <c r="BZ33" i="126"/>
  <c r="AR37" i="74"/>
  <c r="AR39" i="74" s="1"/>
  <c r="AR40" i="74" s="1"/>
  <c r="AC8" i="126"/>
  <c r="AC7" i="126" s="1"/>
  <c r="CX15" i="126"/>
  <c r="CX46" i="75"/>
  <c r="CX15" i="75"/>
  <c r="CX47" i="75" s="1"/>
  <c r="CX46" i="126"/>
  <c r="AL46" i="75"/>
  <c r="AL15" i="126"/>
  <c r="AL47" i="75"/>
  <c r="AL46" i="126"/>
  <c r="CR8" i="126"/>
  <c r="CS8" i="126"/>
  <c r="CT8" i="126"/>
  <c r="AT46" i="126"/>
  <c r="AT46" i="75"/>
  <c r="AT15" i="126"/>
  <c r="AT15" i="75"/>
  <c r="AT47" i="75" s="1"/>
  <c r="AV8" i="126"/>
  <c r="AX8" i="126"/>
  <c r="AW8" i="126"/>
  <c r="CB8" i="126"/>
  <c r="CC8" i="126"/>
  <c r="CD8" i="126"/>
  <c r="BV8" i="126"/>
  <c r="BT8" i="126"/>
  <c r="BU8" i="126"/>
  <c r="V46" i="126"/>
  <c r="V15" i="126"/>
  <c r="V47" i="75"/>
  <c r="V46" i="75"/>
  <c r="EL42" i="74"/>
  <c r="EL43" i="74" s="1"/>
  <c r="O40" i="77" s="1"/>
  <c r="CP46" i="126"/>
  <c r="CP15" i="126"/>
  <c r="CP46" i="75"/>
  <c r="EL46" i="74"/>
  <c r="EL47" i="74" s="1"/>
  <c r="EL48" i="74" s="1"/>
  <c r="EL49" i="74" s="1"/>
  <c r="CP49" i="75" s="1"/>
  <c r="T37" i="74"/>
  <c r="T39" i="74" s="1"/>
  <c r="M8" i="126"/>
  <c r="AL33" i="126"/>
  <c r="AL32" i="126"/>
  <c r="AL28" i="126"/>
  <c r="AL35" i="126"/>
  <c r="BZ46" i="126"/>
  <c r="BZ46" i="75"/>
  <c r="BZ15" i="126"/>
  <c r="BZ15" i="75"/>
  <c r="BZ47" i="75" s="1"/>
  <c r="BR46" i="75"/>
  <c r="BR15" i="126"/>
  <c r="BR15" i="75"/>
  <c r="BR46" i="126"/>
  <c r="DB46" i="74"/>
  <c r="AT42" i="74"/>
  <c r="AT43" i="74" s="1"/>
  <c r="AT46" i="74"/>
  <c r="AT47" i="74" s="1"/>
  <c r="AT48" i="74" s="1"/>
  <c r="BR42" i="74"/>
  <c r="BR43" i="74" s="1"/>
  <c r="BR46" i="74"/>
  <c r="BR47" i="74" s="1"/>
  <c r="BR48" i="74" s="1"/>
  <c r="BR49" i="74" s="1"/>
  <c r="AT49" i="75" s="1"/>
  <c r="AO15" i="75"/>
  <c r="AN15" i="75"/>
  <c r="EX42" i="74"/>
  <c r="EX43" i="74" s="1"/>
  <c r="EX46" i="74"/>
  <c r="EX47" i="74" s="1"/>
  <c r="EX48" i="74" s="1"/>
  <c r="X15" i="75"/>
  <c r="Y15" i="75"/>
  <c r="P15" i="75"/>
  <c r="F36" i="124" s="1"/>
  <c r="H36" i="124" s="1"/>
  <c r="Q15" i="75"/>
  <c r="AH42" i="74"/>
  <c r="AH43" i="74" s="1"/>
  <c r="BT9" i="74"/>
  <c r="BU9" i="74"/>
  <c r="AV8" i="74"/>
  <c r="V33" i="75"/>
  <c r="EV41" i="74"/>
  <c r="CW36" i="126" s="1"/>
  <c r="CW34" i="126" s="1"/>
  <c r="CW31" i="126" s="1"/>
  <c r="CW26" i="126" s="1"/>
  <c r="EB9" i="74"/>
  <c r="ED9" i="74"/>
  <c r="DX41" i="74"/>
  <c r="CG36" i="126" s="1"/>
  <c r="CG34" i="126" s="1"/>
  <c r="CG31" i="126" s="1"/>
  <c r="CG26" i="126" s="1"/>
  <c r="DL41" i="74"/>
  <c r="BY36" i="126" s="1"/>
  <c r="BY34" i="126" s="1"/>
  <c r="BY31" i="126" s="1"/>
  <c r="BY26" i="126" s="1"/>
  <c r="CZ41" i="74"/>
  <c r="BQ36" i="126" s="1"/>
  <c r="BQ34" i="126" s="1"/>
  <c r="BQ31" i="126" s="1"/>
  <c r="BQ26" i="126" s="1"/>
  <c r="CB41" i="74"/>
  <c r="BP41" i="74"/>
  <c r="AS36" i="126" s="1"/>
  <c r="AS34" i="126" s="1"/>
  <c r="AS31" i="126" s="1"/>
  <c r="AS26" i="126" s="1"/>
  <c r="BI9" i="74"/>
  <c r="BD40" i="74"/>
  <c r="E15" i="75"/>
  <c r="AR41" i="74"/>
  <c r="AC36" i="126" s="1"/>
  <c r="FD10" i="74"/>
  <c r="FF10" i="74"/>
  <c r="CP35" i="75"/>
  <c r="CP32" i="75"/>
  <c r="CR32" i="75" s="1"/>
  <c r="N11" i="130" s="1"/>
  <c r="C15" i="78"/>
  <c r="BR32" i="75"/>
  <c r="BT32" i="75" s="1"/>
  <c r="K11" i="130" s="1"/>
  <c r="BR35" i="75"/>
  <c r="BR33" i="75"/>
  <c r="BR28" i="75"/>
  <c r="L21" i="77"/>
  <c r="C12" i="78"/>
  <c r="AT35" i="75"/>
  <c r="AT33" i="75"/>
  <c r="AT32" i="75"/>
  <c r="AV32" i="75" s="1"/>
  <c r="H11" i="130" s="1"/>
  <c r="AT28" i="75"/>
  <c r="I21" i="77"/>
  <c r="C10" i="78"/>
  <c r="AD35" i="75"/>
  <c r="AD33" i="75"/>
  <c r="AD32" i="75"/>
  <c r="AF32" i="75" s="1"/>
  <c r="F11" i="130" s="1"/>
  <c r="AD28" i="75"/>
  <c r="D9" i="74"/>
  <c r="M47" i="1"/>
  <c r="Z8" i="74"/>
  <c r="E9" i="74"/>
  <c r="FC8" i="74"/>
  <c r="FE8" i="74"/>
  <c r="H9" i="118"/>
  <c r="AC10" i="118" s="1"/>
  <c r="C16" i="78"/>
  <c r="BZ35" i="75"/>
  <c r="BZ33" i="75"/>
  <c r="BZ32" i="75"/>
  <c r="CB32" i="75" s="1"/>
  <c r="L11" i="130" s="1"/>
  <c r="BZ28" i="75"/>
  <c r="M21" i="77"/>
  <c r="BZ48" i="75" s="1"/>
  <c r="C11" i="78"/>
  <c r="AL35" i="75"/>
  <c r="AL33" i="75"/>
  <c r="AL32" i="75"/>
  <c r="AN32" i="75" s="1"/>
  <c r="G11" i="130" s="1"/>
  <c r="AL28" i="75"/>
  <c r="H21" i="77"/>
  <c r="Y8" i="74"/>
  <c r="W8" i="74"/>
  <c r="AF40" i="74"/>
  <c r="C18" i="78"/>
  <c r="K10" i="74"/>
  <c r="FB9" i="74"/>
  <c r="CT9" i="74"/>
  <c r="AR9" i="74"/>
  <c r="T9" i="74"/>
  <c r="X8" i="74"/>
  <c r="S9" i="74"/>
  <c r="X9" i="74" s="1"/>
  <c r="N10" i="74"/>
  <c r="M10" i="74"/>
  <c r="AT9" i="74"/>
  <c r="CH20" i="74"/>
  <c r="CE20" i="74"/>
  <c r="CG20" i="74"/>
  <c r="CA8" i="74"/>
  <c r="CF20" i="74"/>
  <c r="CN37" i="74"/>
  <c r="CN9" i="74"/>
  <c r="CC9" i="74"/>
  <c r="EZ9" i="74"/>
  <c r="EY9" i="74"/>
  <c r="P37" i="74"/>
  <c r="DQ9" i="74"/>
  <c r="DR9" i="74"/>
  <c r="DE9" i="74"/>
  <c r="DF9" i="74"/>
  <c r="AK9" i="74"/>
  <c r="AL9" i="74"/>
  <c r="AJ9" i="74"/>
  <c r="AI9" i="74"/>
  <c r="DO9" i="74"/>
  <c r="DP9" i="74"/>
  <c r="AW8" i="74"/>
  <c r="AQ9" i="74"/>
  <c r="AX8" i="74"/>
  <c r="CD37" i="74"/>
  <c r="CD39" i="74" s="1"/>
  <c r="CD9" i="74"/>
  <c r="AU8" i="74"/>
  <c r="DC9" i="74"/>
  <c r="DD9" i="74"/>
  <c r="K28" i="74"/>
  <c r="L28" i="74"/>
  <c r="M31" i="74"/>
  <c r="N31" i="74"/>
  <c r="G20" i="74"/>
  <c r="BG9" i="74"/>
  <c r="BH9" i="74"/>
  <c r="EP8" i="74" l="1"/>
  <c r="EM8" i="74"/>
  <c r="EO8" i="74"/>
  <c r="EN8" i="74"/>
  <c r="EI9" i="74"/>
  <c r="EJ25" i="74"/>
  <c r="H27" i="74"/>
  <c r="AT49" i="74"/>
  <c r="AD49" i="75" s="1"/>
  <c r="F25" i="74"/>
  <c r="EH8" i="74"/>
  <c r="EH9" i="74" s="1"/>
  <c r="CP33" i="75"/>
  <c r="N21" i="77"/>
  <c r="CH33" i="75"/>
  <c r="DZ49" i="74"/>
  <c r="CH49" i="75" s="1"/>
  <c r="CH28" i="75"/>
  <c r="C17" i="78"/>
  <c r="CH35" i="75"/>
  <c r="CB15" i="75"/>
  <c r="CC15" i="75"/>
  <c r="EX49" i="74"/>
  <c r="CX49" i="75" s="1"/>
  <c r="O39" i="77"/>
  <c r="CP28" i="75"/>
  <c r="DB47" i="74"/>
  <c r="BR48" i="75"/>
  <c r="BR48" i="126"/>
  <c r="CX32" i="75"/>
  <c r="CZ32" i="75" s="1"/>
  <c r="O11" i="130" s="1"/>
  <c r="CX28" i="126"/>
  <c r="CX33" i="126"/>
  <c r="CX32" i="126"/>
  <c r="CX35" i="126"/>
  <c r="AN33" i="126"/>
  <c r="AO33" i="126"/>
  <c r="AP33" i="126"/>
  <c r="AO15" i="126"/>
  <c r="AN15" i="126"/>
  <c r="AL47" i="126"/>
  <c r="CD32" i="126"/>
  <c r="CB32" i="126"/>
  <c r="CC32" i="126"/>
  <c r="N47" i="126"/>
  <c r="P15" i="126"/>
  <c r="Q15" i="126"/>
  <c r="BT35" i="126"/>
  <c r="BU35" i="126"/>
  <c r="BV35" i="126"/>
  <c r="AD46" i="126"/>
  <c r="AD46" i="75"/>
  <c r="AD15" i="126"/>
  <c r="AD15" i="75"/>
  <c r="AD47" i="75" s="1"/>
  <c r="BB15" i="126"/>
  <c r="BB46" i="75"/>
  <c r="BB46" i="126"/>
  <c r="BB15" i="75"/>
  <c r="BB47" i="75" s="1"/>
  <c r="BZ48" i="126"/>
  <c r="AT33" i="126"/>
  <c r="AT32" i="126"/>
  <c r="AT28" i="126"/>
  <c r="AT35" i="126"/>
  <c r="AN35" i="126"/>
  <c r="AP35" i="126"/>
  <c r="AO35" i="126"/>
  <c r="M7" i="126"/>
  <c r="CS15" i="126"/>
  <c r="CP47" i="126"/>
  <c r="CR15" i="126"/>
  <c r="CD33" i="126"/>
  <c r="CC33" i="126"/>
  <c r="CB33" i="126"/>
  <c r="BU32" i="126"/>
  <c r="BV32" i="126"/>
  <c r="BT32" i="126"/>
  <c r="CK15" i="126"/>
  <c r="CJ15" i="126"/>
  <c r="CH47" i="126"/>
  <c r="AT48" i="75"/>
  <c r="AT24" i="75" s="1"/>
  <c r="R44" i="129" s="1"/>
  <c r="T44" i="129" s="1"/>
  <c r="AT48" i="126"/>
  <c r="N16" i="77"/>
  <c r="CH48" i="75"/>
  <c r="CH48" i="126"/>
  <c r="BA36" i="126"/>
  <c r="BA34" i="126" s="1"/>
  <c r="BA31" i="126" s="1"/>
  <c r="BA26" i="126" s="1"/>
  <c r="BA36" i="75"/>
  <c r="V32" i="75"/>
  <c r="X32" i="75" s="1"/>
  <c r="E11" i="130" s="1"/>
  <c r="V35" i="126"/>
  <c r="V33" i="126"/>
  <c r="V32" i="126"/>
  <c r="V28" i="126"/>
  <c r="BR47" i="75"/>
  <c r="BU15" i="75"/>
  <c r="BT15" i="75"/>
  <c r="CC15" i="126"/>
  <c r="CB15" i="126"/>
  <c r="BZ47" i="126"/>
  <c r="AN28" i="126"/>
  <c r="AN27" i="126" s="1"/>
  <c r="AP28" i="126"/>
  <c r="AL27" i="126"/>
  <c r="AO28" i="126"/>
  <c r="Y15" i="126"/>
  <c r="X15" i="126"/>
  <c r="V47" i="126"/>
  <c r="DA15" i="126"/>
  <c r="CZ15" i="126"/>
  <c r="CX47" i="126"/>
  <c r="CB28" i="126"/>
  <c r="CB27" i="126" s="1"/>
  <c r="CD28" i="126"/>
  <c r="BZ27" i="126"/>
  <c r="CC28" i="126"/>
  <c r="BT33" i="126"/>
  <c r="BV33" i="126"/>
  <c r="BU33" i="126"/>
  <c r="CH47" i="75"/>
  <c r="CJ15" i="75"/>
  <c r="CK15" i="75"/>
  <c r="CH35" i="126"/>
  <c r="CH28" i="126"/>
  <c r="CH32" i="126"/>
  <c r="CH33" i="126"/>
  <c r="AL48" i="75"/>
  <c r="AL24" i="75" s="1"/>
  <c r="O44" i="129" s="1"/>
  <c r="Q44" i="129" s="1"/>
  <c r="AL48" i="126"/>
  <c r="AL49" i="126" s="1"/>
  <c r="AL24" i="126" s="1"/>
  <c r="AN24" i="126" s="1"/>
  <c r="G21" i="77"/>
  <c r="AD28" i="126"/>
  <c r="AD35" i="126"/>
  <c r="AD32" i="126"/>
  <c r="AD33" i="126"/>
  <c r="BU15" i="126"/>
  <c r="BR47" i="126"/>
  <c r="BT15" i="126"/>
  <c r="BZ24" i="75"/>
  <c r="AD44" i="129" s="1"/>
  <c r="AF44" i="129" s="1"/>
  <c r="AN32" i="126"/>
  <c r="AP32" i="126"/>
  <c r="AO32" i="126"/>
  <c r="O21" i="77"/>
  <c r="CP35" i="126"/>
  <c r="CP32" i="126"/>
  <c r="CP28" i="126"/>
  <c r="CP33" i="126"/>
  <c r="AW15" i="126"/>
  <c r="AV15" i="126"/>
  <c r="AT47" i="126"/>
  <c r="AT49" i="126" s="1"/>
  <c r="AT24" i="126" s="1"/>
  <c r="AV24" i="126" s="1"/>
  <c r="AC34" i="126"/>
  <c r="AC31" i="126" s="1"/>
  <c r="AC26" i="126" s="1"/>
  <c r="CB35" i="126"/>
  <c r="CD35" i="126"/>
  <c r="CC35" i="126"/>
  <c r="BT28" i="126"/>
  <c r="BT27" i="126" s="1"/>
  <c r="BU28" i="126"/>
  <c r="BR27" i="126"/>
  <c r="BV28" i="126"/>
  <c r="CH49" i="126"/>
  <c r="CH24" i="126" s="1"/>
  <c r="CJ24" i="126" s="1"/>
  <c r="AF8" i="126"/>
  <c r="AG8" i="126"/>
  <c r="AH8" i="126"/>
  <c r="CD42" i="74"/>
  <c r="CD43" i="74" s="1"/>
  <c r="CD46" i="74"/>
  <c r="CD47" i="74" s="1"/>
  <c r="CD48" i="74" s="1"/>
  <c r="CD49" i="74" s="1"/>
  <c r="BB49" i="75" s="1"/>
  <c r="AD36" i="124"/>
  <c r="AF36" i="124" s="1"/>
  <c r="AF15" i="75"/>
  <c r="AG15" i="75"/>
  <c r="AW15" i="75"/>
  <c r="AV15" i="75"/>
  <c r="I36" i="124"/>
  <c r="K36" i="124" s="1"/>
  <c r="O36" i="124"/>
  <c r="Q36" i="124" s="1"/>
  <c r="CX35" i="75"/>
  <c r="C19" i="78"/>
  <c r="CX33" i="75"/>
  <c r="CX28" i="75"/>
  <c r="DA15" i="75"/>
  <c r="CZ15" i="75"/>
  <c r="P21" i="77"/>
  <c r="P17" i="77"/>
  <c r="CZ25" i="75"/>
  <c r="AM49" i="129" s="1"/>
  <c r="AO49" i="129" s="1"/>
  <c r="CR25" i="75"/>
  <c r="AJ49" i="129" s="1"/>
  <c r="AL49" i="129" s="1"/>
  <c r="M17" i="77"/>
  <c r="M16" i="77" s="1"/>
  <c r="CB25" i="75"/>
  <c r="AD49" i="129" s="1"/>
  <c r="AF49" i="129" s="1"/>
  <c r="L17" i="77"/>
  <c r="L16" i="77" s="1"/>
  <c r="BT25" i="75"/>
  <c r="AA49" i="129" s="1"/>
  <c r="AC49" i="129" s="1"/>
  <c r="CE8" i="74"/>
  <c r="J17" i="77"/>
  <c r="BD25" i="75"/>
  <c r="U49" i="129" s="1"/>
  <c r="W49" i="129" s="1"/>
  <c r="I17" i="77"/>
  <c r="I16" i="77" s="1"/>
  <c r="G17" i="77"/>
  <c r="G16" i="77" s="1"/>
  <c r="AF25" i="75"/>
  <c r="L49" i="129" s="1"/>
  <c r="N49" i="129" s="1"/>
  <c r="CJ25" i="75"/>
  <c r="AG49" i="129" s="1"/>
  <c r="AI49" i="129" s="1"/>
  <c r="BD41" i="74"/>
  <c r="AK36" i="126" s="1"/>
  <c r="AK34" i="126" s="1"/>
  <c r="AK31" i="126" s="1"/>
  <c r="AK26" i="126" s="1"/>
  <c r="AF41" i="74"/>
  <c r="U36" i="126" s="1"/>
  <c r="U34" i="126" s="1"/>
  <c r="U31" i="126" s="1"/>
  <c r="U26" i="126" s="1"/>
  <c r="FE9" i="74"/>
  <c r="FC9" i="74"/>
  <c r="BB32" i="75"/>
  <c r="BD32" i="75" s="1"/>
  <c r="I11" i="130" s="1"/>
  <c r="BB35" i="75"/>
  <c r="BB33" i="75"/>
  <c r="BB28" i="75"/>
  <c r="V28" i="75"/>
  <c r="V35" i="75"/>
  <c r="F21" i="77"/>
  <c r="C13" i="78"/>
  <c r="C9" i="78"/>
  <c r="CF8" i="74"/>
  <c r="W9" i="74"/>
  <c r="Z9" i="74"/>
  <c r="Y9" i="74"/>
  <c r="AW9" i="74"/>
  <c r="AX9" i="74"/>
  <c r="P39" i="74"/>
  <c r="V42" i="74" s="1"/>
  <c r="V43" i="74" s="1"/>
  <c r="N32" i="75" s="1"/>
  <c r="P32" i="75" s="1"/>
  <c r="D11" i="130" s="1"/>
  <c r="D37" i="74"/>
  <c r="D39" i="74" s="1"/>
  <c r="CN39" i="74"/>
  <c r="CN40" i="74" s="1"/>
  <c r="N20" i="74"/>
  <c r="M20" i="74"/>
  <c r="L20" i="74"/>
  <c r="G8" i="74"/>
  <c r="M8" i="74" s="1"/>
  <c r="K20" i="74"/>
  <c r="CG8" i="74"/>
  <c r="CA9" i="74"/>
  <c r="CF9" i="74" s="1"/>
  <c r="CH8" i="74"/>
  <c r="AV9" i="74"/>
  <c r="AU9" i="74"/>
  <c r="EJ8" i="74" l="1"/>
  <c r="H25" i="74"/>
  <c r="H8" i="74" s="1"/>
  <c r="H9" i="74" s="1"/>
  <c r="J40" i="77"/>
  <c r="J21" i="77"/>
  <c r="EO9" i="74"/>
  <c r="EP9" i="74"/>
  <c r="EM9" i="74"/>
  <c r="EN9" i="74"/>
  <c r="FF25" i="74"/>
  <c r="FD25" i="74"/>
  <c r="F8" i="74"/>
  <c r="V49" i="74"/>
  <c r="N49" i="75" s="1"/>
  <c r="CH24" i="75"/>
  <c r="AG44" i="129" s="1"/>
  <c r="AI44" i="129" s="1"/>
  <c r="DB48" i="74"/>
  <c r="BZ49" i="126"/>
  <c r="BZ24" i="126" s="1"/>
  <c r="CB24" i="126" s="1"/>
  <c r="BR49" i="126"/>
  <c r="BR24" i="126" s="1"/>
  <c r="BT24" i="126" s="1"/>
  <c r="R45" i="124"/>
  <c r="T45" i="124" s="1"/>
  <c r="R44" i="63"/>
  <c r="AV24" i="75"/>
  <c r="AG45" i="124"/>
  <c r="AI45" i="124" s="1"/>
  <c r="AN24" i="75"/>
  <c r="O45" i="124"/>
  <c r="Q45" i="124" s="1"/>
  <c r="O44" i="63"/>
  <c r="N28" i="75"/>
  <c r="CX48" i="75"/>
  <c r="CX24" i="75" s="1"/>
  <c r="AM44" i="129" s="1"/>
  <c r="AO44" i="129" s="1"/>
  <c r="CX48" i="126"/>
  <c r="CX49" i="126" s="1"/>
  <c r="CX24" i="126" s="1"/>
  <c r="CZ24" i="126" s="1"/>
  <c r="CT33" i="126"/>
  <c r="CS33" i="126"/>
  <c r="CR33" i="126"/>
  <c r="CP48" i="75"/>
  <c r="CP24" i="75" s="1"/>
  <c r="AJ44" i="129" s="1"/>
  <c r="AL44" i="129" s="1"/>
  <c r="CP48" i="126"/>
  <c r="CP49" i="126" s="1"/>
  <c r="CP24" i="126" s="1"/>
  <c r="CR24" i="126" s="1"/>
  <c r="CB24" i="75"/>
  <c r="AD44" i="63"/>
  <c r="AD45" i="124"/>
  <c r="AF45" i="124" s="1"/>
  <c r="AF33" i="126"/>
  <c r="AH33" i="126"/>
  <c r="AG33" i="126"/>
  <c r="AD48" i="75"/>
  <c r="AD48" i="126"/>
  <c r="CK32" i="126"/>
  <c r="CL32" i="126"/>
  <c r="CJ32" i="126"/>
  <c r="AG36" i="124"/>
  <c r="AI36" i="124" s="1"/>
  <c r="Z28" i="126"/>
  <c r="Y28" i="126"/>
  <c r="V27" i="126"/>
  <c r="X28" i="126"/>
  <c r="X27" i="126" s="1"/>
  <c r="AW28" i="126"/>
  <c r="AV28" i="126"/>
  <c r="AV27" i="126" s="1"/>
  <c r="AT27" i="126"/>
  <c r="AX28" i="126"/>
  <c r="BE15" i="126"/>
  <c r="BD15" i="126"/>
  <c r="BB47" i="126"/>
  <c r="DB32" i="126"/>
  <c r="CZ32" i="126"/>
  <c r="DA32" i="126"/>
  <c r="BU27" i="126"/>
  <c r="BV27" i="126"/>
  <c r="CS28" i="126"/>
  <c r="CP27" i="126"/>
  <c r="CR28" i="126"/>
  <c r="CR27" i="126" s="1"/>
  <c r="CT28" i="126"/>
  <c r="AH32" i="126"/>
  <c r="AF32" i="126"/>
  <c r="AG32" i="126"/>
  <c r="CL28" i="126"/>
  <c r="CJ28" i="126"/>
  <c r="CJ27" i="126" s="1"/>
  <c r="CH27" i="126"/>
  <c r="CK28" i="126"/>
  <c r="AA36" i="124"/>
  <c r="AC36" i="124" s="1"/>
  <c r="Z32" i="126"/>
  <c r="X32" i="126"/>
  <c r="Y32" i="126"/>
  <c r="AW32" i="126"/>
  <c r="AX32" i="126"/>
  <c r="AV32" i="126"/>
  <c r="CZ33" i="126"/>
  <c r="DA33" i="126"/>
  <c r="DB33" i="126"/>
  <c r="E21" i="77"/>
  <c r="N28" i="126"/>
  <c r="N35" i="126"/>
  <c r="N32" i="126"/>
  <c r="N33" i="126"/>
  <c r="BB33" i="126"/>
  <c r="BB28" i="126"/>
  <c r="BB35" i="126"/>
  <c r="BB32" i="126"/>
  <c r="CT32" i="126"/>
  <c r="CS32" i="126"/>
  <c r="CR32" i="126"/>
  <c r="AG35" i="126"/>
  <c r="AF35" i="126"/>
  <c r="AH35" i="126"/>
  <c r="CL35" i="126"/>
  <c r="CJ35" i="126"/>
  <c r="CK35" i="126"/>
  <c r="Z33" i="126"/>
  <c r="X33" i="126"/>
  <c r="Y33" i="126"/>
  <c r="AV33" i="126"/>
  <c r="AX33" i="126"/>
  <c r="AW33" i="126"/>
  <c r="AD47" i="126"/>
  <c r="AF15" i="126"/>
  <c r="AG15" i="126"/>
  <c r="CZ28" i="126"/>
  <c r="CZ27" i="126" s="1"/>
  <c r="CX27" i="126"/>
  <c r="DB28" i="126"/>
  <c r="DA28" i="126"/>
  <c r="V48" i="75"/>
  <c r="V24" i="75" s="1"/>
  <c r="I44" i="129" s="1"/>
  <c r="K44" i="129" s="1"/>
  <c r="V48" i="126"/>
  <c r="V49" i="126" s="1"/>
  <c r="V24" i="126" s="1"/>
  <c r="X24" i="126" s="1"/>
  <c r="N33" i="75"/>
  <c r="CS35" i="126"/>
  <c r="CR35" i="126"/>
  <c r="CT35" i="126"/>
  <c r="AG28" i="126"/>
  <c r="AH28" i="126"/>
  <c r="AD27" i="126"/>
  <c r="AF28" i="126"/>
  <c r="AF27" i="126" s="1"/>
  <c r="CL33" i="126"/>
  <c r="CJ33" i="126"/>
  <c r="CK33" i="126"/>
  <c r="CC27" i="126"/>
  <c r="CD27" i="126"/>
  <c r="AP27" i="126"/>
  <c r="AO27" i="126"/>
  <c r="Z35" i="126"/>
  <c r="X35" i="126"/>
  <c r="Y35" i="126"/>
  <c r="AX35" i="126"/>
  <c r="AW35" i="126"/>
  <c r="AV35" i="126"/>
  <c r="AD24" i="75"/>
  <c r="L44" i="129" s="1"/>
  <c r="N44" i="129" s="1"/>
  <c r="CZ35" i="126"/>
  <c r="DB35" i="126"/>
  <c r="DA35" i="126"/>
  <c r="AM50" i="124"/>
  <c r="AO50" i="124" s="1"/>
  <c r="AM49" i="63"/>
  <c r="AJ50" i="124"/>
  <c r="AL50" i="124" s="1"/>
  <c r="AJ49" i="63"/>
  <c r="AG50" i="124"/>
  <c r="AI50" i="124" s="1"/>
  <c r="AG49" i="63"/>
  <c r="AD50" i="124"/>
  <c r="AF50" i="124" s="1"/>
  <c r="AD49" i="63"/>
  <c r="AA50" i="124"/>
  <c r="AC50" i="124" s="1"/>
  <c r="AA49" i="63"/>
  <c r="U50" i="124"/>
  <c r="W50" i="124" s="1"/>
  <c r="U49" i="63"/>
  <c r="L50" i="124"/>
  <c r="N50" i="124" s="1"/>
  <c r="L49" i="63"/>
  <c r="BD15" i="75"/>
  <c r="BE15" i="75"/>
  <c r="L36" i="124"/>
  <c r="N36" i="124" s="1"/>
  <c r="R36" i="124"/>
  <c r="T36" i="124" s="1"/>
  <c r="AM36" i="124"/>
  <c r="P16" i="77"/>
  <c r="J16" i="77"/>
  <c r="H17" i="77"/>
  <c r="H16" i="77" s="1"/>
  <c r="AN25" i="75"/>
  <c r="O49" i="129" s="1"/>
  <c r="Q49" i="129" s="1"/>
  <c r="F17" i="77"/>
  <c r="F16" i="77" s="1"/>
  <c r="CN41" i="74"/>
  <c r="BI36" i="126" s="1"/>
  <c r="BI34" i="126" s="1"/>
  <c r="BI31" i="126" s="1"/>
  <c r="BI26" i="126" s="1"/>
  <c r="G9" i="74"/>
  <c r="N8" i="74"/>
  <c r="CG9" i="74"/>
  <c r="CH9" i="74"/>
  <c r="CE9" i="74"/>
  <c r="T40" i="74"/>
  <c r="T41" i="74" s="1"/>
  <c r="M36" i="126" s="1"/>
  <c r="S17" i="128" l="1"/>
  <c r="S17" i="98"/>
  <c r="F9" i="74"/>
  <c r="FD8" i="74"/>
  <c r="FF8" i="74"/>
  <c r="S16" i="128"/>
  <c r="S16" i="98"/>
  <c r="J39" i="77"/>
  <c r="D39" i="77" s="1"/>
  <c r="D40" i="77"/>
  <c r="S18" i="128"/>
  <c r="S18" i="98"/>
  <c r="S10" i="128"/>
  <c r="S10" i="98"/>
  <c r="CO8" i="126"/>
  <c r="EJ37" i="74"/>
  <c r="EJ9" i="74"/>
  <c r="S13" i="128"/>
  <c r="S13" i="98"/>
  <c r="S15" i="128"/>
  <c r="S15" i="98"/>
  <c r="S19" i="128"/>
  <c r="S19" i="98"/>
  <c r="CJ24" i="75"/>
  <c r="AG44" i="63"/>
  <c r="AI44" i="63" s="1"/>
  <c r="DB49" i="74"/>
  <c r="AD49" i="126"/>
  <c r="AD24" i="126" s="1"/>
  <c r="AF24" i="126" s="1"/>
  <c r="AF44" i="63"/>
  <c r="T44" i="63"/>
  <c r="Q44" i="63"/>
  <c r="R12" i="65"/>
  <c r="L45" i="124"/>
  <c r="N45" i="124" s="1"/>
  <c r="AF24" i="75"/>
  <c r="L44" i="63"/>
  <c r="AH27" i="126"/>
  <c r="AG27" i="126"/>
  <c r="BF35" i="126"/>
  <c r="BD35" i="126"/>
  <c r="BE35" i="126"/>
  <c r="R33" i="126"/>
  <c r="Q33" i="126"/>
  <c r="P33" i="126"/>
  <c r="N48" i="75"/>
  <c r="N48" i="126"/>
  <c r="AM45" i="124"/>
  <c r="AO45" i="124" s="1"/>
  <c r="CZ24" i="75"/>
  <c r="AM44" i="63"/>
  <c r="DB27" i="126"/>
  <c r="DA27" i="126"/>
  <c r="BF28" i="126"/>
  <c r="BD28" i="126"/>
  <c r="BD27" i="126" s="1"/>
  <c r="BE28" i="126"/>
  <c r="BB27" i="126"/>
  <c r="R32" i="126"/>
  <c r="P32" i="126"/>
  <c r="Q32" i="126"/>
  <c r="AX27" i="126"/>
  <c r="AW27" i="126"/>
  <c r="Y27" i="126"/>
  <c r="Z27" i="126"/>
  <c r="I44" i="63"/>
  <c r="X24" i="75"/>
  <c r="I45" i="124"/>
  <c r="K45" i="124" s="1"/>
  <c r="BF33" i="126"/>
  <c r="BD33" i="126"/>
  <c r="BE33" i="126"/>
  <c r="P35" i="126"/>
  <c r="R35" i="126"/>
  <c r="Q35" i="126"/>
  <c r="CL27" i="126"/>
  <c r="CK27" i="126"/>
  <c r="M34" i="126"/>
  <c r="BE32" i="126"/>
  <c r="BD32" i="126"/>
  <c r="BF32" i="126"/>
  <c r="BB48" i="75"/>
  <c r="BB24" i="75" s="1"/>
  <c r="U44" i="129" s="1"/>
  <c r="W44" i="129" s="1"/>
  <c r="BB48" i="126"/>
  <c r="BB49" i="126" s="1"/>
  <c r="BB24" i="126" s="1"/>
  <c r="BD24" i="126" s="1"/>
  <c r="R28" i="126"/>
  <c r="Q28" i="126"/>
  <c r="P28" i="126"/>
  <c r="N27" i="126"/>
  <c r="CS27" i="126"/>
  <c r="CT27" i="126"/>
  <c r="AJ44" i="63"/>
  <c r="AJ45" i="124"/>
  <c r="AL45" i="124" s="1"/>
  <c r="CR24" i="75"/>
  <c r="U36" i="124"/>
  <c r="W36" i="124" s="1"/>
  <c r="O50" i="124"/>
  <c r="O49" i="63"/>
  <c r="AO36" i="124"/>
  <c r="K17" i="77"/>
  <c r="BL25" i="75"/>
  <c r="X49" i="129" s="1"/>
  <c r="Z49" i="129" s="1"/>
  <c r="E17" i="77"/>
  <c r="M9" i="74"/>
  <c r="N9" i="74"/>
  <c r="R17" i="128" l="1"/>
  <c r="R11" i="128"/>
  <c r="R12" i="98"/>
  <c r="R12" i="128"/>
  <c r="FD9" i="74"/>
  <c r="FF9" i="74"/>
  <c r="R16" i="128"/>
  <c r="EJ39" i="74"/>
  <c r="EJ40" i="74" s="1"/>
  <c r="H37" i="74"/>
  <c r="H39" i="74" s="1"/>
  <c r="CO7" i="126"/>
  <c r="E8" i="126"/>
  <c r="E7" i="126" s="1"/>
  <c r="S11" i="128"/>
  <c r="S11" i="98"/>
  <c r="BR49" i="75"/>
  <c r="BR24" i="75" s="1"/>
  <c r="R17" i="65"/>
  <c r="R17" i="98"/>
  <c r="R16" i="65"/>
  <c r="R16" i="98"/>
  <c r="R11" i="65"/>
  <c r="R11" i="98"/>
  <c r="N44" i="63"/>
  <c r="K44" i="63"/>
  <c r="AL44" i="63"/>
  <c r="AO44" i="63"/>
  <c r="R10" i="65"/>
  <c r="R9" i="65"/>
  <c r="R27" i="126"/>
  <c r="Q27" i="126"/>
  <c r="BE27" i="126"/>
  <c r="BF27" i="126"/>
  <c r="P27" i="126"/>
  <c r="U45" i="124"/>
  <c r="W45" i="124" s="1"/>
  <c r="BD24" i="75"/>
  <c r="U44" i="63"/>
  <c r="M31" i="126"/>
  <c r="M26" i="126" s="1"/>
  <c r="N49" i="126"/>
  <c r="X50" i="124"/>
  <c r="Z50" i="124" s="1"/>
  <c r="X49" i="63"/>
  <c r="Q50" i="124"/>
  <c r="N35" i="75"/>
  <c r="E16" i="77"/>
  <c r="C8" i="78"/>
  <c r="I8" i="78" s="1"/>
  <c r="E15" i="77" s="1"/>
  <c r="S14" i="128" l="1"/>
  <c r="S14" i="98"/>
  <c r="R9" i="98"/>
  <c r="R9" i="128"/>
  <c r="EJ41" i="74"/>
  <c r="H40" i="74"/>
  <c r="R10" i="98"/>
  <c r="R10" i="128"/>
  <c r="R19" i="128"/>
  <c r="R18" i="128"/>
  <c r="AA44" i="129"/>
  <c r="AA44" i="63"/>
  <c r="AC44" i="63" s="1"/>
  <c r="BT24" i="75"/>
  <c r="AA45" i="124"/>
  <c r="AC45" i="124" s="1"/>
  <c r="R19" i="65"/>
  <c r="R19" i="98"/>
  <c r="R18" i="65"/>
  <c r="R18" i="98"/>
  <c r="W44" i="63"/>
  <c r="N24" i="75"/>
  <c r="F44" i="129" s="1"/>
  <c r="H44" i="129" s="1"/>
  <c r="N24" i="126"/>
  <c r="E10" i="77"/>
  <c r="E8" i="77" s="1"/>
  <c r="E33" i="77" s="1"/>
  <c r="P25" i="75"/>
  <c r="F49" i="129" s="1"/>
  <c r="CO36" i="126" l="1"/>
  <c r="CO36" i="75"/>
  <c r="O17" i="77"/>
  <c r="H41" i="74"/>
  <c r="H49" i="129"/>
  <c r="R13" i="98"/>
  <c r="R13" i="128"/>
  <c r="R15" i="128"/>
  <c r="R15" i="65"/>
  <c r="R15" i="98"/>
  <c r="AC44" i="129"/>
  <c r="R13" i="65"/>
  <c r="F45" i="124"/>
  <c r="F44" i="63"/>
  <c r="P24" i="75"/>
  <c r="P24" i="126"/>
  <c r="N36" i="75"/>
  <c r="N36" i="126"/>
  <c r="F50" i="124"/>
  <c r="F49" i="63"/>
  <c r="FV20" i="104"/>
  <c r="FV21" i="104" s="1"/>
  <c r="O16" i="77" l="1"/>
  <c r="D17" i="77"/>
  <c r="S8" i="128"/>
  <c r="S8" i="98"/>
  <c r="CO34" i="126"/>
  <c r="E36" i="126"/>
  <c r="P36" i="126"/>
  <c r="Q36" i="126"/>
  <c r="H44" i="63"/>
  <c r="H45" i="124"/>
  <c r="H50" i="124"/>
  <c r="G13" i="75"/>
  <c r="G12" i="75"/>
  <c r="E13" i="75"/>
  <c r="E12" i="75"/>
  <c r="C13" i="75"/>
  <c r="C12" i="75"/>
  <c r="R8" i="98" l="1"/>
  <c r="R8" i="128"/>
  <c r="CO31" i="126"/>
  <c r="CO26" i="126" s="1"/>
  <c r="E34" i="126"/>
  <c r="E31" i="126" s="1"/>
  <c r="E26" i="126" s="1"/>
  <c r="R8" i="65"/>
  <c r="F9" i="113"/>
  <c r="E9" i="113"/>
  <c r="E10" i="113" s="1"/>
  <c r="D9" i="113"/>
  <c r="D10" i="113" s="1"/>
  <c r="E14" i="113"/>
  <c r="E12" i="113"/>
  <c r="G9" i="113" l="1"/>
  <c r="E13" i="113"/>
  <c r="E15" i="113"/>
  <c r="D15" i="113"/>
  <c r="D13" i="113"/>
  <c r="F10" i="113"/>
  <c r="F12" i="113" l="1"/>
  <c r="F13" i="113" s="1"/>
  <c r="F14" i="113"/>
  <c r="F15" i="113" s="1"/>
  <c r="G10" i="113"/>
  <c r="C14" i="110" l="1"/>
  <c r="N21" i="108"/>
  <c r="N14" i="108"/>
  <c r="C8" i="108"/>
  <c r="T8" i="119" s="1"/>
  <c r="J8" i="108"/>
  <c r="C7" i="108" l="1"/>
  <c r="T7" i="119" s="1"/>
  <c r="C9" i="108"/>
  <c r="G12" i="108"/>
  <c r="G20" i="108"/>
  <c r="G13" i="108"/>
  <c r="F8" i="108"/>
  <c r="W8" i="108" s="1"/>
  <c r="X8" i="108" s="1"/>
  <c r="G27" i="108"/>
  <c r="G15" i="108"/>
  <c r="G19" i="108"/>
  <c r="G22" i="108"/>
  <c r="D8" i="108"/>
  <c r="G11" i="108"/>
  <c r="J7" i="108"/>
  <c r="G16" i="108"/>
  <c r="G17" i="108"/>
  <c r="G18" i="108"/>
  <c r="G25" i="108"/>
  <c r="F7" i="108" l="1"/>
  <c r="T9" i="119"/>
  <c r="T10" i="119"/>
  <c r="F9" i="108"/>
  <c r="D7" i="108"/>
  <c r="D9" i="108"/>
  <c r="W7" i="108" l="1"/>
  <c r="X7" i="108" s="1"/>
  <c r="W9" i="108"/>
  <c r="X9" i="108" s="1"/>
  <c r="AC27" i="107"/>
  <c r="AC26" i="107"/>
  <c r="AC25" i="107"/>
  <c r="AC122" i="107" s="1"/>
  <c r="AC24" i="107"/>
  <c r="AC23" i="107"/>
  <c r="AC22" i="107"/>
  <c r="AC19" i="107"/>
  <c r="AC116" i="107" s="1"/>
  <c r="AC18" i="107"/>
  <c r="AC17" i="107"/>
  <c r="AC110" i="107" s="1"/>
  <c r="AC16" i="107"/>
  <c r="AC113" i="107" s="1"/>
  <c r="AC15" i="107"/>
  <c r="AB27" i="107"/>
  <c r="AF27" i="107" s="1"/>
  <c r="AB26" i="107"/>
  <c r="AB25" i="107"/>
  <c r="AB24" i="107"/>
  <c r="AB23" i="107"/>
  <c r="AB22" i="107"/>
  <c r="AB19" i="107"/>
  <c r="AB18" i="107"/>
  <c r="AB17" i="107"/>
  <c r="AF17" i="107" s="1"/>
  <c r="AB16" i="107"/>
  <c r="AB15" i="107"/>
  <c r="AF15" i="107" s="1"/>
  <c r="V27" i="107"/>
  <c r="W27" i="107" s="1"/>
  <c r="Z27" i="107" s="1"/>
  <c r="V26" i="107"/>
  <c r="W26" i="107" s="1"/>
  <c r="Z26" i="107" s="1"/>
  <c r="V25" i="107"/>
  <c r="W25" i="107" s="1"/>
  <c r="V24" i="107"/>
  <c r="W24" i="107" s="1"/>
  <c r="V23" i="107"/>
  <c r="W23" i="107" s="1"/>
  <c r="Z23" i="107" s="1"/>
  <c r="V22" i="107"/>
  <c r="W22" i="107" s="1"/>
  <c r="Z22" i="107" s="1"/>
  <c r="V21" i="107"/>
  <c r="W21" i="107" s="1"/>
  <c r="Z21" i="107" s="1"/>
  <c r="V20" i="107"/>
  <c r="W20" i="107" s="1"/>
  <c r="Z20" i="107" s="1"/>
  <c r="V19" i="107"/>
  <c r="W19" i="107" s="1"/>
  <c r="Z19" i="107" s="1"/>
  <c r="V18" i="107"/>
  <c r="W18" i="107" s="1"/>
  <c r="Z18" i="107" s="1"/>
  <c r="V17" i="107"/>
  <c r="W17" i="107" s="1"/>
  <c r="Z17" i="107" s="1"/>
  <c r="V16" i="107"/>
  <c r="W16" i="107" s="1"/>
  <c r="Z16" i="107" s="1"/>
  <c r="V15" i="107"/>
  <c r="W15" i="107" s="1"/>
  <c r="Z15" i="107" s="1"/>
  <c r="V14" i="107"/>
  <c r="W14" i="107" s="1"/>
  <c r="Z14" i="107" s="1"/>
  <c r="R8" i="107"/>
  <c r="T8" i="107" s="1"/>
  <c r="AF22" i="107" l="1"/>
  <c r="AF23" i="107"/>
  <c r="AF24" i="107"/>
  <c r="AI24" i="107" s="1"/>
  <c r="AF18" i="107"/>
  <c r="AI17" i="107"/>
  <c r="AI23" i="107"/>
  <c r="AI27" i="107"/>
  <c r="AI18" i="107"/>
  <c r="AI15" i="107"/>
  <c r="AB116" i="107"/>
  <c r="AC117" i="107" s="1"/>
  <c r="AF19" i="107"/>
  <c r="AI19" i="107" s="1"/>
  <c r="AB122" i="107"/>
  <c r="AC123" i="107" s="1"/>
  <c r="AF25" i="107"/>
  <c r="AI25" i="107" s="1"/>
  <c r="AI22" i="107"/>
  <c r="V119" i="107"/>
  <c r="V122" i="107"/>
  <c r="AD123" i="107"/>
  <c r="V125" i="107"/>
  <c r="AB125" i="107"/>
  <c r="AC125" i="107"/>
  <c r="AD126" i="107" s="1"/>
  <c r="AD117" i="107"/>
  <c r="V116" i="107"/>
  <c r="AD114" i="107"/>
  <c r="V113" i="107"/>
  <c r="AB113" i="107"/>
  <c r="V107" i="107"/>
  <c r="R45" i="107"/>
  <c r="R129" i="107"/>
  <c r="T129" i="107" s="1"/>
  <c r="R7" i="107"/>
  <c r="AD111" i="107"/>
  <c r="V94" i="107"/>
  <c r="V62" i="107"/>
  <c r="AB88" i="107"/>
  <c r="AB61" i="107"/>
  <c r="V91" i="107"/>
  <c r="AB94" i="107"/>
  <c r="AB62" i="107"/>
  <c r="V110" i="107"/>
  <c r="AC88" i="107"/>
  <c r="AC61" i="107"/>
  <c r="V88" i="107"/>
  <c r="V61" i="107"/>
  <c r="AB110" i="107"/>
  <c r="AC94" i="107"/>
  <c r="AC62" i="107"/>
  <c r="P23" i="108"/>
  <c r="P24" i="108"/>
  <c r="P18" i="108"/>
  <c r="P22" i="108"/>
  <c r="P16" i="108"/>
  <c r="P26" i="108"/>
  <c r="R9" i="107"/>
  <c r="H23" i="108"/>
  <c r="O23" i="108" s="1"/>
  <c r="Q23" i="108" s="1"/>
  <c r="H17" i="108"/>
  <c r="O17" i="108" s="1"/>
  <c r="Q17" i="108" s="1"/>
  <c r="H16" i="108"/>
  <c r="O16" i="108" s="1"/>
  <c r="Q16" i="108" s="1"/>
  <c r="H20" i="108"/>
  <c r="O20" i="108" s="1"/>
  <c r="Q20" i="108" s="1"/>
  <c r="H24" i="108"/>
  <c r="O24" i="108" s="1"/>
  <c r="Q24" i="108" s="1"/>
  <c r="H21" i="108"/>
  <c r="O21" i="108" s="1"/>
  <c r="Q21" i="108" s="1"/>
  <c r="H14" i="108"/>
  <c r="O14" i="108" s="1"/>
  <c r="Q14" i="108" s="1"/>
  <c r="H18" i="108"/>
  <c r="O18" i="108" s="1"/>
  <c r="Q18" i="108" s="1"/>
  <c r="H22" i="108"/>
  <c r="O22" i="108" s="1"/>
  <c r="Q22" i="108" s="1"/>
  <c r="H26" i="108"/>
  <c r="O26" i="108" s="1"/>
  <c r="Q26" i="108" s="1"/>
  <c r="P17" i="108"/>
  <c r="H13" i="108"/>
  <c r="O13" i="108" s="1"/>
  <c r="Q13" i="108" s="1"/>
  <c r="H25" i="108"/>
  <c r="O25" i="108" s="1"/>
  <c r="Q25" i="108" s="1"/>
  <c r="H15" i="108"/>
  <c r="O15" i="108" s="1"/>
  <c r="Q15" i="108" s="1"/>
  <c r="H19" i="108"/>
  <c r="O19" i="108" s="1"/>
  <c r="Q19" i="108" s="1"/>
  <c r="AF61" i="107" l="1"/>
  <c r="AB111" i="107"/>
  <c r="AF110" i="107"/>
  <c r="W91" i="107"/>
  <c r="Z91" i="107" s="1"/>
  <c r="V92" i="107"/>
  <c r="X92" i="107" s="1"/>
  <c r="AA92" i="107"/>
  <c r="W94" i="107"/>
  <c r="Z94" i="107" s="1"/>
  <c r="V95" i="107"/>
  <c r="X95" i="107" s="1"/>
  <c r="AA95" i="107"/>
  <c r="W61" i="107"/>
  <c r="Z61" i="107" s="1"/>
  <c r="X61" i="107"/>
  <c r="W110" i="107"/>
  <c r="Z110" i="107" s="1"/>
  <c r="V111" i="107"/>
  <c r="X111" i="107" s="1"/>
  <c r="AA111" i="107"/>
  <c r="AI61" i="107"/>
  <c r="W107" i="107"/>
  <c r="V108" i="107"/>
  <c r="X108" i="107" s="1"/>
  <c r="V117" i="107"/>
  <c r="X117" i="107" s="1"/>
  <c r="AA117" i="107"/>
  <c r="V123" i="107"/>
  <c r="AA123" i="107"/>
  <c r="AB117" i="107"/>
  <c r="AF116" i="107"/>
  <c r="W88" i="107"/>
  <c r="Z88" i="107" s="1"/>
  <c r="V89" i="107"/>
  <c r="X89" i="107" s="1"/>
  <c r="AA89" i="107"/>
  <c r="AF62" i="107"/>
  <c r="AB89" i="107"/>
  <c r="AF88" i="107"/>
  <c r="W125" i="107"/>
  <c r="Z125" i="107" s="1"/>
  <c r="V126" i="107"/>
  <c r="X126" i="107" s="1"/>
  <c r="W119" i="107"/>
  <c r="Z119" i="107" s="1"/>
  <c r="V120" i="107"/>
  <c r="X120" i="107" s="1"/>
  <c r="AB95" i="107"/>
  <c r="AF94" i="107"/>
  <c r="W62" i="107"/>
  <c r="Z62" i="107" s="1"/>
  <c r="X62" i="107"/>
  <c r="W113" i="107"/>
  <c r="Z113" i="107" s="1"/>
  <c r="V114" i="107"/>
  <c r="X114" i="107" s="1"/>
  <c r="AB123" i="107"/>
  <c r="AG123" i="107" s="1"/>
  <c r="AF122" i="107"/>
  <c r="W122" i="107"/>
  <c r="W116" i="107"/>
  <c r="Z116" i="107" s="1"/>
  <c r="S42" i="107"/>
  <c r="S130" i="107"/>
  <c r="S132" i="107"/>
  <c r="T9" i="107"/>
  <c r="R163" i="107"/>
  <c r="R164" i="107" s="1"/>
  <c r="S41" i="107"/>
  <c r="S128" i="107"/>
  <c r="S69" i="107"/>
  <c r="T7" i="107"/>
  <c r="S46" i="107"/>
  <c r="T45" i="107"/>
  <c r="R166" i="107"/>
  <c r="R168" i="107" s="1"/>
  <c r="AC126" i="107"/>
  <c r="AC114" i="107"/>
  <c r="R48" i="107"/>
  <c r="R46" i="107"/>
  <c r="R43" i="107"/>
  <c r="R128" i="107"/>
  <c r="R69" i="107"/>
  <c r="R41" i="107"/>
  <c r="U41" i="107" s="1"/>
  <c r="R42" i="107"/>
  <c r="R132" i="107"/>
  <c r="R131" i="107"/>
  <c r="T131" i="107" s="1"/>
  <c r="R130" i="107"/>
  <c r="AC95" i="107"/>
  <c r="AD95" i="107"/>
  <c r="AC89" i="107"/>
  <c r="AD89" i="107"/>
  <c r="AC111" i="107"/>
  <c r="R57" i="107"/>
  <c r="T57" i="107" s="1"/>
  <c r="R73" i="107"/>
  <c r="R40" i="107"/>
  <c r="U40" i="107" s="1"/>
  <c r="I23" i="108"/>
  <c r="M26" i="108"/>
  <c r="I26" i="108"/>
  <c r="I24" i="108"/>
  <c r="M18" i="108"/>
  <c r="M22" i="108"/>
  <c r="M16" i="108"/>
  <c r="I15" i="108"/>
  <c r="N15" i="108"/>
  <c r="N25" i="108"/>
  <c r="I25" i="108"/>
  <c r="N22" i="108"/>
  <c r="I22" i="108"/>
  <c r="I20" i="108"/>
  <c r="N20" i="108"/>
  <c r="N19" i="108"/>
  <c r="I19" i="108"/>
  <c r="N13" i="108"/>
  <c r="I13" i="108"/>
  <c r="M17" i="108"/>
  <c r="N18" i="108"/>
  <c r="I18" i="108"/>
  <c r="I16" i="108"/>
  <c r="N16" i="108"/>
  <c r="N17" i="108"/>
  <c r="I17" i="108"/>
  <c r="AI94" i="107" l="1"/>
  <c r="AG117" i="107"/>
  <c r="AI88" i="107"/>
  <c r="AI122" i="107"/>
  <c r="AG95" i="107"/>
  <c r="AG89" i="107"/>
  <c r="AI110" i="107"/>
  <c r="AI62" i="107"/>
  <c r="AI116" i="107"/>
  <c r="AG111" i="107"/>
  <c r="U132" i="107"/>
  <c r="U128" i="107"/>
  <c r="S102" i="107"/>
  <c r="S93" i="107"/>
  <c r="S81" i="107"/>
  <c r="S115" i="107"/>
  <c r="S90" i="107"/>
  <c r="S84" i="107"/>
  <c r="S127" i="107"/>
  <c r="S99" i="107"/>
  <c r="S121" i="107"/>
  <c r="S118" i="107"/>
  <c r="S96" i="107"/>
  <c r="S124" i="107"/>
  <c r="S87" i="107"/>
  <c r="S112" i="107"/>
  <c r="S78" i="107"/>
  <c r="S74" i="107"/>
  <c r="S105" i="107"/>
  <c r="T73" i="107"/>
  <c r="U42" i="107"/>
  <c r="T42" i="107"/>
  <c r="U130" i="107"/>
  <c r="R49" i="107"/>
  <c r="S49" i="107"/>
  <c r="T48" i="107"/>
  <c r="U69" i="107"/>
  <c r="R44" i="107"/>
  <c r="S44" i="107"/>
  <c r="T43" i="107"/>
  <c r="T53" i="107" s="1"/>
  <c r="U46" i="107"/>
  <c r="R103" i="107"/>
  <c r="R118" i="107"/>
  <c r="R121" i="107"/>
  <c r="R124" i="107"/>
  <c r="R127" i="107"/>
  <c r="R102" i="107"/>
  <c r="R115" i="107"/>
  <c r="R78" i="107"/>
  <c r="R109" i="107"/>
  <c r="R47" i="107"/>
  <c r="R53" i="107"/>
  <c r="R50" i="107"/>
  <c r="R96" i="107"/>
  <c r="R84" i="107"/>
  <c r="R90" i="107"/>
  <c r="R93" i="107"/>
  <c r="R81" i="107"/>
  <c r="R99" i="107"/>
  <c r="R112" i="107"/>
  <c r="R87" i="107"/>
  <c r="R65" i="107"/>
  <c r="R66" i="107"/>
  <c r="R68" i="107"/>
  <c r="R74" i="107"/>
  <c r="R63" i="107"/>
  <c r="H17" i="102"/>
  <c r="G17" i="102"/>
  <c r="E17" i="102"/>
  <c r="D17" i="102"/>
  <c r="T75" i="107" l="1"/>
  <c r="T118" i="107"/>
  <c r="T127" i="107"/>
  <c r="T124" i="107"/>
  <c r="T121" i="107"/>
  <c r="T102" i="107"/>
  <c r="T115" i="107"/>
  <c r="T109" i="107"/>
  <c r="T112" i="107"/>
  <c r="T87" i="107"/>
  <c r="T90" i="107"/>
  <c r="T81" i="107"/>
  <c r="T96" i="107"/>
  <c r="T93" i="107"/>
  <c r="T99" i="107"/>
  <c r="T84" i="107"/>
  <c r="T78" i="107"/>
  <c r="T50" i="107"/>
  <c r="U44" i="107"/>
  <c r="U74" i="107"/>
  <c r="U49" i="107"/>
  <c r="R67" i="107"/>
  <c r="S71" i="107"/>
  <c r="T63" i="107"/>
  <c r="U47" i="107"/>
  <c r="S104" i="107"/>
  <c r="T103" i="107"/>
  <c r="T105" i="107" s="1"/>
  <c r="R71" i="107"/>
  <c r="R105" i="107"/>
  <c r="R104" i="107"/>
  <c r="E23" i="101"/>
  <c r="D23" i="101"/>
  <c r="U104" i="107" l="1"/>
  <c r="U71" i="107"/>
  <c r="J20" i="1"/>
  <c r="E49" i="1"/>
  <c r="F49" i="1" s="1"/>
  <c r="F45" i="1"/>
  <c r="S25" i="84" l="1"/>
  <c r="S28" i="84"/>
  <c r="S24" i="84"/>
  <c r="S16" i="84"/>
  <c r="Q87" i="84" l="1"/>
  <c r="D87" i="84"/>
  <c r="Q86" i="84"/>
  <c r="D86" i="84"/>
  <c r="C86" i="84" l="1"/>
  <c r="C87" i="84"/>
  <c r="C18" i="66" l="1"/>
  <c r="C15" i="66"/>
  <c r="C14" i="66" s="1"/>
  <c r="C34" i="66"/>
  <c r="C45" i="66"/>
  <c r="C44" i="66"/>
  <c r="C43" i="66"/>
  <c r="C42" i="66"/>
  <c r="C11" i="66" l="1"/>
  <c r="J26" i="78"/>
  <c r="C25" i="66"/>
  <c r="C105" i="84" l="1"/>
  <c r="E46" i="101" l="1"/>
  <c r="D46" i="101"/>
  <c r="C46" i="101" l="1"/>
  <c r="C29" i="110"/>
  <c r="E32" i="95"/>
  <c r="D32" i="95"/>
  <c r="C32" i="95" s="1"/>
  <c r="C39" i="93"/>
  <c r="E32" i="90"/>
  <c r="D32" i="90"/>
  <c r="E24" i="72"/>
  <c r="D24" i="72"/>
  <c r="C42" i="70"/>
  <c r="C32" i="90" l="1"/>
  <c r="C24" i="72"/>
  <c r="C47" i="66" l="1"/>
  <c r="Q34" i="102" l="1"/>
  <c r="P34" i="102"/>
  <c r="K34" i="102"/>
  <c r="J34" i="102"/>
  <c r="H34" i="102"/>
  <c r="G34" i="102"/>
  <c r="E34" i="102"/>
  <c r="D34" i="102"/>
  <c r="F36" i="2"/>
  <c r="U36" i="2"/>
  <c r="C31" i="66"/>
  <c r="C40" i="66"/>
  <c r="P35" i="109" l="1"/>
  <c r="Q35" i="109" s="1"/>
  <c r="Y34" i="102"/>
  <c r="W35" i="109"/>
  <c r="Z35" i="109" s="1"/>
  <c r="Z34" i="102"/>
  <c r="O34" i="102"/>
  <c r="D29" i="110"/>
  <c r="C25" i="110"/>
  <c r="G29" i="110"/>
  <c r="F29" i="110"/>
  <c r="E29" i="110"/>
  <c r="F34" i="102"/>
  <c r="C20" i="117" s="1"/>
  <c r="C18" i="117" s="1"/>
  <c r="L34" i="102"/>
  <c r="C37" i="92"/>
  <c r="C37" i="87"/>
  <c r="C39" i="69"/>
  <c r="C34" i="102"/>
  <c r="I34" i="102"/>
  <c r="H20" i="117" l="1"/>
  <c r="B21" i="127"/>
  <c r="X34" i="102"/>
  <c r="J29" i="110"/>
  <c r="G20" i="117"/>
  <c r="F21" i="127" l="1"/>
  <c r="G21" i="127"/>
  <c r="E21" i="127"/>
  <c r="C106" i="84"/>
  <c r="Q41" i="84" l="1"/>
  <c r="C46" i="66"/>
  <c r="C39" i="66"/>
  <c r="C38" i="66"/>
  <c r="C36" i="66"/>
  <c r="Q101" i="84"/>
  <c r="Q100" i="84"/>
  <c r="Q99" i="84"/>
  <c r="Q98" i="84"/>
  <c r="Q97" i="84"/>
  <c r="Q96" i="84"/>
  <c r="Q94" i="84"/>
  <c r="Q93" i="84"/>
  <c r="Q92" i="84"/>
  <c r="Q91" i="84"/>
  <c r="Q90" i="84"/>
  <c r="Q89" i="84"/>
  <c r="Q88" i="84"/>
  <c r="Q85" i="84"/>
  <c r="Q84" i="84"/>
  <c r="Q83" i="84"/>
  <c r="Q82" i="84"/>
  <c r="Q81" i="84"/>
  <c r="Q80" i="84"/>
  <c r="Q72" i="84"/>
  <c r="Q71" i="84"/>
  <c r="Q70" i="84"/>
  <c r="Q69" i="84"/>
  <c r="Q79" i="84"/>
  <c r="Q78" i="84"/>
  <c r="Q77" i="84"/>
  <c r="Q76" i="84"/>
  <c r="Q68" i="84"/>
  <c r="Q75" i="84"/>
  <c r="Q67" i="84"/>
  <c r="Q64" i="84"/>
  <c r="Q63" i="84"/>
  <c r="Q62" i="84"/>
  <c r="Q59" i="84"/>
  <c r="Q57" i="84"/>
  <c r="Q58" i="84"/>
  <c r="Q56" i="84"/>
  <c r="Q54" i="84"/>
  <c r="Q55" i="84"/>
  <c r="Q52" i="84"/>
  <c r="Q51" i="84"/>
  <c r="Q50" i="84"/>
  <c r="Q49" i="84"/>
  <c r="Q48" i="84"/>
  <c r="Q38" i="84"/>
  <c r="Q37" i="84"/>
  <c r="Q36" i="84"/>
  <c r="Q35" i="84"/>
  <c r="Q34" i="84"/>
  <c r="Q33" i="84"/>
  <c r="Q32" i="84"/>
  <c r="Q31" i="84"/>
  <c r="Q30" i="84"/>
  <c r="Q29" i="84"/>
  <c r="Q28" i="84"/>
  <c r="Q27" i="84"/>
  <c r="Q26" i="84"/>
  <c r="Q25" i="84"/>
  <c r="Q24" i="84"/>
  <c r="Q23" i="84"/>
  <c r="Q22" i="84"/>
  <c r="Q21" i="84"/>
  <c r="Q20" i="84"/>
  <c r="Q19" i="84"/>
  <c r="Q18" i="84"/>
  <c r="Q17" i="84"/>
  <c r="Q16" i="84"/>
  <c r="Q15" i="84"/>
  <c r="Q14" i="84"/>
  <c r="Q13" i="84"/>
  <c r="Q12" i="84"/>
  <c r="Q53" i="84" l="1"/>
  <c r="Q66" i="84"/>
  <c r="Q74" i="84"/>
  <c r="Q47" i="84"/>
  <c r="Q46" i="84" s="1"/>
  <c r="D19" i="78"/>
  <c r="D18" i="78"/>
  <c r="D17" i="78"/>
  <c r="D16" i="78"/>
  <c r="D15" i="78"/>
  <c r="D14" i="78"/>
  <c r="D13" i="78"/>
  <c r="D12" i="78"/>
  <c r="D11" i="78"/>
  <c r="E24" i="101" l="1"/>
  <c r="O20" i="63" l="1"/>
  <c r="O18" i="63"/>
  <c r="C35" i="66" l="1"/>
  <c r="C32" i="66" s="1"/>
  <c r="C26" i="94" l="1"/>
  <c r="C25" i="94"/>
  <c r="C26" i="88"/>
  <c r="C25" i="88"/>
  <c r="C26" i="71"/>
  <c r="C25" i="71"/>
  <c r="E31" i="102" l="1"/>
  <c r="D31" i="102"/>
  <c r="L19" i="63" l="1"/>
  <c r="CS25" i="75" l="1"/>
  <c r="DA25" i="75"/>
  <c r="S19" i="65" l="1"/>
  <c r="S18" i="65"/>
  <c r="AG25" i="75" l="1"/>
  <c r="AO25" i="75"/>
  <c r="BM25" i="75"/>
  <c r="BU25" i="75"/>
  <c r="CC25" i="75"/>
  <c r="CK25" i="75"/>
  <c r="S10" i="65" l="1"/>
  <c r="BE25" i="75"/>
  <c r="S17" i="65"/>
  <c r="S13" i="65"/>
  <c r="S16" i="65"/>
  <c r="S14" i="65"/>
  <c r="S15" i="65"/>
  <c r="S11" i="65"/>
  <c r="C48" i="66" l="1"/>
  <c r="C49" i="66"/>
  <c r="C23" i="66"/>
  <c r="C22" i="66"/>
  <c r="C21" i="66"/>
  <c r="C41" i="66" l="1"/>
  <c r="C30" i="66" s="1"/>
  <c r="C20" i="66"/>
  <c r="CN34" i="75" l="1"/>
  <c r="T34" i="75"/>
  <c r="CX10" i="75"/>
  <c r="CX45" i="75" s="1"/>
  <c r="CP10" i="75"/>
  <c r="CP45" i="75" s="1"/>
  <c r="CH10" i="75"/>
  <c r="CH45" i="75" s="1"/>
  <c r="BZ10" i="75"/>
  <c r="BZ45" i="75" s="1"/>
  <c r="BR10" i="75"/>
  <c r="BR45" i="75" s="1"/>
  <c r="BJ10" i="75"/>
  <c r="BJ45" i="75" s="1"/>
  <c r="BB10" i="75"/>
  <c r="BB45" i="75" s="1"/>
  <c r="AT10" i="75"/>
  <c r="AT45" i="75" s="1"/>
  <c r="AL10" i="75"/>
  <c r="AL45" i="75" s="1"/>
  <c r="AD10" i="75"/>
  <c r="AD45" i="75" s="1"/>
  <c r="V10" i="75"/>
  <c r="N10" i="75"/>
  <c r="AM30" i="63"/>
  <c r="AM29" i="63"/>
  <c r="AM28" i="63"/>
  <c r="AM26" i="63"/>
  <c r="AM25" i="63"/>
  <c r="AM23" i="63"/>
  <c r="AM22" i="63"/>
  <c r="AM20" i="63"/>
  <c r="AM19" i="63"/>
  <c r="AM18" i="63"/>
  <c r="AJ30" i="63"/>
  <c r="AJ29" i="63"/>
  <c r="AJ28" i="63"/>
  <c r="AJ26" i="63"/>
  <c r="AJ25" i="63"/>
  <c r="AJ23" i="63"/>
  <c r="AJ22" i="63"/>
  <c r="AJ20" i="63"/>
  <c r="AJ19" i="63"/>
  <c r="AJ18" i="63"/>
  <c r="AG30" i="63"/>
  <c r="AG29" i="63"/>
  <c r="AG28" i="63"/>
  <c r="AG26" i="63"/>
  <c r="AG25" i="63"/>
  <c r="AG23" i="63"/>
  <c r="AG22" i="63"/>
  <c r="AG20" i="63"/>
  <c r="AG19" i="63"/>
  <c r="AG18" i="63"/>
  <c r="AD30" i="63"/>
  <c r="AD29" i="63"/>
  <c r="AD28" i="63"/>
  <c r="AD26" i="63"/>
  <c r="AD25" i="63"/>
  <c r="AD23" i="63"/>
  <c r="AD22" i="63"/>
  <c r="AD20" i="63"/>
  <c r="AD19" i="63"/>
  <c r="AD18" i="63"/>
  <c r="AA30" i="63"/>
  <c r="AA29" i="63"/>
  <c r="AA28" i="63"/>
  <c r="AA26" i="63"/>
  <c r="AA25" i="63"/>
  <c r="AA20" i="63"/>
  <c r="AA19" i="63"/>
  <c r="AA18" i="63"/>
  <c r="X29" i="63"/>
  <c r="X26" i="63"/>
  <c r="X25" i="63"/>
  <c r="X20" i="63"/>
  <c r="X19" i="63"/>
  <c r="X18" i="63"/>
  <c r="U30" i="63"/>
  <c r="U29" i="63"/>
  <c r="U28" i="63"/>
  <c r="U26" i="63"/>
  <c r="U25" i="63"/>
  <c r="U20" i="63"/>
  <c r="U19" i="63"/>
  <c r="U18" i="63"/>
  <c r="R30" i="63"/>
  <c r="R29" i="63"/>
  <c r="R28" i="63"/>
  <c r="R26" i="63"/>
  <c r="R25" i="63"/>
  <c r="T18" i="63"/>
  <c r="O30" i="63"/>
  <c r="O29" i="63"/>
  <c r="O28" i="63"/>
  <c r="O26" i="63"/>
  <c r="O25" i="63"/>
  <c r="O23" i="63"/>
  <c r="O22" i="63"/>
  <c r="Q20" i="63"/>
  <c r="O19" i="63"/>
  <c r="L30" i="63"/>
  <c r="L29" i="63"/>
  <c r="L28" i="63"/>
  <c r="L26" i="63"/>
  <c r="L25" i="63"/>
  <c r="L23" i="63"/>
  <c r="L22" i="63"/>
  <c r="L20" i="63"/>
  <c r="N19" i="63"/>
  <c r="L18" i="63"/>
  <c r="I30" i="63"/>
  <c r="I29" i="63"/>
  <c r="I28" i="63"/>
  <c r="I26" i="63"/>
  <c r="I25" i="63"/>
  <c r="I23" i="63"/>
  <c r="I22" i="63"/>
  <c r="I20" i="63"/>
  <c r="I19" i="63"/>
  <c r="I18" i="63"/>
  <c r="I8" i="63"/>
  <c r="I9" i="63"/>
  <c r="I10" i="63"/>
  <c r="I11" i="63"/>
  <c r="I12" i="63"/>
  <c r="I13" i="63"/>
  <c r="I14" i="63"/>
  <c r="I15" i="63"/>
  <c r="I16" i="63"/>
  <c r="I31" i="63"/>
  <c r="F30" i="63"/>
  <c r="F29" i="63"/>
  <c r="F28" i="63"/>
  <c r="F26" i="63"/>
  <c r="F25" i="63"/>
  <c r="F23" i="63"/>
  <c r="F22" i="63"/>
  <c r="F20" i="63"/>
  <c r="F19" i="63"/>
  <c r="F18" i="63"/>
  <c r="AO29" i="63"/>
  <c r="N22" i="63"/>
  <c r="Q10" i="75" l="1"/>
  <c r="N45" i="75"/>
  <c r="Y10" i="75"/>
  <c r="V45" i="75"/>
  <c r="H22" i="63"/>
  <c r="H28" i="63"/>
  <c r="K16" i="63"/>
  <c r="K12" i="63"/>
  <c r="K8" i="63"/>
  <c r="K22" i="63"/>
  <c r="N25" i="63"/>
  <c r="Q23" i="63"/>
  <c r="T26" i="63"/>
  <c r="W18" i="63"/>
  <c r="W26" i="63"/>
  <c r="Z18" i="63"/>
  <c r="Z26" i="63"/>
  <c r="AC20" i="63"/>
  <c r="AC29" i="63"/>
  <c r="AF20" i="63"/>
  <c r="AF26" i="63"/>
  <c r="AI18" i="63"/>
  <c r="AI23" i="63"/>
  <c r="AI29" i="63"/>
  <c r="AL20" i="63"/>
  <c r="AL26" i="63"/>
  <c r="AO18" i="63"/>
  <c r="AO23" i="63"/>
  <c r="K15" i="63"/>
  <c r="K11" i="63"/>
  <c r="K18" i="63"/>
  <c r="K23" i="63"/>
  <c r="K29" i="63"/>
  <c r="N20" i="63"/>
  <c r="N26" i="63"/>
  <c r="Q19" i="63"/>
  <c r="Q25" i="63"/>
  <c r="Q30" i="63"/>
  <c r="T28" i="63"/>
  <c r="W19" i="63"/>
  <c r="W28" i="63"/>
  <c r="Z29" i="63"/>
  <c r="AC25" i="63"/>
  <c r="AC30" i="63"/>
  <c r="AF22" i="63"/>
  <c r="AF28" i="63"/>
  <c r="AI19" i="63"/>
  <c r="AI25" i="63"/>
  <c r="AI30" i="63"/>
  <c r="AL22" i="63"/>
  <c r="AL28" i="63"/>
  <c r="AO19" i="63"/>
  <c r="AO25" i="63"/>
  <c r="AO30" i="63"/>
  <c r="H23" i="63"/>
  <c r="H19" i="63"/>
  <c r="H25" i="63"/>
  <c r="H30" i="63"/>
  <c r="K14" i="63"/>
  <c r="K10" i="63"/>
  <c r="K30" i="63"/>
  <c r="T29" i="63"/>
  <c r="W20" i="63"/>
  <c r="W29" i="63"/>
  <c r="Z20" i="63"/>
  <c r="AC18" i="63"/>
  <c r="AC26" i="63"/>
  <c r="AF18" i="63"/>
  <c r="AF23" i="63"/>
  <c r="AF29" i="63"/>
  <c r="AI20" i="63"/>
  <c r="AI26" i="63"/>
  <c r="AL18" i="63"/>
  <c r="AL23" i="63"/>
  <c r="AL29" i="63"/>
  <c r="AO20" i="63"/>
  <c r="AO26" i="63"/>
  <c r="H20" i="63"/>
  <c r="H26" i="63"/>
  <c r="K31" i="63"/>
  <c r="K13" i="63"/>
  <c r="K9" i="63"/>
  <c r="K20" i="63"/>
  <c r="K26" i="63"/>
  <c r="N18" i="63"/>
  <c r="N23" i="63"/>
  <c r="N29" i="63"/>
  <c r="Q28" i="63"/>
  <c r="W25" i="63"/>
  <c r="W30" i="63"/>
  <c r="Z25" i="63"/>
  <c r="AC19" i="63"/>
  <c r="AC28" i="63"/>
  <c r="AF19" i="63"/>
  <c r="AF25" i="63"/>
  <c r="AF30" i="63"/>
  <c r="AI28" i="63"/>
  <c r="AL19" i="63"/>
  <c r="AL25" i="63"/>
  <c r="AL30" i="63"/>
  <c r="AO10" i="75"/>
  <c r="AN10" i="75"/>
  <c r="BE10" i="75"/>
  <c r="BD10" i="75"/>
  <c r="BU10" i="75"/>
  <c r="BT10" i="75"/>
  <c r="CK10" i="75"/>
  <c r="CJ10" i="75"/>
  <c r="DA10" i="75"/>
  <c r="CZ10" i="75"/>
  <c r="AG10" i="75"/>
  <c r="AF10" i="75"/>
  <c r="AW10" i="75"/>
  <c r="AV10" i="75"/>
  <c r="BM10" i="75"/>
  <c r="BL10" i="75"/>
  <c r="CC10" i="75"/>
  <c r="CB10" i="75"/>
  <c r="CS10" i="75"/>
  <c r="CR10" i="75"/>
  <c r="AG24" i="63"/>
  <c r="O24" i="63"/>
  <c r="Q26" i="63"/>
  <c r="L21" i="63"/>
  <c r="L17" i="63"/>
  <c r="AG17" i="63"/>
  <c r="U17" i="63"/>
  <c r="AM17" i="63"/>
  <c r="I24" i="63"/>
  <c r="Z10" i="75"/>
  <c r="AP10" i="75"/>
  <c r="BF10" i="75"/>
  <c r="BV10" i="75"/>
  <c r="CL10" i="75"/>
  <c r="DB10" i="75"/>
  <c r="AH28" i="75"/>
  <c r="AG28" i="75"/>
  <c r="E10" i="78" s="1"/>
  <c r="R10" i="75"/>
  <c r="AH10" i="75"/>
  <c r="AX10" i="75"/>
  <c r="BN10" i="75"/>
  <c r="CD10" i="75"/>
  <c r="CT10" i="75"/>
  <c r="AP28" i="75"/>
  <c r="AO28" i="75"/>
  <c r="CT28" i="75"/>
  <c r="CS28" i="75"/>
  <c r="Z28" i="75"/>
  <c r="Y28" i="75"/>
  <c r="E9" i="78" s="1"/>
  <c r="AX28" i="75"/>
  <c r="AW28" i="75"/>
  <c r="DB28" i="75"/>
  <c r="DA28" i="75"/>
  <c r="I27" i="63"/>
  <c r="AI27" i="63"/>
  <c r="R24" i="63"/>
  <c r="N24" i="63"/>
  <c r="F24" i="63"/>
  <c r="AD27" i="63"/>
  <c r="L24" i="63"/>
  <c r="K25" i="63"/>
  <c r="K24" i="63" s="1"/>
  <c r="O17" i="63"/>
  <c r="AD17" i="63"/>
  <c r="T25" i="63"/>
  <c r="T24" i="63" s="1"/>
  <c r="AJ24" i="63"/>
  <c r="F17" i="63"/>
  <c r="H18" i="63"/>
  <c r="H17" i="63" s="1"/>
  <c r="F27" i="63"/>
  <c r="H29" i="63"/>
  <c r="H27" i="63" s="1"/>
  <c r="K28" i="63"/>
  <c r="K27" i="63" s="1"/>
  <c r="N30" i="63"/>
  <c r="L27" i="63"/>
  <c r="Q22" i="63"/>
  <c r="Q21" i="63" s="1"/>
  <c r="C22" i="63"/>
  <c r="T19" i="63"/>
  <c r="T17" i="63" s="1"/>
  <c r="R17" i="63"/>
  <c r="T30" i="63"/>
  <c r="T27" i="63" s="1"/>
  <c r="R27" i="63"/>
  <c r="Z19" i="63"/>
  <c r="Z17" i="63" s="1"/>
  <c r="X17" i="63"/>
  <c r="AI22" i="63"/>
  <c r="AI21" i="63" s="1"/>
  <c r="AG21" i="63"/>
  <c r="AO22" i="63"/>
  <c r="AO21" i="63" s="1"/>
  <c r="AM21" i="63"/>
  <c r="AO28" i="63"/>
  <c r="AO27" i="63" s="1"/>
  <c r="AM27" i="63"/>
  <c r="AF27" i="63"/>
  <c r="AM24" i="63"/>
  <c r="AL27" i="63"/>
  <c r="AL21" i="63"/>
  <c r="AJ17" i="63"/>
  <c r="C29" i="63"/>
  <c r="AJ27" i="63"/>
  <c r="AJ21" i="63"/>
  <c r="AG27" i="63"/>
  <c r="AI24" i="63"/>
  <c r="AF24" i="63"/>
  <c r="AD21" i="63"/>
  <c r="AC24" i="63"/>
  <c r="AC17" i="63"/>
  <c r="AA24" i="63"/>
  <c r="AA17" i="63"/>
  <c r="AA27" i="63"/>
  <c r="C25" i="63"/>
  <c r="X24" i="63"/>
  <c r="Z24" i="63"/>
  <c r="U24" i="63"/>
  <c r="U27" i="63"/>
  <c r="Q29" i="63"/>
  <c r="Q27" i="63" s="1"/>
  <c r="O21" i="63"/>
  <c r="Q18" i="63"/>
  <c r="Q17" i="63" s="1"/>
  <c r="O27" i="63"/>
  <c r="C20" i="63"/>
  <c r="N28" i="63"/>
  <c r="I21" i="63"/>
  <c r="C18" i="63"/>
  <c r="AO24" i="63"/>
  <c r="C26" i="63"/>
  <c r="AO17" i="63"/>
  <c r="AL24" i="63"/>
  <c r="AL17" i="63"/>
  <c r="AD24" i="63"/>
  <c r="AF21" i="63"/>
  <c r="AC27" i="63"/>
  <c r="C19" i="63"/>
  <c r="W27" i="63"/>
  <c r="W24" i="63"/>
  <c r="W17" i="63"/>
  <c r="C23" i="63"/>
  <c r="N21" i="63"/>
  <c r="N17" i="63"/>
  <c r="K21" i="63"/>
  <c r="I17" i="63"/>
  <c r="K19" i="63"/>
  <c r="K7" i="63"/>
  <c r="I7" i="63"/>
  <c r="E23" i="63"/>
  <c r="H24" i="63"/>
  <c r="H21" i="63"/>
  <c r="F21" i="63"/>
  <c r="E20" i="63"/>
  <c r="AJ33" i="129" l="1"/>
  <c r="AL33" i="129" s="1"/>
  <c r="AJ33" i="124"/>
  <c r="AL33" i="124" s="1"/>
  <c r="L33" i="129"/>
  <c r="L33" i="124"/>
  <c r="N33" i="124" s="1"/>
  <c r="U33" i="129"/>
  <c r="U33" i="124"/>
  <c r="W33" i="124" s="1"/>
  <c r="AD33" i="129"/>
  <c r="AF33" i="129" s="1"/>
  <c r="AD33" i="124"/>
  <c r="AF33" i="124" s="1"/>
  <c r="AM33" i="129"/>
  <c r="AO33" i="129" s="1"/>
  <c r="AM33" i="124"/>
  <c r="AO33" i="124" s="1"/>
  <c r="O33" i="129"/>
  <c r="O33" i="124"/>
  <c r="Q33" i="124" s="1"/>
  <c r="X33" i="129"/>
  <c r="X33" i="124"/>
  <c r="Z33" i="124" s="1"/>
  <c r="AG33" i="129"/>
  <c r="AI33" i="129" s="1"/>
  <c r="AG33" i="124"/>
  <c r="AI33" i="124" s="1"/>
  <c r="AF17" i="63"/>
  <c r="E26" i="63"/>
  <c r="R33" i="129"/>
  <c r="R33" i="124"/>
  <c r="T33" i="124" s="1"/>
  <c r="AA33" i="129"/>
  <c r="AC33" i="129" s="1"/>
  <c r="AA33" i="124"/>
  <c r="AC33" i="124" s="1"/>
  <c r="F45" i="75"/>
  <c r="G9" i="128"/>
  <c r="G9" i="98"/>
  <c r="AI17" i="63"/>
  <c r="Q24" i="63"/>
  <c r="E25" i="63"/>
  <c r="E24" i="63" s="1"/>
  <c r="S44" i="1" s="1"/>
  <c r="E19" i="63"/>
  <c r="E18" i="63"/>
  <c r="E29" i="63"/>
  <c r="D29" i="63" s="1"/>
  <c r="E22" i="63"/>
  <c r="D22" i="63" s="1"/>
  <c r="C21" i="63"/>
  <c r="N45" i="1" s="1"/>
  <c r="N27" i="63"/>
  <c r="K17" i="63"/>
  <c r="K5" i="63" s="1"/>
  <c r="C24" i="63"/>
  <c r="C17" i="63"/>
  <c r="I5" i="63"/>
  <c r="D26" i="63"/>
  <c r="D23" i="63"/>
  <c r="Z33" i="129" l="1"/>
  <c r="W33" i="129"/>
  <c r="T33" i="129"/>
  <c r="Q33" i="129"/>
  <c r="N33" i="129"/>
  <c r="C9" i="128"/>
  <c r="C9" i="98"/>
  <c r="E9" i="128"/>
  <c r="E9" i="98"/>
  <c r="C9" i="65"/>
  <c r="K6" i="63"/>
  <c r="Y21" i="125"/>
  <c r="L21" i="119"/>
  <c r="K20" i="108"/>
  <c r="AA21" i="107"/>
  <c r="AA119" i="107" s="1"/>
  <c r="AA120" i="107" s="1"/>
  <c r="I6" i="63"/>
  <c r="K51" i="63"/>
  <c r="K9" i="118"/>
  <c r="W21" i="119"/>
  <c r="S45" i="1"/>
  <c r="E17" i="63"/>
  <c r="D25" i="63"/>
  <c r="N9" i="118"/>
  <c r="E21" i="63"/>
  <c r="F9" i="98" l="1"/>
  <c r="F9" i="128"/>
  <c r="Y119" i="125"/>
  <c r="AD21" i="125"/>
  <c r="AG21" i="125" s="1"/>
  <c r="S43" i="1"/>
  <c r="R43" i="1" s="1"/>
  <c r="AF10" i="118"/>
  <c r="Z9" i="118"/>
  <c r="M20" i="119"/>
  <c r="AB20" i="107"/>
  <c r="M21" i="119"/>
  <c r="Y45" i="1"/>
  <c r="AB21" i="107"/>
  <c r="W20" i="119"/>
  <c r="K15" i="2"/>
  <c r="AI10" i="118"/>
  <c r="U13" i="109" l="1"/>
  <c r="C6" i="142"/>
  <c r="Z120" i="125"/>
  <c r="Y120" i="125"/>
  <c r="AD120" i="125" s="1"/>
  <c r="AD119" i="125"/>
  <c r="AG119" i="125" s="1"/>
  <c r="AB119" i="107"/>
  <c r="AB91" i="107"/>
  <c r="N20" i="119"/>
  <c r="AC20" i="107"/>
  <c r="AC91" i="107" s="1"/>
  <c r="C9" i="99"/>
  <c r="N21" i="119"/>
  <c r="AC21" i="107"/>
  <c r="AC119" i="107" s="1"/>
  <c r="P20" i="108"/>
  <c r="M20" i="108"/>
  <c r="E48" i="1"/>
  <c r="F48" i="1" s="1"/>
  <c r="AC49" i="1"/>
  <c r="AD49" i="1" s="1"/>
  <c r="AC48" i="1"/>
  <c r="AD48" i="1" s="1"/>
  <c r="AA48" i="1"/>
  <c r="W49" i="1"/>
  <c r="X49" i="1" s="1"/>
  <c r="W48" i="1"/>
  <c r="X48" i="1" s="1"/>
  <c r="U48" i="1"/>
  <c r="Q49" i="1"/>
  <c r="R49" i="1" s="1"/>
  <c r="O49" i="1"/>
  <c r="Q48" i="1"/>
  <c r="R48" i="1" s="1"/>
  <c r="K49" i="1"/>
  <c r="K48" i="1"/>
  <c r="AC92" i="107" l="1"/>
  <c r="AE120" i="125"/>
  <c r="L49" i="1"/>
  <c r="L48" i="1"/>
  <c r="AB92" i="107"/>
  <c r="AB120" i="107"/>
  <c r="O20" i="119"/>
  <c r="AD20" i="107"/>
  <c r="AD91" i="107" s="1"/>
  <c r="AD92" i="107" s="1"/>
  <c r="AG44" i="1"/>
  <c r="AI44" i="1"/>
  <c r="AJ44" i="1" s="1"/>
  <c r="AC120" i="107"/>
  <c r="P19" i="108"/>
  <c r="M19" i="108"/>
  <c r="O21" i="119"/>
  <c r="AD21" i="107"/>
  <c r="AD119" i="107" s="1"/>
  <c r="AK45" i="1"/>
  <c r="AI45" i="1"/>
  <c r="AG45" i="1"/>
  <c r="O48" i="1"/>
  <c r="H10" i="102"/>
  <c r="S9" i="118" l="1"/>
  <c r="R9" i="118" s="1"/>
  <c r="AC15" i="2"/>
  <c r="S9" i="102"/>
  <c r="P20" i="119"/>
  <c r="AE20" i="107"/>
  <c r="AF20" i="107" s="1"/>
  <c r="AI20" i="107" s="1"/>
  <c r="AM44" i="1"/>
  <c r="AO44" i="1"/>
  <c r="AP44" i="1" s="1"/>
  <c r="AD120" i="107"/>
  <c r="AJ45" i="1"/>
  <c r="P21" i="119"/>
  <c r="R21" i="119" s="1"/>
  <c r="AE21" i="107"/>
  <c r="AE119" i="107" s="1"/>
  <c r="AF119" i="107" s="1"/>
  <c r="AI119" i="107" s="1"/>
  <c r="AO45" i="1"/>
  <c r="AM45" i="1"/>
  <c r="AQ45" i="1"/>
  <c r="O24" i="102"/>
  <c r="AE45" i="1"/>
  <c r="Y16" i="2"/>
  <c r="Q23" i="118" s="1"/>
  <c r="Y15" i="2"/>
  <c r="Q22" i="118" s="1"/>
  <c r="N23" i="118"/>
  <c r="N22" i="118"/>
  <c r="U41" i="2"/>
  <c r="W36" i="109" s="1"/>
  <c r="Y37" i="2"/>
  <c r="Q35" i="118" s="1"/>
  <c r="P41" i="2"/>
  <c r="V36" i="109" s="1"/>
  <c r="N35" i="118"/>
  <c r="Q10" i="102"/>
  <c r="Q9" i="102"/>
  <c r="N9" i="102"/>
  <c r="O36" i="102"/>
  <c r="O17" i="102"/>
  <c r="L36" i="102"/>
  <c r="L17" i="102"/>
  <c r="N10" i="102"/>
  <c r="AE57" i="1"/>
  <c r="AB57" i="1"/>
  <c r="AB55" i="1" s="1"/>
  <c r="AD51" i="1"/>
  <c r="P10" i="118" s="1"/>
  <c r="O10" i="118" s="1"/>
  <c r="AA51" i="1"/>
  <c r="AE50" i="1"/>
  <c r="AB50" i="1"/>
  <c r="AC50" i="1" s="1"/>
  <c r="AA50" i="1"/>
  <c r="AB46" i="1"/>
  <c r="AC46" i="1" s="1"/>
  <c r="AD46" i="1" s="1"/>
  <c r="AC45" i="1"/>
  <c r="AA45" i="1"/>
  <c r="AB44" i="1"/>
  <c r="AA44" i="1"/>
  <c r="AD43" i="1"/>
  <c r="AC43" i="1" s="1"/>
  <c r="AA43" i="1"/>
  <c r="AC42" i="1"/>
  <c r="AD42" i="1" s="1"/>
  <c r="AA42" i="1"/>
  <c r="AB41" i="1"/>
  <c r="AC41" i="1" s="1"/>
  <c r="AA41" i="1"/>
  <c r="AE40" i="1"/>
  <c r="AB40" i="1"/>
  <c r="AC40" i="1" s="1"/>
  <c r="AA40" i="1"/>
  <c r="AB39" i="1"/>
  <c r="AB38" i="1"/>
  <c r="AB32" i="1"/>
  <c r="AC31" i="1"/>
  <c r="AD31" i="1" s="1"/>
  <c r="AC30" i="1"/>
  <c r="AD30" i="1" s="1"/>
  <c r="AC29" i="1"/>
  <c r="AD29" i="1" s="1"/>
  <c r="AC28" i="1"/>
  <c r="AD28" i="1" s="1"/>
  <c r="AE27" i="1"/>
  <c r="AB27" i="1"/>
  <c r="Z27" i="1"/>
  <c r="AA12" i="125" s="1"/>
  <c r="AC26" i="1"/>
  <c r="AD26" i="1" s="1"/>
  <c r="AC25" i="1"/>
  <c r="AD25" i="1" s="1"/>
  <c r="AC24" i="1"/>
  <c r="AD24" i="1" s="1"/>
  <c r="AC23" i="1"/>
  <c r="AD23" i="1" s="1"/>
  <c r="AC22" i="1"/>
  <c r="AC11" i="107"/>
  <c r="AC19" i="1"/>
  <c r="AD19" i="1" s="1"/>
  <c r="AC18" i="1"/>
  <c r="AD18" i="1" s="1"/>
  <c r="AC17" i="1"/>
  <c r="AD17" i="1" s="1"/>
  <c r="AC16" i="1"/>
  <c r="AE15" i="1"/>
  <c r="Z15" i="1"/>
  <c r="W63" i="1"/>
  <c r="T63" i="1" s="1"/>
  <c r="Y57" i="1"/>
  <c r="V57" i="1"/>
  <c r="V55" i="1" s="1"/>
  <c r="X51" i="1"/>
  <c r="U51" i="1"/>
  <c r="Y50" i="1"/>
  <c r="V50" i="1"/>
  <c r="W50" i="1" s="1"/>
  <c r="W47" i="1"/>
  <c r="X47" i="1" s="1"/>
  <c r="V46" i="1"/>
  <c r="W46" i="1" s="1"/>
  <c r="X46" i="1" s="1"/>
  <c r="W45" i="1"/>
  <c r="U45" i="1"/>
  <c r="V44" i="1"/>
  <c r="W44" i="1" s="1"/>
  <c r="X44" i="1" s="1"/>
  <c r="U44" i="1"/>
  <c r="X43" i="1"/>
  <c r="W43" i="1" s="1"/>
  <c r="W42" i="1"/>
  <c r="X42" i="1" s="1"/>
  <c r="U42" i="1"/>
  <c r="V41" i="1"/>
  <c r="W41" i="1" s="1"/>
  <c r="U41" i="1"/>
  <c r="V40" i="1"/>
  <c r="W40" i="1" s="1"/>
  <c r="V39" i="1"/>
  <c r="V38" i="1"/>
  <c r="V32" i="1"/>
  <c r="W31" i="1"/>
  <c r="X31" i="1" s="1"/>
  <c r="W30" i="1"/>
  <c r="W29" i="1"/>
  <c r="X29" i="1" s="1"/>
  <c r="W28" i="1"/>
  <c r="X28" i="1" s="1"/>
  <c r="Y27" i="1"/>
  <c r="V27" i="1"/>
  <c r="T27" i="1"/>
  <c r="Z12" i="125" s="1"/>
  <c r="W26" i="1"/>
  <c r="X26" i="1" s="1"/>
  <c r="W25" i="1"/>
  <c r="X25" i="1" s="1"/>
  <c r="W24" i="1"/>
  <c r="X24" i="1" s="1"/>
  <c r="W23" i="1"/>
  <c r="W22" i="1"/>
  <c r="AB11" i="107"/>
  <c r="V15" i="1"/>
  <c r="W19" i="1"/>
  <c r="X19" i="1" s="1"/>
  <c r="W18" i="1"/>
  <c r="X18" i="1" s="1"/>
  <c r="W17" i="1"/>
  <c r="W16" i="1"/>
  <c r="Y15" i="1"/>
  <c r="T15" i="1"/>
  <c r="Z10" i="125" s="1"/>
  <c r="AB148" i="107" l="1"/>
  <c r="Z148" i="125"/>
  <c r="M9" i="118"/>
  <c r="S15" i="2"/>
  <c r="M22" i="102" s="1"/>
  <c r="M9" i="102"/>
  <c r="M10" i="118"/>
  <c r="M10" i="102"/>
  <c r="S16" i="2"/>
  <c r="M23" i="102" s="1"/>
  <c r="AC44" i="1"/>
  <c r="AD44" i="1" s="1"/>
  <c r="R9" i="102"/>
  <c r="AL10" i="102"/>
  <c r="AO10" i="102"/>
  <c r="Z100" i="125"/>
  <c r="Z64" i="125"/>
  <c r="N10" i="119"/>
  <c r="AA10" i="125"/>
  <c r="AA100" i="125"/>
  <c r="AA64" i="125"/>
  <c r="Z59" i="125"/>
  <c r="Z58" i="125" s="1"/>
  <c r="Z79" i="125"/>
  <c r="X36" i="102"/>
  <c r="AB156" i="107"/>
  <c r="AF21" i="107"/>
  <c r="AI21" i="107" s="1"/>
  <c r="Z10" i="102"/>
  <c r="Q20" i="119"/>
  <c r="R20" i="119"/>
  <c r="S22" i="118"/>
  <c r="R22" i="118" s="1"/>
  <c r="Z15" i="2"/>
  <c r="S22" i="102"/>
  <c r="AE91" i="107"/>
  <c r="AF91" i="107" s="1"/>
  <c r="AI91" i="107" s="1"/>
  <c r="V9" i="118"/>
  <c r="U9" i="118" s="1"/>
  <c r="V9" i="102"/>
  <c r="AH15" i="2"/>
  <c r="F31" i="110"/>
  <c r="G31" i="110"/>
  <c r="AE120" i="107"/>
  <c r="AG120" i="107" s="1"/>
  <c r="AB12" i="107"/>
  <c r="AB100" i="107" s="1"/>
  <c r="M12" i="119"/>
  <c r="F19" i="110"/>
  <c r="Z63" i="1"/>
  <c r="G19" i="110"/>
  <c r="AB10" i="107"/>
  <c r="AB59" i="107" s="1"/>
  <c r="M10" i="119"/>
  <c r="Q21" i="119"/>
  <c r="AP45" i="1"/>
  <c r="AC12" i="107"/>
  <c r="AC100" i="107" s="1"/>
  <c r="N12" i="119"/>
  <c r="AB82" i="107"/>
  <c r="AB60" i="107"/>
  <c r="AB79" i="107"/>
  <c r="AC82" i="107"/>
  <c r="AC60" i="107"/>
  <c r="L10" i="118"/>
  <c r="L9" i="118"/>
  <c r="AC10" i="107"/>
  <c r="AG15" i="1"/>
  <c r="AG27" i="1"/>
  <c r="X22" i="1"/>
  <c r="W21" i="1"/>
  <c r="AD22" i="1"/>
  <c r="AD21" i="1" s="1"/>
  <c r="AC21" i="1"/>
  <c r="W56" i="1"/>
  <c r="X56" i="1" s="1"/>
  <c r="F14" i="110"/>
  <c r="G14" i="110"/>
  <c r="X45" i="1"/>
  <c r="W51" i="1"/>
  <c r="X16" i="2"/>
  <c r="P23" i="118" s="1"/>
  <c r="O23" i="118" s="1"/>
  <c r="M22" i="118"/>
  <c r="Q23" i="102"/>
  <c r="Q35" i="102"/>
  <c r="Q22" i="102"/>
  <c r="AB15" i="1"/>
  <c r="AB13" i="1" s="1"/>
  <c r="AB14" i="1" s="1"/>
  <c r="AC51" i="1"/>
  <c r="Y55" i="1"/>
  <c r="P10" i="102"/>
  <c r="L24" i="102"/>
  <c r="AC39" i="1"/>
  <c r="AD39" i="1" s="1"/>
  <c r="AE55" i="1"/>
  <c r="M23" i="118"/>
  <c r="W39" i="1"/>
  <c r="X39" i="1" s="1"/>
  <c r="AA47" i="1"/>
  <c r="X16" i="1"/>
  <c r="AD16" i="1"/>
  <c r="AC47" i="1"/>
  <c r="AD47" i="1" s="1"/>
  <c r="AD45" i="1"/>
  <c r="W27" i="1"/>
  <c r="X30" i="1"/>
  <c r="X27" i="1" s="1"/>
  <c r="AD27" i="1"/>
  <c r="AC15" i="1"/>
  <c r="AA15" i="1"/>
  <c r="V13" i="1"/>
  <c r="V14" i="1" s="1"/>
  <c r="X23" i="1"/>
  <c r="AA27" i="1"/>
  <c r="AD40" i="1"/>
  <c r="AC27" i="1"/>
  <c r="AC56" i="1"/>
  <c r="AD20" i="1"/>
  <c r="X17" i="1"/>
  <c r="Y40" i="1"/>
  <c r="X40" i="1" s="1"/>
  <c r="Q10" i="119" l="1"/>
  <c r="P9" i="118"/>
  <c r="O9" i="118" s="1"/>
  <c r="X15" i="2"/>
  <c r="P22" i="118" s="1"/>
  <c r="O22" i="118" s="1"/>
  <c r="P9" i="102"/>
  <c r="AC148" i="107"/>
  <c r="AC156" i="107" s="1"/>
  <c r="AC159" i="107" s="1"/>
  <c r="AC161" i="107" s="1"/>
  <c r="AA148" i="125"/>
  <c r="AA156" i="125" s="1"/>
  <c r="AA159" i="125" s="1"/>
  <c r="AA161" i="125" s="1"/>
  <c r="U9" i="102"/>
  <c r="AQ10" i="102"/>
  <c r="Z156" i="125"/>
  <c r="AA79" i="125"/>
  <c r="AA59" i="125"/>
  <c r="AA58" i="125" s="1"/>
  <c r="AA72" i="125"/>
  <c r="AB72" i="125"/>
  <c r="AA80" i="125"/>
  <c r="Z76" i="125"/>
  <c r="AA101" i="125"/>
  <c r="AB101" i="125"/>
  <c r="AF148" i="107"/>
  <c r="AF156" i="107"/>
  <c r="X13" i="109"/>
  <c r="V22" i="118"/>
  <c r="U22" i="118" s="1"/>
  <c r="AE15" i="2"/>
  <c r="Y13" i="109" s="1"/>
  <c r="V22" i="102"/>
  <c r="U22" i="102" s="1"/>
  <c r="AE92" i="107"/>
  <c r="AG92" i="107" s="1"/>
  <c r="AC101" i="107"/>
  <c r="AB64" i="107"/>
  <c r="AC64" i="107"/>
  <c r="AD72" i="107" s="1"/>
  <c r="AD101" i="107"/>
  <c r="Q12" i="119"/>
  <c r="AB76" i="107"/>
  <c r="AC83" i="107"/>
  <c r="AD83" i="107"/>
  <c r="AC79" i="107"/>
  <c r="AC76" i="107" s="1"/>
  <c r="AC59" i="107"/>
  <c r="AC58" i="107" s="1"/>
  <c r="AB58" i="107"/>
  <c r="L23" i="118"/>
  <c r="L22" i="118"/>
  <c r="L22" i="102"/>
  <c r="P22" i="102"/>
  <c r="O22" i="102" s="1"/>
  <c r="P23" i="102"/>
  <c r="U16" i="2"/>
  <c r="W14" i="109" s="1"/>
  <c r="W117" i="109" s="1"/>
  <c r="X118" i="109" s="1"/>
  <c r="X21" i="1"/>
  <c r="U15" i="2"/>
  <c r="W13" i="109" s="1"/>
  <c r="W114" i="109" s="1"/>
  <c r="P15" i="2"/>
  <c r="V13" i="109" s="1"/>
  <c r="O10" i="102"/>
  <c r="P16" i="2"/>
  <c r="V14" i="109" s="1"/>
  <c r="AD15" i="1"/>
  <c r="O9" i="102"/>
  <c r="L9" i="102"/>
  <c r="L10" i="102"/>
  <c r="W15" i="1"/>
  <c r="AD56" i="1"/>
  <c r="X15" i="1"/>
  <c r="AD148" i="125" l="1"/>
  <c r="Z159" i="125"/>
  <c r="AD156" i="125"/>
  <c r="AK10" i="102"/>
  <c r="AN10" i="102"/>
  <c r="AA70" i="125"/>
  <c r="AB70" i="125"/>
  <c r="AA76" i="125"/>
  <c r="AB80" i="125"/>
  <c r="Z13" i="109"/>
  <c r="Y114" i="109"/>
  <c r="X114" i="109"/>
  <c r="AG15" i="2"/>
  <c r="AC72" i="107"/>
  <c r="AC70" i="107"/>
  <c r="AD70" i="107"/>
  <c r="AC77" i="107"/>
  <c r="AD77" i="107"/>
  <c r="AC80" i="107"/>
  <c r="AD80" i="107"/>
  <c r="AB16" i="2"/>
  <c r="AB15" i="2"/>
  <c r="V114" i="109"/>
  <c r="R15" i="2"/>
  <c r="L23" i="102"/>
  <c r="O23" i="102"/>
  <c r="W15" i="2"/>
  <c r="W16" i="2"/>
  <c r="Z161" i="125" l="1"/>
  <c r="AD161" i="125" s="1"/>
  <c r="AD159" i="125"/>
  <c r="AB77" i="125"/>
  <c r="AA77" i="125"/>
  <c r="X115" i="109"/>
  <c r="Y115" i="109"/>
  <c r="K32" i="118"/>
  <c r="V117" i="109"/>
  <c r="W115" i="109"/>
  <c r="U114" i="109"/>
  <c r="V115" i="109" s="1"/>
  <c r="Z114" i="109"/>
  <c r="O16" i="2"/>
  <c r="K51" i="1"/>
  <c r="L51" i="1"/>
  <c r="I32" i="118" l="1"/>
  <c r="G10" i="118"/>
  <c r="F10" i="118" s="1"/>
  <c r="K23" i="118"/>
  <c r="Z23" i="118" s="1"/>
  <c r="X32" i="2"/>
  <c r="M32" i="118"/>
  <c r="N32" i="118"/>
  <c r="Y32" i="2"/>
  <c r="AD32" i="2" s="1"/>
  <c r="AI32" i="2" s="1"/>
  <c r="W118" i="109"/>
  <c r="E35" i="101"/>
  <c r="E14" i="95"/>
  <c r="E14" i="90"/>
  <c r="E14" i="72"/>
  <c r="P32" i="2"/>
  <c r="V30" i="109" s="1"/>
  <c r="G10" i="102"/>
  <c r="K23" i="102"/>
  <c r="Z23" i="102" s="1"/>
  <c r="D33" i="117" l="1"/>
  <c r="L32" i="118"/>
  <c r="AC32" i="2"/>
  <c r="AH32" i="2" s="1"/>
  <c r="P32" i="118"/>
  <c r="Y32" i="118" s="1"/>
  <c r="Q32" i="118"/>
  <c r="Z32" i="118" s="1"/>
  <c r="P32" i="102"/>
  <c r="Q32" i="102"/>
  <c r="T32" i="118"/>
  <c r="U32" i="2"/>
  <c r="W30" i="109" s="1"/>
  <c r="L32" i="102"/>
  <c r="F24" i="110"/>
  <c r="D14" i="110"/>
  <c r="I51" i="1"/>
  <c r="O51" i="1"/>
  <c r="O32" i="118" l="1"/>
  <c r="X32" i="118" s="1"/>
  <c r="S32" i="118"/>
  <c r="R32" i="118" s="1"/>
  <c r="W32" i="2"/>
  <c r="O32" i="102"/>
  <c r="T32" i="102"/>
  <c r="W32" i="118"/>
  <c r="Z32" i="2"/>
  <c r="X30" i="109" s="1"/>
  <c r="S32" i="102"/>
  <c r="V32" i="118"/>
  <c r="G24" i="110"/>
  <c r="U43" i="1"/>
  <c r="U47" i="1"/>
  <c r="AB32" i="2" l="1"/>
  <c r="H24" i="110"/>
  <c r="U32" i="118"/>
  <c r="AE32" i="2"/>
  <c r="Y30" i="109" s="1"/>
  <c r="V32" i="102"/>
  <c r="W32" i="102"/>
  <c r="U54" i="1"/>
  <c r="V54" i="1"/>
  <c r="T52" i="1"/>
  <c r="V53" i="1"/>
  <c r="U53" i="1"/>
  <c r="E12" i="101"/>
  <c r="M28" i="119" l="1"/>
  <c r="Z28" i="125"/>
  <c r="AG32" i="2"/>
  <c r="I24" i="110"/>
  <c r="U32" i="102"/>
  <c r="AB28" i="107"/>
  <c r="AB51" i="107" s="1"/>
  <c r="F7" i="110"/>
  <c r="H23" i="102"/>
  <c r="V52" i="1"/>
  <c r="AB53" i="1"/>
  <c r="AA53" i="1"/>
  <c r="Z52" i="1"/>
  <c r="AA28" i="125" s="1"/>
  <c r="AB54" i="1"/>
  <c r="AA54" i="1"/>
  <c r="AA135" i="125" l="1"/>
  <c r="AA97" i="125"/>
  <c r="AA51" i="125"/>
  <c r="Z97" i="125"/>
  <c r="Z51" i="125"/>
  <c r="Z135" i="125"/>
  <c r="G7" i="110"/>
  <c r="N28" i="119"/>
  <c r="Q28" i="119" s="1"/>
  <c r="AB135" i="107"/>
  <c r="AB97" i="107"/>
  <c r="AC28" i="107"/>
  <c r="AC51" i="107" s="1"/>
  <c r="AG52" i="1"/>
  <c r="AB52" i="1"/>
  <c r="AA52" i="1"/>
  <c r="W52" i="1"/>
  <c r="V12" i="1"/>
  <c r="V64" i="1" s="1"/>
  <c r="AA52" i="125" l="1"/>
  <c r="AB52" i="125"/>
  <c r="AA98" i="125"/>
  <c r="AB98" i="125"/>
  <c r="AA136" i="125"/>
  <c r="AB136" i="125"/>
  <c r="AC52" i="107"/>
  <c r="AD52" i="107"/>
  <c r="AC135" i="107"/>
  <c r="AC97" i="107"/>
  <c r="AB12" i="1"/>
  <c r="AB64" i="1" s="1"/>
  <c r="AC52" i="1"/>
  <c r="X52" i="1"/>
  <c r="E10" i="102"/>
  <c r="AC136" i="107" l="1"/>
  <c r="AD136" i="107"/>
  <c r="AC98" i="107"/>
  <c r="AD98" i="107"/>
  <c r="AD52" i="1"/>
  <c r="E23" i="102"/>
  <c r="F30" i="1"/>
  <c r="F52" i="1"/>
  <c r="E52" i="1"/>
  <c r="F51" i="1"/>
  <c r="D10" i="118" s="1"/>
  <c r="F44" i="1"/>
  <c r="D9" i="118" s="1"/>
  <c r="G37" i="1"/>
  <c r="G34" i="1"/>
  <c r="G33" i="1"/>
  <c r="F56" i="1"/>
  <c r="D13" i="118" s="1"/>
  <c r="E45" i="1"/>
  <c r="C62" i="1"/>
  <c r="G13" i="118" l="1"/>
  <c r="C13" i="118"/>
  <c r="C10" i="118"/>
  <c r="D23" i="118"/>
  <c r="C23" i="118" s="1"/>
  <c r="D22" i="118"/>
  <c r="C9" i="118"/>
  <c r="AN10" i="118"/>
  <c r="AM10" i="118" s="1"/>
  <c r="AQ10" i="118"/>
  <c r="AP10" i="118" s="1"/>
  <c r="AK10" i="118"/>
  <c r="AJ10" i="118" s="1"/>
  <c r="AH10" i="118"/>
  <c r="AG10" i="118" s="1"/>
  <c r="T11" i="86"/>
  <c r="N11" i="86"/>
  <c r="Q11" i="86"/>
  <c r="H11" i="86"/>
  <c r="K11" i="86"/>
  <c r="E11" i="86"/>
  <c r="C18" i="110"/>
  <c r="D10" i="102"/>
  <c r="E51" i="1"/>
  <c r="B12" i="117" l="1"/>
  <c r="B16" i="127"/>
  <c r="C16" i="127" s="1"/>
  <c r="D23" i="102"/>
  <c r="C23" i="102" s="1"/>
  <c r="B25" i="127" s="1"/>
  <c r="F13" i="118"/>
  <c r="C22" i="118"/>
  <c r="C20" i="118" s="1"/>
  <c r="C19" i="118" s="1"/>
  <c r="C18" i="118" s="1"/>
  <c r="D20" i="118"/>
  <c r="D19" i="118" s="1"/>
  <c r="D18" i="118" s="1"/>
  <c r="D12" i="117"/>
  <c r="C12" i="117"/>
  <c r="S11" i="86"/>
  <c r="R11" i="86" s="1"/>
  <c r="P11" i="86"/>
  <c r="O11" i="86" s="1"/>
  <c r="G11" i="86"/>
  <c r="F11" i="86" s="1"/>
  <c r="J11" i="86"/>
  <c r="I11" i="86" s="1"/>
  <c r="G16" i="127" l="1"/>
  <c r="E16" i="127"/>
  <c r="D16" i="127"/>
  <c r="F16" i="127" s="1"/>
  <c r="M11" i="86"/>
  <c r="L11" i="86" s="1"/>
  <c r="F12" i="117"/>
  <c r="H12" i="117"/>
  <c r="G12" i="117"/>
  <c r="E14" i="110" l="1"/>
  <c r="J14" i="110" s="1"/>
  <c r="D41" i="84"/>
  <c r="C41" i="84" s="1"/>
  <c r="E34" i="95" l="1"/>
  <c r="D34" i="95"/>
  <c r="D29" i="95"/>
  <c r="C24" i="94"/>
  <c r="C21" i="94"/>
  <c r="C20" i="94"/>
  <c r="C19" i="94"/>
  <c r="C18" i="94"/>
  <c r="C17" i="94"/>
  <c r="C36" i="93"/>
  <c r="C34" i="93"/>
  <c r="C32" i="93"/>
  <c r="C12" i="92"/>
  <c r="C29" i="92" s="1"/>
  <c r="C11" i="92"/>
  <c r="C28" i="92" s="1"/>
  <c r="E34" i="90"/>
  <c r="D34" i="90"/>
  <c r="D29" i="90"/>
  <c r="C24" i="88"/>
  <c r="C21" i="88"/>
  <c r="C20" i="88"/>
  <c r="C19" i="88"/>
  <c r="C18" i="88"/>
  <c r="C17" i="88"/>
  <c r="C12" i="87"/>
  <c r="C29" i="87" s="1"/>
  <c r="C11" i="87"/>
  <c r="C28" i="87" s="1"/>
  <c r="C24" i="71"/>
  <c r="C12" i="69"/>
  <c r="C11" i="69"/>
  <c r="C34" i="95" l="1"/>
  <c r="C34" i="90"/>
  <c r="F10" i="102" l="1"/>
  <c r="C10" i="102"/>
  <c r="R51" i="1"/>
  <c r="B10" i="117" l="1"/>
  <c r="B14" i="127"/>
  <c r="J10" i="118"/>
  <c r="N16" i="2"/>
  <c r="J10" i="102"/>
  <c r="Y10" i="102" s="1"/>
  <c r="Q51" i="1"/>
  <c r="C111" i="132" l="1"/>
  <c r="C111" i="96"/>
  <c r="I10" i="118"/>
  <c r="X10" i="118" s="1"/>
  <c r="Y10" i="118"/>
  <c r="J23" i="118"/>
  <c r="K16" i="2"/>
  <c r="J23" i="102"/>
  <c r="Y23" i="102" s="1"/>
  <c r="C111" i="84"/>
  <c r="C21" i="70"/>
  <c r="D35" i="101"/>
  <c r="C35" i="101" s="1"/>
  <c r="D14" i="72"/>
  <c r="D14" i="95"/>
  <c r="D14" i="90"/>
  <c r="I10" i="102"/>
  <c r="U14" i="109" l="1"/>
  <c r="C7" i="142"/>
  <c r="C14" i="127"/>
  <c r="D14" i="127"/>
  <c r="F14" i="127" s="1"/>
  <c r="X10" i="102"/>
  <c r="D10" i="117"/>
  <c r="G10" i="117" s="1"/>
  <c r="U117" i="109"/>
  <c r="Z14" i="109"/>
  <c r="I23" i="118"/>
  <c r="X23" i="118" s="1"/>
  <c r="Y23" i="118"/>
  <c r="R16" i="2"/>
  <c r="C10" i="99"/>
  <c r="D11" i="86"/>
  <c r="C11" i="86" s="1"/>
  <c r="C29" i="69"/>
  <c r="C10" i="91"/>
  <c r="M16" i="2"/>
  <c r="C14" i="95"/>
  <c r="C14" i="90"/>
  <c r="E14" i="127" l="1"/>
  <c r="G14" i="127"/>
  <c r="Z117" i="109"/>
  <c r="V118" i="109"/>
  <c r="CD28" i="75"/>
  <c r="AP35" i="75"/>
  <c r="CL28" i="75"/>
  <c r="CZ33" i="75"/>
  <c r="O12" i="130" s="1"/>
  <c r="BT33" i="75"/>
  <c r="K12" i="130" s="1"/>
  <c r="AV33" i="75"/>
  <c r="H12" i="130" s="1"/>
  <c r="CJ33" i="75"/>
  <c r="M12" i="130" s="1"/>
  <c r="CB33" i="75"/>
  <c r="L12" i="130" s="1"/>
  <c r="AF33" i="75"/>
  <c r="F12" i="130" s="1"/>
  <c r="BD33" i="75"/>
  <c r="I12" i="130" s="1"/>
  <c r="AN33" i="75"/>
  <c r="G12" i="130" s="1"/>
  <c r="C22" i="88"/>
  <c r="C22" i="94"/>
  <c r="CK28" i="75" l="1"/>
  <c r="CC28" i="75"/>
  <c r="AO35" i="75"/>
  <c r="BV28" i="75"/>
  <c r="BU28" i="75"/>
  <c r="BF28" i="75"/>
  <c r="BE28" i="75"/>
  <c r="X33" i="75"/>
  <c r="E12" i="130" s="1"/>
  <c r="BU32" i="75"/>
  <c r="BV32" i="75"/>
  <c r="DA35" i="75"/>
  <c r="DB35" i="75"/>
  <c r="CD33" i="75"/>
  <c r="CC33" i="75"/>
  <c r="BF33" i="75"/>
  <c r="BE33" i="75"/>
  <c r="AW33" i="75"/>
  <c r="AX33" i="75"/>
  <c r="AH35" i="75"/>
  <c r="AG35" i="75"/>
  <c r="F10" i="78" s="1"/>
  <c r="CK35" i="75"/>
  <c r="CL35" i="75"/>
  <c r="BV33" i="75"/>
  <c r="BU33" i="75"/>
  <c r="AP33" i="75"/>
  <c r="AO33" i="75"/>
  <c r="DB32" i="75"/>
  <c r="DA32" i="75"/>
  <c r="CD35" i="75"/>
  <c r="CC35" i="75"/>
  <c r="BF32" i="75"/>
  <c r="BE32" i="75"/>
  <c r="AX35" i="75"/>
  <c r="AW35" i="75"/>
  <c r="AH32" i="75"/>
  <c r="AG32" i="75"/>
  <c r="CK33" i="75"/>
  <c r="CL33" i="75"/>
  <c r="BV35" i="75"/>
  <c r="BU35" i="75"/>
  <c r="AO32" i="75"/>
  <c r="AP32" i="75"/>
  <c r="CC32" i="75"/>
  <c r="CD32" i="75"/>
  <c r="BF35" i="75"/>
  <c r="BE35" i="75"/>
  <c r="AX32" i="75"/>
  <c r="AW32" i="75"/>
  <c r="AH33" i="75"/>
  <c r="AG33" i="75"/>
  <c r="CR33" i="75"/>
  <c r="N12" i="130" s="1"/>
  <c r="CK32" i="75"/>
  <c r="CL32" i="75"/>
  <c r="DA33" i="75"/>
  <c r="DB33" i="75"/>
  <c r="Y32" i="75" l="1"/>
  <c r="Z32" i="75"/>
  <c r="CT33" i="75"/>
  <c r="CS33" i="75"/>
  <c r="R35" i="75"/>
  <c r="Q35" i="75"/>
  <c r="F8" i="78" s="1"/>
  <c r="CS35" i="75"/>
  <c r="CT35" i="75"/>
  <c r="Q32" i="75"/>
  <c r="R32" i="75"/>
  <c r="Y35" i="75"/>
  <c r="F9" i="78" s="1"/>
  <c r="Z35" i="75"/>
  <c r="Z33" i="75"/>
  <c r="Y33" i="75"/>
  <c r="CT32" i="75"/>
  <c r="CS32" i="75"/>
  <c r="R33" i="75"/>
  <c r="Q33" i="75"/>
  <c r="P33" i="75"/>
  <c r="D12" i="130" s="1"/>
  <c r="F61" i="1"/>
  <c r="F60" i="1"/>
  <c r="F59" i="1"/>
  <c r="F58" i="1"/>
  <c r="F20" i="78" l="1"/>
  <c r="M50" i="1"/>
  <c r="M39" i="1"/>
  <c r="M38" i="1"/>
  <c r="K31" i="1"/>
  <c r="M40" i="1" l="1"/>
  <c r="N40" i="84" l="1"/>
  <c r="J40" i="84"/>
  <c r="M40" i="84" l="1"/>
  <c r="P40" i="84" l="1"/>
  <c r="D94" i="84"/>
  <c r="C94" i="84" s="1"/>
  <c r="D93" i="84" l="1"/>
  <c r="C93" i="84" s="1"/>
  <c r="D92" i="84"/>
  <c r="C92" i="84" s="1"/>
  <c r="D90" i="84"/>
  <c r="D89" i="84"/>
  <c r="D88" i="84"/>
  <c r="D85" i="84"/>
  <c r="C85" i="84" l="1"/>
  <c r="C89" i="84"/>
  <c r="C90" i="84"/>
  <c r="C88" i="84"/>
  <c r="F5" i="101" l="1"/>
  <c r="G5" i="101" s="1"/>
  <c r="D20" i="101"/>
  <c r="E20" i="101"/>
  <c r="C23" i="101"/>
  <c r="E39" i="101"/>
  <c r="E40" i="101"/>
  <c r="E41" i="101"/>
  <c r="C47" i="101"/>
  <c r="D26" i="72"/>
  <c r="E26" i="72"/>
  <c r="C17" i="71"/>
  <c r="C20" i="71"/>
  <c r="C35" i="70"/>
  <c r="C37" i="70"/>
  <c r="D6" i="75"/>
  <c r="L6" i="75"/>
  <c r="T6" i="75"/>
  <c r="AB6" i="75"/>
  <c r="AJ6" i="75"/>
  <c r="AR6" i="75"/>
  <c r="AZ6" i="75"/>
  <c r="BH6" i="75"/>
  <c r="BP6" i="75"/>
  <c r="BX6" i="75"/>
  <c r="CF6" i="75"/>
  <c r="CN6" i="75"/>
  <c r="CV6" i="75"/>
  <c r="G8" i="75"/>
  <c r="C10" i="75"/>
  <c r="G10" i="75"/>
  <c r="M10" i="75"/>
  <c r="U10" i="75"/>
  <c r="AC10" i="75"/>
  <c r="AK10" i="75"/>
  <c r="AS10" i="75"/>
  <c r="BA10" i="75"/>
  <c r="BI10" i="75"/>
  <c r="BQ10" i="75"/>
  <c r="BY10" i="75"/>
  <c r="CG10" i="75"/>
  <c r="CO10" i="75"/>
  <c r="CW10" i="75"/>
  <c r="C16" i="75"/>
  <c r="G16" i="75"/>
  <c r="M16" i="75"/>
  <c r="U16" i="75"/>
  <c r="AC16" i="75"/>
  <c r="AK16" i="75"/>
  <c r="AS16" i="75"/>
  <c r="BA16" i="75"/>
  <c r="BI16" i="75"/>
  <c r="BQ16" i="75"/>
  <c r="BY16" i="75"/>
  <c r="CG16" i="75"/>
  <c r="CO16" i="75"/>
  <c r="CW16" i="75"/>
  <c r="C11" i="75"/>
  <c r="G11" i="75"/>
  <c r="C25" i="75"/>
  <c r="G25" i="75"/>
  <c r="M25" i="75"/>
  <c r="U25" i="75"/>
  <c r="AC25" i="75"/>
  <c r="AK25" i="75"/>
  <c r="AS25" i="75"/>
  <c r="BA25" i="75"/>
  <c r="BI25" i="75"/>
  <c r="BQ25" i="75"/>
  <c r="BY25" i="75"/>
  <c r="CG25" i="75"/>
  <c r="CO25" i="75"/>
  <c r="CW25" i="75"/>
  <c r="T26" i="75"/>
  <c r="AJ26" i="75"/>
  <c r="AR26" i="75"/>
  <c r="BH26" i="75"/>
  <c r="BP26" i="75"/>
  <c r="CF26" i="75"/>
  <c r="CN26" i="75"/>
  <c r="CV26" i="75"/>
  <c r="C28" i="75"/>
  <c r="M28" i="75"/>
  <c r="U28" i="75"/>
  <c r="X28" i="75" s="1"/>
  <c r="AC28" i="75"/>
  <c r="AF28" i="75" s="1"/>
  <c r="AK28" i="75"/>
  <c r="AN28" i="75" s="1"/>
  <c r="AS28" i="75"/>
  <c r="AV28" i="75" s="1"/>
  <c r="BA28" i="75"/>
  <c r="BD28" i="75" s="1"/>
  <c r="BI28" i="75"/>
  <c r="BQ28" i="75"/>
  <c r="BT28" i="75" s="1"/>
  <c r="K7" i="130" s="1"/>
  <c r="BY28" i="75"/>
  <c r="CB28" i="75" s="1"/>
  <c r="L7" i="130" s="1"/>
  <c r="CG28" i="75"/>
  <c r="CJ28" i="75" s="1"/>
  <c r="M7" i="130" s="1"/>
  <c r="CO28" i="75"/>
  <c r="CR28" i="75" s="1"/>
  <c r="N7" i="130" s="1"/>
  <c r="CW28" i="75"/>
  <c r="AA27" i="75"/>
  <c r="AI27" i="75"/>
  <c r="BG27" i="75"/>
  <c r="D31" i="75"/>
  <c r="D26" i="75" s="1"/>
  <c r="C32" i="75"/>
  <c r="L32" i="75"/>
  <c r="L34" i="75" s="1"/>
  <c r="U32" i="75"/>
  <c r="AB32" i="75"/>
  <c r="AJ32" i="75"/>
  <c r="AR32" i="75"/>
  <c r="AR34" i="75" s="1"/>
  <c r="AZ32" i="75"/>
  <c r="BH32" i="75"/>
  <c r="BP32" i="75"/>
  <c r="BX32" i="75"/>
  <c r="CF32" i="75"/>
  <c r="CG32" i="75" s="1"/>
  <c r="CO32" i="75"/>
  <c r="CV32" i="75"/>
  <c r="CW32" i="75" s="1"/>
  <c r="C33" i="75"/>
  <c r="D33" i="75"/>
  <c r="G33" i="75"/>
  <c r="M33" i="75"/>
  <c r="U33" i="75"/>
  <c r="AC33" i="75"/>
  <c r="AK33" i="75"/>
  <c r="AS33" i="75"/>
  <c r="BA33" i="75"/>
  <c r="BI33" i="75"/>
  <c r="BQ33" i="75"/>
  <c r="BY33" i="75"/>
  <c r="CG33" i="75"/>
  <c r="CO33" i="75"/>
  <c r="CW33" i="75"/>
  <c r="G35" i="75"/>
  <c r="M35" i="75"/>
  <c r="U35" i="75"/>
  <c r="AC35" i="75"/>
  <c r="AK35" i="75"/>
  <c r="BA35" i="75"/>
  <c r="BI35" i="75"/>
  <c r="BQ35" i="75"/>
  <c r="BY35" i="75"/>
  <c r="CG35" i="75"/>
  <c r="CO35" i="75"/>
  <c r="CW35" i="75"/>
  <c r="C36" i="75"/>
  <c r="G36" i="75"/>
  <c r="K27" i="75"/>
  <c r="M30" i="75"/>
  <c r="U30" i="75"/>
  <c r="U27" i="75" s="1"/>
  <c r="AC30" i="75"/>
  <c r="AK30" i="75"/>
  <c r="AL30" i="75"/>
  <c r="AQ27" i="75"/>
  <c r="AS30" i="75"/>
  <c r="BA30" i="75"/>
  <c r="BI30" i="75"/>
  <c r="BQ30" i="75"/>
  <c r="BR30" i="75"/>
  <c r="BY30" i="75"/>
  <c r="BZ30" i="75"/>
  <c r="CG30" i="75"/>
  <c r="CG27" i="75" s="1"/>
  <c r="CH30" i="75"/>
  <c r="CO30" i="75"/>
  <c r="CO27" i="75" s="1"/>
  <c r="CP30" i="75"/>
  <c r="CW30" i="75"/>
  <c r="CX30" i="75"/>
  <c r="C19" i="64"/>
  <c r="C20" i="64"/>
  <c r="F8" i="63"/>
  <c r="L8" i="63"/>
  <c r="O8" i="63"/>
  <c r="R8" i="63"/>
  <c r="U8" i="63"/>
  <c r="X8" i="63"/>
  <c r="AA8" i="63"/>
  <c r="AD8" i="63"/>
  <c r="AG8" i="63"/>
  <c r="AJ8" i="63"/>
  <c r="AM8" i="63"/>
  <c r="F9" i="63"/>
  <c r="L9" i="63"/>
  <c r="O9" i="63"/>
  <c r="R9" i="63"/>
  <c r="U9" i="63"/>
  <c r="X9" i="63"/>
  <c r="AA9" i="63"/>
  <c r="AD9" i="63"/>
  <c r="AG9" i="63"/>
  <c r="AJ9" i="63"/>
  <c r="AM9" i="63"/>
  <c r="F10" i="63"/>
  <c r="L10" i="63"/>
  <c r="O10" i="63"/>
  <c r="R10" i="63"/>
  <c r="U10" i="63"/>
  <c r="X10" i="63"/>
  <c r="AA10" i="63"/>
  <c r="AD10" i="63"/>
  <c r="AG10" i="63"/>
  <c r="AJ10" i="63"/>
  <c r="AM10" i="63"/>
  <c r="F11" i="63"/>
  <c r="L11" i="63"/>
  <c r="O11" i="63"/>
  <c r="R11" i="63"/>
  <c r="U11" i="63"/>
  <c r="X11" i="63"/>
  <c r="AA11" i="63"/>
  <c r="AD11" i="63"/>
  <c r="AG11" i="63"/>
  <c r="AJ11" i="63"/>
  <c r="AM11" i="63"/>
  <c r="F12" i="63"/>
  <c r="L12" i="63"/>
  <c r="O12" i="63"/>
  <c r="R12" i="63"/>
  <c r="U12" i="63"/>
  <c r="X12" i="63"/>
  <c r="AA12" i="63"/>
  <c r="AD12" i="63"/>
  <c r="AG12" i="63"/>
  <c r="AJ12" i="63"/>
  <c r="AM12" i="63"/>
  <c r="F13" i="63"/>
  <c r="L13" i="63"/>
  <c r="O13" i="63"/>
  <c r="R13" i="63"/>
  <c r="U13" i="63"/>
  <c r="X13" i="63"/>
  <c r="AA13" i="63"/>
  <c r="AD13" i="63"/>
  <c r="AG13" i="63"/>
  <c r="AJ13" i="63"/>
  <c r="AM13" i="63"/>
  <c r="F14" i="63"/>
  <c r="L14" i="63"/>
  <c r="O14" i="63"/>
  <c r="R14" i="63"/>
  <c r="U14" i="63"/>
  <c r="X14" i="63"/>
  <c r="AA14" i="63"/>
  <c r="AD14" i="63"/>
  <c r="AG14" i="63"/>
  <c r="AJ14" i="63"/>
  <c r="AM14" i="63"/>
  <c r="F15" i="63"/>
  <c r="L15" i="63"/>
  <c r="O15" i="63"/>
  <c r="R15" i="63"/>
  <c r="U15" i="63"/>
  <c r="X15" i="63"/>
  <c r="AA15" i="63"/>
  <c r="AD15" i="63"/>
  <c r="AG15" i="63"/>
  <c r="AJ15" i="63"/>
  <c r="AM15" i="63"/>
  <c r="F16" i="63"/>
  <c r="L16" i="63"/>
  <c r="O16" i="63"/>
  <c r="R16" i="63"/>
  <c r="U16" i="63"/>
  <c r="X16" i="63"/>
  <c r="AA16" i="63"/>
  <c r="AD16" i="63"/>
  <c r="AG16" i="63"/>
  <c r="AJ16" i="63"/>
  <c r="AM16" i="63"/>
  <c r="F31" i="63"/>
  <c r="L31" i="63"/>
  <c r="O31" i="63"/>
  <c r="R31" i="63"/>
  <c r="U31" i="63"/>
  <c r="X31" i="63"/>
  <c r="AA31" i="63"/>
  <c r="AD31" i="63"/>
  <c r="AG31" i="63"/>
  <c r="AJ31" i="63"/>
  <c r="AM31" i="63"/>
  <c r="D7" i="66"/>
  <c r="E7" i="66"/>
  <c r="C8" i="66"/>
  <c r="C9" i="66"/>
  <c r="D12" i="84"/>
  <c r="D13" i="84"/>
  <c r="D14" i="84"/>
  <c r="D15" i="84"/>
  <c r="D16" i="84"/>
  <c r="D17" i="84"/>
  <c r="D18" i="84"/>
  <c r="D19" i="84"/>
  <c r="D20" i="84"/>
  <c r="D21" i="84"/>
  <c r="D22" i="84"/>
  <c r="D23" i="84"/>
  <c r="D24" i="84"/>
  <c r="D25" i="84"/>
  <c r="D26" i="84"/>
  <c r="D27" i="84"/>
  <c r="D28" i="84"/>
  <c r="D29" i="84"/>
  <c r="D30" i="84"/>
  <c r="D31" i="84"/>
  <c r="D32" i="84"/>
  <c r="D33" i="84"/>
  <c r="C33" i="84" s="1"/>
  <c r="D34" i="84"/>
  <c r="D35" i="84"/>
  <c r="D36" i="84"/>
  <c r="C36" i="84" s="1"/>
  <c r="D37" i="84"/>
  <c r="C37" i="84" s="1"/>
  <c r="D38" i="84"/>
  <c r="C38" i="84" s="1"/>
  <c r="P11" i="84"/>
  <c r="J11" i="84"/>
  <c r="M11" i="84"/>
  <c r="N11" i="84"/>
  <c r="D48" i="84"/>
  <c r="D49" i="84"/>
  <c r="D50" i="84"/>
  <c r="D51" i="84"/>
  <c r="D52" i="84"/>
  <c r="D55" i="84"/>
  <c r="D54" i="84"/>
  <c r="D56" i="84"/>
  <c r="D58" i="84"/>
  <c r="D57" i="84"/>
  <c r="C57" i="84" s="1"/>
  <c r="D59" i="84"/>
  <c r="E61" i="84"/>
  <c r="F61" i="84"/>
  <c r="G61" i="84"/>
  <c r="H61" i="84"/>
  <c r="I61" i="84"/>
  <c r="J61" i="84"/>
  <c r="K61" i="84"/>
  <c r="L61" i="84"/>
  <c r="M61" i="84"/>
  <c r="N61" i="84"/>
  <c r="O61" i="84"/>
  <c r="P61" i="84"/>
  <c r="R61" i="84"/>
  <c r="S61" i="84"/>
  <c r="D62" i="84"/>
  <c r="D63" i="84"/>
  <c r="D64" i="84"/>
  <c r="D67" i="84"/>
  <c r="D75" i="84"/>
  <c r="D68" i="84"/>
  <c r="D76" i="84"/>
  <c r="D77" i="84"/>
  <c r="D78" i="84"/>
  <c r="D79" i="84"/>
  <c r="D70" i="84"/>
  <c r="D71" i="84"/>
  <c r="D72" i="84"/>
  <c r="D80" i="84"/>
  <c r="D81" i="84"/>
  <c r="D82" i="84"/>
  <c r="D83" i="84"/>
  <c r="D84" i="84"/>
  <c r="D69" i="84"/>
  <c r="D99" i="84"/>
  <c r="D100" i="84"/>
  <c r="D91" i="84"/>
  <c r="C91" i="84" s="1"/>
  <c r="D98" i="84"/>
  <c r="D96" i="84"/>
  <c r="D97" i="84"/>
  <c r="D101" i="84"/>
  <c r="D104" i="84"/>
  <c r="D13" i="102"/>
  <c r="I23" i="102"/>
  <c r="C17" i="102"/>
  <c r="F17" i="102"/>
  <c r="I17" i="102"/>
  <c r="X17" i="102" s="1"/>
  <c r="AA17" i="102"/>
  <c r="D21" i="102"/>
  <c r="E21" i="102"/>
  <c r="D26" i="102"/>
  <c r="E26" i="102"/>
  <c r="D27" i="102"/>
  <c r="E27" i="102"/>
  <c r="D28" i="102"/>
  <c r="E28" i="102"/>
  <c r="C31" i="102"/>
  <c r="D30" i="102"/>
  <c r="E30" i="102"/>
  <c r="D32" i="102"/>
  <c r="E32" i="102"/>
  <c r="H32" i="102"/>
  <c r="D33" i="102"/>
  <c r="E33" i="102"/>
  <c r="G33" i="102"/>
  <c r="H33" i="102"/>
  <c r="C36" i="102"/>
  <c r="F36" i="102"/>
  <c r="F29" i="2"/>
  <c r="F32" i="2"/>
  <c r="F33" i="2"/>
  <c r="O37" i="2"/>
  <c r="D16" i="101"/>
  <c r="E16" i="101"/>
  <c r="D17" i="101"/>
  <c r="E17" i="101"/>
  <c r="D18" i="101"/>
  <c r="E18" i="101"/>
  <c r="K41" i="2"/>
  <c r="C15" i="1"/>
  <c r="E10" i="108" s="1"/>
  <c r="G15" i="1"/>
  <c r="M15" i="1"/>
  <c r="S15" i="1"/>
  <c r="E16" i="1"/>
  <c r="K16" i="1"/>
  <c r="E17" i="1"/>
  <c r="F17" i="1" s="1"/>
  <c r="K17" i="1"/>
  <c r="Q17" i="1"/>
  <c r="R17" i="1" s="1"/>
  <c r="E18" i="1"/>
  <c r="F18" i="1" s="1"/>
  <c r="K18" i="1"/>
  <c r="Q18" i="1"/>
  <c r="R18" i="1" s="1"/>
  <c r="E19" i="1"/>
  <c r="F19" i="1" s="1"/>
  <c r="Q19" i="1"/>
  <c r="D20" i="1"/>
  <c r="J15" i="1"/>
  <c r="P20" i="1"/>
  <c r="P15" i="1" s="1"/>
  <c r="D21" i="1"/>
  <c r="G21" i="1"/>
  <c r="H21" i="1"/>
  <c r="T11" i="125" s="1"/>
  <c r="J21" i="1"/>
  <c r="M21" i="1"/>
  <c r="N21" i="1"/>
  <c r="P21" i="1"/>
  <c r="E22" i="1"/>
  <c r="K22" i="1"/>
  <c r="Q22" i="1"/>
  <c r="R22" i="1" s="1"/>
  <c r="E23" i="1"/>
  <c r="F23" i="1" s="1"/>
  <c r="K23" i="1"/>
  <c r="Q23" i="1"/>
  <c r="R23" i="1" s="1"/>
  <c r="E24" i="1"/>
  <c r="F24" i="1" s="1"/>
  <c r="K24" i="1"/>
  <c r="Q24" i="1"/>
  <c r="R24" i="1" s="1"/>
  <c r="E25" i="1"/>
  <c r="F25" i="1" s="1"/>
  <c r="K25" i="1"/>
  <c r="Q25" i="1"/>
  <c r="R25" i="1" s="1"/>
  <c r="E26" i="1"/>
  <c r="F26" i="1" s="1"/>
  <c r="K26" i="1"/>
  <c r="Q26" i="1"/>
  <c r="R26" i="1" s="1"/>
  <c r="G27" i="1"/>
  <c r="H27" i="1"/>
  <c r="T12" i="125" s="1"/>
  <c r="M27" i="1"/>
  <c r="P27" i="1"/>
  <c r="S27" i="1"/>
  <c r="E28" i="1"/>
  <c r="J28" i="1"/>
  <c r="K28" i="1" s="1"/>
  <c r="Q28" i="1"/>
  <c r="R28" i="1" s="1"/>
  <c r="E29" i="1"/>
  <c r="F29" i="1" s="1"/>
  <c r="J29" i="1"/>
  <c r="K29" i="1" s="1"/>
  <c r="Q29" i="1"/>
  <c r="R29" i="1" s="1"/>
  <c r="E30" i="1"/>
  <c r="K30" i="1"/>
  <c r="Q30" i="1"/>
  <c r="R30" i="1" s="1"/>
  <c r="L31" i="1"/>
  <c r="Q31" i="1"/>
  <c r="R31" i="1" s="1"/>
  <c r="D32" i="1"/>
  <c r="E31" i="1" s="1"/>
  <c r="G32" i="1"/>
  <c r="P32" i="1"/>
  <c r="E33" i="1"/>
  <c r="F33" i="1" s="1"/>
  <c r="E34" i="1"/>
  <c r="F34" i="1" s="1"/>
  <c r="J34" i="1"/>
  <c r="E35" i="1"/>
  <c r="F35" i="1" s="1"/>
  <c r="K35" i="1"/>
  <c r="E36" i="1"/>
  <c r="F36" i="1" s="1"/>
  <c r="K36" i="1"/>
  <c r="E37" i="1"/>
  <c r="F37" i="1" s="1"/>
  <c r="K37" i="1"/>
  <c r="E38" i="1"/>
  <c r="G38" i="1" s="1"/>
  <c r="I38" i="1"/>
  <c r="J38" i="1"/>
  <c r="P38" i="1"/>
  <c r="E39" i="1"/>
  <c r="G39" i="1" s="1"/>
  <c r="J39" i="1"/>
  <c r="P39" i="1"/>
  <c r="E40" i="1"/>
  <c r="G40" i="1" s="1"/>
  <c r="I40" i="1"/>
  <c r="J40" i="1"/>
  <c r="P40" i="1"/>
  <c r="E41" i="1"/>
  <c r="F41" i="1" s="1"/>
  <c r="I41" i="1"/>
  <c r="J41" i="1"/>
  <c r="K41" i="1" s="1"/>
  <c r="O41" i="1"/>
  <c r="P41" i="1"/>
  <c r="Q41" i="1" s="1"/>
  <c r="I42" i="1"/>
  <c r="K42" i="1"/>
  <c r="O42" i="1"/>
  <c r="Q42" i="1"/>
  <c r="E43" i="1"/>
  <c r="I43" i="1"/>
  <c r="K43" i="1"/>
  <c r="I44" i="1"/>
  <c r="J44" i="1"/>
  <c r="K44" i="1" s="1"/>
  <c r="L44" i="1" s="1"/>
  <c r="O44" i="1"/>
  <c r="Q44" i="1"/>
  <c r="I45" i="1"/>
  <c r="K45" i="1"/>
  <c r="K46" i="1"/>
  <c r="P46" i="1"/>
  <c r="Q46" i="1" s="1"/>
  <c r="R46" i="1" s="1"/>
  <c r="G50" i="1"/>
  <c r="E50" i="1" s="1"/>
  <c r="J50" i="1"/>
  <c r="P50" i="1"/>
  <c r="H52" i="1"/>
  <c r="N52" i="1"/>
  <c r="D53" i="1"/>
  <c r="J53" i="1"/>
  <c r="O53" i="1"/>
  <c r="P53" i="1"/>
  <c r="D54" i="1"/>
  <c r="J54" i="1"/>
  <c r="O54" i="1"/>
  <c r="P54" i="1"/>
  <c r="E56" i="1"/>
  <c r="K56" i="1"/>
  <c r="C57" i="1"/>
  <c r="C15" i="110" s="1"/>
  <c r="C13" i="110" s="1"/>
  <c r="D57" i="1"/>
  <c r="D55" i="1" s="1"/>
  <c r="F57" i="1"/>
  <c r="D14" i="118" s="1"/>
  <c r="C14" i="118" s="1"/>
  <c r="G57" i="1"/>
  <c r="J57" i="1"/>
  <c r="J55" i="1" s="1"/>
  <c r="M57" i="1"/>
  <c r="P57" i="1"/>
  <c r="P55" i="1" s="1"/>
  <c r="S57" i="1"/>
  <c r="E58" i="1"/>
  <c r="E59" i="1"/>
  <c r="E60" i="1"/>
  <c r="E61" i="1"/>
  <c r="K61" i="1"/>
  <c r="E19" i="110"/>
  <c r="J19" i="110" s="1"/>
  <c r="I7" i="64" l="1"/>
  <c r="I7" i="130"/>
  <c r="H7" i="64"/>
  <c r="H7" i="130"/>
  <c r="B19" i="117"/>
  <c r="B20" i="127"/>
  <c r="G7" i="64"/>
  <c r="G7" i="130"/>
  <c r="F7" i="64"/>
  <c r="F7" i="130"/>
  <c r="U36" i="109"/>
  <c r="Z36" i="109" s="1"/>
  <c r="C42" i="133"/>
  <c r="S45" i="96"/>
  <c r="S40" i="96" s="1"/>
  <c r="S11" i="96" s="1"/>
  <c r="S10" i="96" s="1"/>
  <c r="S9" i="96" s="1"/>
  <c r="S45" i="132"/>
  <c r="S40" i="132" s="1"/>
  <c r="S11" i="132" s="1"/>
  <c r="S10" i="132" s="1"/>
  <c r="S9" i="132" s="1"/>
  <c r="E7" i="64"/>
  <c r="E7" i="130"/>
  <c r="R42" i="1"/>
  <c r="R45" i="96"/>
  <c r="R45" i="132"/>
  <c r="C25" i="127"/>
  <c r="D25" i="127"/>
  <c r="F25" i="127" s="1"/>
  <c r="C13" i="133"/>
  <c r="Y11" i="125"/>
  <c r="C26" i="102"/>
  <c r="Y28" i="125"/>
  <c r="O52" i="1"/>
  <c r="D74" i="84"/>
  <c r="D66" i="84"/>
  <c r="D53" i="84"/>
  <c r="D47" i="84"/>
  <c r="AF31" i="63"/>
  <c r="AC16" i="63"/>
  <c r="Z15" i="63"/>
  <c r="W14" i="63"/>
  <c r="AF13" i="63"/>
  <c r="AC12" i="63"/>
  <c r="Z11" i="63"/>
  <c r="AI10" i="63"/>
  <c r="AF9" i="63"/>
  <c r="AC8" i="63"/>
  <c r="AO31" i="63"/>
  <c r="AC31" i="63"/>
  <c r="Q31" i="63"/>
  <c r="AL16" i="63"/>
  <c r="Z16" i="63"/>
  <c r="N16" i="63"/>
  <c r="AI15" i="63"/>
  <c r="W15" i="63"/>
  <c r="AF14" i="63"/>
  <c r="T14" i="63"/>
  <c r="AO13" i="63"/>
  <c r="AC13" i="63"/>
  <c r="Q13" i="63"/>
  <c r="AL12" i="63"/>
  <c r="Z12" i="63"/>
  <c r="N12" i="63"/>
  <c r="AI11" i="63"/>
  <c r="W11" i="63"/>
  <c r="H11" i="63"/>
  <c r="AF10" i="63"/>
  <c r="T10" i="63"/>
  <c r="AO9" i="63"/>
  <c r="AC9" i="63"/>
  <c r="Q9" i="63"/>
  <c r="AL8" i="63"/>
  <c r="Z8" i="63"/>
  <c r="N8" i="63"/>
  <c r="T31" i="63"/>
  <c r="AL15" i="63"/>
  <c r="AI14" i="63"/>
  <c r="H14" i="63"/>
  <c r="AO12" i="63"/>
  <c r="AL11" i="63"/>
  <c r="W10" i="63"/>
  <c r="T9" i="63"/>
  <c r="Q8" i="63"/>
  <c r="AL31" i="63"/>
  <c r="Z31" i="63"/>
  <c r="N31" i="63"/>
  <c r="AI16" i="63"/>
  <c r="W16" i="63"/>
  <c r="H16" i="63"/>
  <c r="AF15" i="63"/>
  <c r="T15" i="63"/>
  <c r="AO14" i="63"/>
  <c r="AC14" i="63"/>
  <c r="Q14" i="63"/>
  <c r="AL13" i="63"/>
  <c r="Z13" i="63"/>
  <c r="N13" i="63"/>
  <c r="AI12" i="63"/>
  <c r="W12" i="63"/>
  <c r="H12" i="63"/>
  <c r="AF11" i="63"/>
  <c r="T11" i="63"/>
  <c r="AO10" i="63"/>
  <c r="AC10" i="63"/>
  <c r="Q10" i="63"/>
  <c r="AL9" i="63"/>
  <c r="Z9" i="63"/>
  <c r="N9" i="63"/>
  <c r="AI8" i="63"/>
  <c r="W8" i="63"/>
  <c r="AO16" i="63"/>
  <c r="Q16" i="63"/>
  <c r="N15" i="63"/>
  <c r="T13" i="63"/>
  <c r="Q12" i="63"/>
  <c r="N11" i="63"/>
  <c r="H10" i="63"/>
  <c r="AO8" i="63"/>
  <c r="AI31" i="63"/>
  <c r="W31" i="63"/>
  <c r="AF16" i="63"/>
  <c r="T16" i="63"/>
  <c r="AO15" i="63"/>
  <c r="AC15" i="63"/>
  <c r="Q15" i="63"/>
  <c r="AL14" i="63"/>
  <c r="Z14" i="63"/>
  <c r="N14" i="63"/>
  <c r="AI13" i="63"/>
  <c r="W13" i="63"/>
  <c r="H13" i="63"/>
  <c r="AF12" i="63"/>
  <c r="T12" i="63"/>
  <c r="AC11" i="63"/>
  <c r="Q11" i="63"/>
  <c r="AL10" i="63"/>
  <c r="Z10" i="63"/>
  <c r="N10" i="63"/>
  <c r="AI9" i="63"/>
  <c r="W9" i="63"/>
  <c r="H9" i="63"/>
  <c r="AF8" i="63"/>
  <c r="T8" i="63"/>
  <c r="Y97" i="125"/>
  <c r="Y51" i="125"/>
  <c r="AD28" i="125"/>
  <c r="Y135" i="125"/>
  <c r="Y82" i="125"/>
  <c r="AD11" i="125"/>
  <c r="Y60" i="125"/>
  <c r="AD60" i="125" s="1"/>
  <c r="I28" i="119"/>
  <c r="K28" i="119" s="1"/>
  <c r="T28" i="125"/>
  <c r="U12" i="125"/>
  <c r="T100" i="125"/>
  <c r="T64" i="125"/>
  <c r="U11" i="125"/>
  <c r="T82" i="125"/>
  <c r="V11" i="125"/>
  <c r="V13" i="125" s="1"/>
  <c r="T60" i="125"/>
  <c r="V60" i="125" s="1"/>
  <c r="G7" i="75"/>
  <c r="AC27" i="75"/>
  <c r="BQ27" i="75"/>
  <c r="BA27" i="75"/>
  <c r="AK27" i="75"/>
  <c r="O70" i="109"/>
  <c r="O71" i="109" s="1"/>
  <c r="P27" i="109"/>
  <c r="O31" i="109"/>
  <c r="P31" i="109"/>
  <c r="O30" i="109"/>
  <c r="P30" i="109"/>
  <c r="D26" i="117"/>
  <c r="X23" i="102"/>
  <c r="U28" i="119"/>
  <c r="V28" i="119" s="1"/>
  <c r="J28" i="119"/>
  <c r="L28" i="119"/>
  <c r="R28" i="119" s="1"/>
  <c r="K27" i="108"/>
  <c r="AA28" i="107"/>
  <c r="L11" i="119"/>
  <c r="R11" i="119" s="1"/>
  <c r="AA11" i="107"/>
  <c r="G10" i="108"/>
  <c r="E8" i="108"/>
  <c r="E31" i="110"/>
  <c r="J31" i="110" s="1"/>
  <c r="D95" i="84"/>
  <c r="C7" i="66"/>
  <c r="V11" i="107"/>
  <c r="I11" i="119"/>
  <c r="K11" i="119" s="1"/>
  <c r="E7" i="110"/>
  <c r="J7" i="110" s="1"/>
  <c r="V12" i="107"/>
  <c r="I12" i="119"/>
  <c r="K12" i="119" s="1"/>
  <c r="K35" i="118"/>
  <c r="Z35" i="118" s="1"/>
  <c r="J20" i="86"/>
  <c r="G20" i="86"/>
  <c r="M20" i="86"/>
  <c r="P20" i="86"/>
  <c r="S20" i="86"/>
  <c r="N18" i="86"/>
  <c r="T18" i="86"/>
  <c r="Q18" i="86"/>
  <c r="M18" i="86"/>
  <c r="P18" i="86"/>
  <c r="S18" i="86"/>
  <c r="H20" i="86"/>
  <c r="K20" i="86"/>
  <c r="N20" i="86"/>
  <c r="Q20" i="86"/>
  <c r="T20" i="86"/>
  <c r="G13" i="102"/>
  <c r="V28" i="107"/>
  <c r="D7" i="110"/>
  <c r="D15" i="101"/>
  <c r="U21" i="1"/>
  <c r="R21" i="1"/>
  <c r="CW27" i="75"/>
  <c r="C26" i="110"/>
  <c r="C27" i="110"/>
  <c r="D25" i="110"/>
  <c r="C22" i="110"/>
  <c r="C24" i="110"/>
  <c r="D24" i="110"/>
  <c r="C42" i="92"/>
  <c r="C42" i="87"/>
  <c r="C44" i="69"/>
  <c r="K59" i="1"/>
  <c r="K60" i="1"/>
  <c r="K58" i="1"/>
  <c r="C13" i="69"/>
  <c r="M27" i="75"/>
  <c r="AS27" i="75"/>
  <c r="C15" i="102"/>
  <c r="M55" i="1"/>
  <c r="F41" i="2"/>
  <c r="D24" i="101"/>
  <c r="C24" i="101" s="1"/>
  <c r="V13" i="65"/>
  <c r="V9" i="65"/>
  <c r="V12" i="65"/>
  <c r="V11" i="65"/>
  <c r="V10" i="65"/>
  <c r="CL30" i="75"/>
  <c r="CK30" i="75"/>
  <c r="BV30" i="75"/>
  <c r="BU30" i="75"/>
  <c r="AP30" i="75"/>
  <c r="AO30" i="75"/>
  <c r="CB30" i="75"/>
  <c r="G21" i="102"/>
  <c r="BY32" i="75"/>
  <c r="BX34" i="75"/>
  <c r="BQ32" i="75"/>
  <c r="BP34" i="75"/>
  <c r="BI32" i="75"/>
  <c r="BH34" i="75"/>
  <c r="BA32" i="75"/>
  <c r="AZ34" i="75"/>
  <c r="AK32" i="75"/>
  <c r="AJ34" i="75"/>
  <c r="AC32" i="75"/>
  <c r="AB34" i="75"/>
  <c r="M7" i="64"/>
  <c r="BY27" i="75"/>
  <c r="CZ28" i="75"/>
  <c r="O7" i="130" s="1"/>
  <c r="AO11" i="63"/>
  <c r="H21" i="102"/>
  <c r="N7" i="64"/>
  <c r="L7" i="64"/>
  <c r="K7" i="64"/>
  <c r="C13" i="1"/>
  <c r="C12" i="86"/>
  <c r="U52" i="1"/>
  <c r="G13" i="1"/>
  <c r="G14" i="1" s="1"/>
  <c r="C32" i="84"/>
  <c r="C30" i="84"/>
  <c r="C28" i="84"/>
  <c r="C100" i="84"/>
  <c r="C69" i="84"/>
  <c r="C83" i="84"/>
  <c r="C81" i="84"/>
  <c r="C72" i="84"/>
  <c r="C71" i="84"/>
  <c r="C70" i="84"/>
  <c r="C78" i="84"/>
  <c r="C76" i="84"/>
  <c r="C63" i="84"/>
  <c r="C52" i="84"/>
  <c r="C50" i="84"/>
  <c r="C75" i="84"/>
  <c r="C96" i="84"/>
  <c r="C59" i="84"/>
  <c r="C58" i="84"/>
  <c r="J32" i="1"/>
  <c r="C23" i="92"/>
  <c r="C23" i="87"/>
  <c r="E33" i="95"/>
  <c r="E33" i="90"/>
  <c r="E38" i="101"/>
  <c r="K32" i="102"/>
  <c r="E29" i="95"/>
  <c r="C29" i="95" s="1"/>
  <c r="E29" i="90"/>
  <c r="C29" i="90" s="1"/>
  <c r="C27" i="84"/>
  <c r="C26" i="84"/>
  <c r="C25" i="84"/>
  <c r="C24" i="84"/>
  <c r="C23" i="84"/>
  <c r="C21" i="84"/>
  <c r="C19" i="84"/>
  <c r="C18" i="84"/>
  <c r="C17" i="84"/>
  <c r="C16" i="84"/>
  <c r="L41" i="1"/>
  <c r="L46" i="1"/>
  <c r="C20" i="84"/>
  <c r="C97" i="84"/>
  <c r="C98" i="84"/>
  <c r="C56" i="84"/>
  <c r="C55" i="84"/>
  <c r="C15" i="84"/>
  <c r="C101" i="84"/>
  <c r="C54" i="84"/>
  <c r="C22" i="84"/>
  <c r="L40" i="84"/>
  <c r="L11" i="84" s="1"/>
  <c r="C99" i="84"/>
  <c r="C84" i="84"/>
  <c r="C82" i="84"/>
  <c r="C80" i="84"/>
  <c r="C79" i="84"/>
  <c r="C77" i="84"/>
  <c r="C68" i="84"/>
  <c r="C67" i="84"/>
  <c r="C64" i="84"/>
  <c r="C62" i="84"/>
  <c r="C51" i="84"/>
  <c r="C49" i="84"/>
  <c r="C48" i="84"/>
  <c r="K40" i="84"/>
  <c r="K11" i="84" s="1"/>
  <c r="G40" i="84"/>
  <c r="C12" i="84"/>
  <c r="C12" i="88"/>
  <c r="C12" i="94"/>
  <c r="C13" i="92"/>
  <c r="C27" i="88"/>
  <c r="C13" i="87"/>
  <c r="C27" i="94"/>
  <c r="L29" i="1"/>
  <c r="L26" i="1"/>
  <c r="L18" i="1"/>
  <c r="L30" i="1"/>
  <c r="L24" i="1"/>
  <c r="L22" i="1"/>
  <c r="L17" i="1"/>
  <c r="L25" i="1"/>
  <c r="F31" i="1"/>
  <c r="L35" i="1"/>
  <c r="P52" i="1"/>
  <c r="Q52" i="1" s="1"/>
  <c r="R52" i="1" s="1"/>
  <c r="K19" i="1"/>
  <c r="J52" i="1"/>
  <c r="K52" i="1" s="1"/>
  <c r="F16" i="1"/>
  <c r="D15" i="1"/>
  <c r="L61" i="1"/>
  <c r="D14" i="102"/>
  <c r="F55" i="1"/>
  <c r="D12" i="118" s="1"/>
  <c r="C12" i="118" s="1"/>
  <c r="E11" i="75"/>
  <c r="E25" i="75"/>
  <c r="E16" i="75"/>
  <c r="BI27" i="75"/>
  <c r="E28" i="75"/>
  <c r="O21" i="1"/>
  <c r="C34" i="84"/>
  <c r="C29" i="84"/>
  <c r="C14" i="84"/>
  <c r="C35" i="84"/>
  <c r="C31" i="84"/>
  <c r="C13" i="84"/>
  <c r="I52" i="1"/>
  <c r="F28" i="2"/>
  <c r="F26" i="2"/>
  <c r="F24" i="2"/>
  <c r="Q61" i="84"/>
  <c r="E10" i="84"/>
  <c r="E9" i="84" s="1"/>
  <c r="N19" i="2" s="1"/>
  <c r="D61" i="84"/>
  <c r="C16" i="63"/>
  <c r="N40" i="1" s="1"/>
  <c r="O16" i="64"/>
  <c r="C30" i="102"/>
  <c r="C27" i="102"/>
  <c r="C28" i="102"/>
  <c r="B29" i="127" s="1"/>
  <c r="C24" i="102"/>
  <c r="F30" i="2"/>
  <c r="C21" i="102"/>
  <c r="F33" i="102"/>
  <c r="F39" i="2"/>
  <c r="F27" i="2"/>
  <c r="F25" i="2"/>
  <c r="H33" i="2"/>
  <c r="F31" i="2"/>
  <c r="H29" i="2"/>
  <c r="H32" i="2"/>
  <c r="C33" i="102"/>
  <c r="C26" i="72"/>
  <c r="K21" i="1"/>
  <c r="K47" i="1"/>
  <c r="N27" i="1"/>
  <c r="E21" i="1"/>
  <c r="E47" i="1"/>
  <c r="F47" i="1" s="1"/>
  <c r="E20" i="1"/>
  <c r="F20" i="1" s="1"/>
  <c r="P13" i="1"/>
  <c r="P14" i="1" s="1"/>
  <c r="H57" i="1"/>
  <c r="I21" i="1"/>
  <c r="D52" i="1"/>
  <c r="E57" i="1"/>
  <c r="I27" i="1"/>
  <c r="Q21" i="1"/>
  <c r="Q20" i="1"/>
  <c r="S55" i="1"/>
  <c r="E28" i="101" s="1"/>
  <c r="O47" i="1"/>
  <c r="F43" i="1"/>
  <c r="K38" i="1"/>
  <c r="L23" i="1"/>
  <c r="F22" i="1"/>
  <c r="F21" i="1" s="1"/>
  <c r="C7" i="101"/>
  <c r="K27" i="1"/>
  <c r="L28" i="1"/>
  <c r="L42" i="1"/>
  <c r="E27" i="1"/>
  <c r="F32" i="1"/>
  <c r="R27" i="1"/>
  <c r="Q27" i="1"/>
  <c r="J27" i="1"/>
  <c r="D35" i="102"/>
  <c r="CE27" i="75"/>
  <c r="BW27" i="75"/>
  <c r="CX8" i="75"/>
  <c r="CP8" i="75"/>
  <c r="BZ8" i="75"/>
  <c r="BR8" i="75"/>
  <c r="AT8" i="75"/>
  <c r="AL8" i="75"/>
  <c r="AD8" i="75"/>
  <c r="V8" i="75"/>
  <c r="L56" i="1"/>
  <c r="I47" i="1"/>
  <c r="E9" i="102"/>
  <c r="O43" i="1"/>
  <c r="K34" i="1"/>
  <c r="E32" i="1"/>
  <c r="F28" i="1"/>
  <c r="C12" i="71"/>
  <c r="K20" i="1"/>
  <c r="L16" i="1"/>
  <c r="H15" i="1"/>
  <c r="K32" i="2"/>
  <c r="G26" i="102"/>
  <c r="F19" i="2"/>
  <c r="H28" i="102"/>
  <c r="BJ30" i="75"/>
  <c r="C23" i="69"/>
  <c r="I21" i="2"/>
  <c r="I18" i="2" s="1"/>
  <c r="G25" i="118" s="1"/>
  <c r="G27" i="102"/>
  <c r="C23" i="110"/>
  <c r="DB30" i="75"/>
  <c r="G55" i="1"/>
  <c r="G54" i="1" s="1"/>
  <c r="G52" i="1" s="1"/>
  <c r="C55" i="1"/>
  <c r="Q47" i="1"/>
  <c r="E25" i="72"/>
  <c r="K35" i="102"/>
  <c r="Z35" i="102" s="1"/>
  <c r="K16" i="64"/>
  <c r="G16" i="64"/>
  <c r="CM27" i="75"/>
  <c r="D16" i="102"/>
  <c r="C27" i="71"/>
  <c r="L45" i="1"/>
  <c r="H26" i="102"/>
  <c r="CH8" i="75"/>
  <c r="D27" i="1"/>
  <c r="E42" i="101"/>
  <c r="E21" i="72"/>
  <c r="F22" i="2"/>
  <c r="E6" i="101"/>
  <c r="H16" i="102"/>
  <c r="E16" i="102"/>
  <c r="K40" i="1"/>
  <c r="L36" i="1"/>
  <c r="F40" i="2"/>
  <c r="C17" i="101"/>
  <c r="F38" i="2"/>
  <c r="P9" i="123" s="1"/>
  <c r="E35" i="102"/>
  <c r="D42" i="101"/>
  <c r="D21" i="72"/>
  <c r="C39" i="70"/>
  <c r="J32" i="102"/>
  <c r="F23" i="2"/>
  <c r="P17" i="109" s="1"/>
  <c r="J21" i="2"/>
  <c r="J18" i="2" s="1"/>
  <c r="H25" i="118" s="1"/>
  <c r="H29" i="118" s="1"/>
  <c r="H27" i="102"/>
  <c r="D25" i="102"/>
  <c r="G32" i="102"/>
  <c r="F32" i="102" s="1"/>
  <c r="AT30" i="75"/>
  <c r="AN30" i="75"/>
  <c r="G8" i="130" s="1"/>
  <c r="AL27" i="75"/>
  <c r="AD30" i="75"/>
  <c r="V30" i="75"/>
  <c r="Y30" i="75" s="1"/>
  <c r="N30" i="75"/>
  <c r="P30" i="75" s="1"/>
  <c r="D8" i="130" s="1"/>
  <c r="AS32" i="75"/>
  <c r="F14" i="2"/>
  <c r="P12" i="109" s="1"/>
  <c r="G28" i="102"/>
  <c r="AG7" i="63"/>
  <c r="C21" i="64"/>
  <c r="N16" i="64"/>
  <c r="J16" i="64"/>
  <c r="F16" i="64"/>
  <c r="CZ30" i="75"/>
  <c r="O8" i="130" s="1"/>
  <c r="CX27" i="75"/>
  <c r="CJ30" i="75"/>
  <c r="M8" i="130" s="1"/>
  <c r="M5" i="130" s="1"/>
  <c r="CH27" i="75"/>
  <c r="BT30" i="75"/>
  <c r="K8" i="130" s="1"/>
  <c r="K5" i="130" s="1"/>
  <c r="BR27" i="75"/>
  <c r="E10" i="101"/>
  <c r="C32" i="102"/>
  <c r="AS35" i="75"/>
  <c r="E35" i="75" s="1"/>
  <c r="C35" i="75"/>
  <c r="E33" i="75"/>
  <c r="F20" i="2"/>
  <c r="D10" i="101"/>
  <c r="I24" i="102"/>
  <c r="X24" i="102" s="1"/>
  <c r="U7" i="63"/>
  <c r="U5" i="63" s="1"/>
  <c r="AY27" i="75"/>
  <c r="S27" i="75"/>
  <c r="D32" i="75"/>
  <c r="E10" i="75"/>
  <c r="M32" i="75"/>
  <c r="C14" i="72"/>
  <c r="L37" i="1"/>
  <c r="H32" i="1"/>
  <c r="T13" i="125" s="1"/>
  <c r="K33" i="1"/>
  <c r="C31" i="63"/>
  <c r="H31" i="63"/>
  <c r="C15" i="63"/>
  <c r="H15" i="63"/>
  <c r="AD41" i="1"/>
  <c r="C12" i="63"/>
  <c r="C11" i="63"/>
  <c r="N36" i="1" s="1"/>
  <c r="G19" i="65"/>
  <c r="AD7" i="63"/>
  <c r="AD5" i="63" s="1"/>
  <c r="H8" i="63"/>
  <c r="F7" i="63"/>
  <c r="F5" i="63" s="1"/>
  <c r="C8" i="63"/>
  <c r="N33" i="1" s="1"/>
  <c r="M16" i="64"/>
  <c r="I16" i="64"/>
  <c r="E16" i="64"/>
  <c r="C14" i="63"/>
  <c r="N38" i="1" s="1"/>
  <c r="X41" i="1"/>
  <c r="C13" i="63"/>
  <c r="C10" i="63"/>
  <c r="N35" i="1" s="1"/>
  <c r="X7" i="63"/>
  <c r="CP27" i="75"/>
  <c r="CR30" i="75"/>
  <c r="N8" i="130" s="1"/>
  <c r="N5" i="130" s="1"/>
  <c r="C22" i="71"/>
  <c r="C19" i="71"/>
  <c r="C18" i="71"/>
  <c r="G13" i="65"/>
  <c r="AJ7" i="63"/>
  <c r="AJ5" i="63" s="1"/>
  <c r="L7" i="63"/>
  <c r="L5" i="63" s="1"/>
  <c r="C18" i="64"/>
  <c r="L16" i="64"/>
  <c r="H16" i="64"/>
  <c r="P8" i="75"/>
  <c r="C9" i="63"/>
  <c r="N34" i="1" s="1"/>
  <c r="R7" i="63"/>
  <c r="R5" i="63" s="1"/>
  <c r="AM7" i="63"/>
  <c r="AM5" i="63" s="1"/>
  <c r="AA7" i="63"/>
  <c r="AA5" i="63" s="1"/>
  <c r="O7" i="63"/>
  <c r="O5" i="63" s="1"/>
  <c r="BO27" i="75"/>
  <c r="BZ27" i="75"/>
  <c r="E30" i="75"/>
  <c r="C17" i="64"/>
  <c r="E15" i="101"/>
  <c r="C18" i="101"/>
  <c r="C20" i="101"/>
  <c r="C16" i="101"/>
  <c r="G16" i="128" l="1"/>
  <c r="G16" i="98"/>
  <c r="G19" i="128"/>
  <c r="G19" i="98"/>
  <c r="G13" i="128"/>
  <c r="G13" i="98"/>
  <c r="Q45" i="96"/>
  <c r="R40" i="96"/>
  <c r="R11" i="96" s="1"/>
  <c r="R10" i="96" s="1"/>
  <c r="R9" i="96" s="1"/>
  <c r="G5" i="130"/>
  <c r="O5" i="130"/>
  <c r="L8" i="64"/>
  <c r="L8" i="130"/>
  <c r="L5" i="130" s="1"/>
  <c r="G17" i="128"/>
  <c r="G17" i="98"/>
  <c r="V11" i="128"/>
  <c r="V11" i="98"/>
  <c r="T34" i="1"/>
  <c r="Z34" i="1" s="1"/>
  <c r="AF34" i="1" s="1"/>
  <c r="AL34" i="1" s="1"/>
  <c r="B33" i="117"/>
  <c r="B32" i="127"/>
  <c r="B22" i="117"/>
  <c r="B23" i="127"/>
  <c r="G20" i="127"/>
  <c r="E20" i="127"/>
  <c r="W7" i="63"/>
  <c r="W5" i="63" s="1"/>
  <c r="G11" i="128"/>
  <c r="G11" i="98"/>
  <c r="T36" i="1"/>
  <c r="Z36" i="1" s="1"/>
  <c r="AF36" i="1" s="1"/>
  <c r="AL36" i="1" s="1"/>
  <c r="U30" i="109"/>
  <c r="Z30" i="109" s="1"/>
  <c r="C34" i="133"/>
  <c r="R18" i="86"/>
  <c r="G10" i="128"/>
  <c r="G10" i="98"/>
  <c r="B32" i="117"/>
  <c r="B31" i="127"/>
  <c r="G29" i="127"/>
  <c r="E29" i="127"/>
  <c r="G14" i="128"/>
  <c r="G14" i="98"/>
  <c r="V12" i="128"/>
  <c r="V12" i="98"/>
  <c r="T33" i="1"/>
  <c r="Z33" i="1" s="1"/>
  <c r="AF33" i="1" s="1"/>
  <c r="AL33" i="1" s="1"/>
  <c r="B29" i="117"/>
  <c r="B28" i="127"/>
  <c r="G18" i="128"/>
  <c r="G18" i="98"/>
  <c r="V9" i="128"/>
  <c r="V9" i="98"/>
  <c r="V10" i="128"/>
  <c r="V10" i="98"/>
  <c r="G8" i="128"/>
  <c r="G20" i="128" s="1"/>
  <c r="G8" i="98"/>
  <c r="T35" i="1"/>
  <c r="Z35" i="1" s="1"/>
  <c r="AF35" i="1" s="1"/>
  <c r="AL35" i="1" s="1"/>
  <c r="AI7" i="63"/>
  <c r="AI5" i="63" s="1"/>
  <c r="G12" i="128"/>
  <c r="G12" i="98"/>
  <c r="AC7" i="63"/>
  <c r="G15" i="128"/>
  <c r="G15" i="98"/>
  <c r="B28" i="117"/>
  <c r="B27" i="127"/>
  <c r="Q45" i="132"/>
  <c r="R40" i="132"/>
  <c r="R11" i="132" s="1"/>
  <c r="R10" i="132" s="1"/>
  <c r="R9" i="132" s="1"/>
  <c r="V13" i="128"/>
  <c r="V13" i="98"/>
  <c r="T10" i="125"/>
  <c r="H67" i="1"/>
  <c r="H68" i="1" s="1"/>
  <c r="Y12" i="125"/>
  <c r="E25" i="127"/>
  <c r="G25" i="127"/>
  <c r="C19" i="128"/>
  <c r="C19" i="98"/>
  <c r="C18" i="128"/>
  <c r="C18" i="98"/>
  <c r="V18" i="128"/>
  <c r="V18" i="98"/>
  <c r="E17" i="128"/>
  <c r="E17" i="98"/>
  <c r="F17" i="98" s="1"/>
  <c r="V17" i="128"/>
  <c r="V17" i="98"/>
  <c r="V16" i="128"/>
  <c r="V16" i="98"/>
  <c r="C16" i="128"/>
  <c r="C16" i="98"/>
  <c r="C15" i="128"/>
  <c r="C15" i="98"/>
  <c r="V15" i="128"/>
  <c r="V15" i="98"/>
  <c r="C13" i="128"/>
  <c r="C13" i="98"/>
  <c r="E13" i="128"/>
  <c r="E13" i="98"/>
  <c r="C12" i="128"/>
  <c r="C12" i="98"/>
  <c r="C11" i="128"/>
  <c r="C11" i="98"/>
  <c r="C10" i="128"/>
  <c r="C10" i="98"/>
  <c r="C8" i="128"/>
  <c r="C8" i="98"/>
  <c r="T7" i="63"/>
  <c r="L58" i="1"/>
  <c r="L60" i="1"/>
  <c r="L59" i="1"/>
  <c r="V144" i="107"/>
  <c r="W144" i="107" s="1"/>
  <c r="T144" i="125"/>
  <c r="C66" i="84"/>
  <c r="C53" i="84"/>
  <c r="E16" i="63"/>
  <c r="Z7" i="63"/>
  <c r="AL7" i="63"/>
  <c r="AL5" i="63" s="1"/>
  <c r="N7" i="63"/>
  <c r="N5" i="63" s="1"/>
  <c r="AF7" i="63"/>
  <c r="AF5" i="63" s="1"/>
  <c r="C74" i="84"/>
  <c r="D46" i="84"/>
  <c r="AI6" i="63"/>
  <c r="Y16" i="125"/>
  <c r="K15" i="108"/>
  <c r="L16" i="119"/>
  <c r="R16" i="119" s="1"/>
  <c r="AA16" i="107"/>
  <c r="W26" i="119"/>
  <c r="N50" i="1"/>
  <c r="Q7" i="63"/>
  <c r="Q5" i="63" s="1"/>
  <c r="AC5" i="63"/>
  <c r="AO7" i="63"/>
  <c r="AO5" i="63" s="1"/>
  <c r="W6" i="63"/>
  <c r="T38" i="1"/>
  <c r="Y14" i="125"/>
  <c r="K13" i="108"/>
  <c r="L14" i="119"/>
  <c r="AA14" i="107"/>
  <c r="AA107" i="107" s="1"/>
  <c r="AA108" i="107" s="1"/>
  <c r="G11" i="65"/>
  <c r="T5" i="63"/>
  <c r="N37" i="1"/>
  <c r="T85" i="125"/>
  <c r="U13" i="125"/>
  <c r="U10" i="125"/>
  <c r="T8" i="125"/>
  <c r="T79" i="125"/>
  <c r="V10" i="125"/>
  <c r="V12" i="125" s="1"/>
  <c r="T59" i="125"/>
  <c r="AD12" i="125"/>
  <c r="Y100" i="125"/>
  <c r="Y64" i="125"/>
  <c r="U82" i="125"/>
  <c r="T83" i="125"/>
  <c r="V83" i="125" s="1"/>
  <c r="V64" i="125"/>
  <c r="T72" i="125"/>
  <c r="V72" i="125" s="1"/>
  <c r="AD135" i="125"/>
  <c r="Z136" i="125"/>
  <c r="L47" i="1"/>
  <c r="W11" i="107"/>
  <c r="Z11" i="107" s="1"/>
  <c r="X11" i="107"/>
  <c r="X13" i="107" s="1"/>
  <c r="X11" i="125"/>
  <c r="U100" i="125"/>
  <c r="T101" i="125"/>
  <c r="V101" i="125" s="1"/>
  <c r="AG60" i="125"/>
  <c r="X12" i="125"/>
  <c r="AG11" i="125"/>
  <c r="AD51" i="125"/>
  <c r="Z52" i="125"/>
  <c r="U28" i="125"/>
  <c r="AG28" i="125" s="1"/>
  <c r="T51" i="125"/>
  <c r="Y52" i="125" s="1"/>
  <c r="T135" i="125"/>
  <c r="T97" i="125"/>
  <c r="Y98" i="125" s="1"/>
  <c r="AD82" i="125"/>
  <c r="Y83" i="125"/>
  <c r="Z83" i="125"/>
  <c r="AD97" i="125"/>
  <c r="Z98" i="125"/>
  <c r="AM6" i="63"/>
  <c r="AJ6" i="63"/>
  <c r="AD6" i="63"/>
  <c r="AA6" i="63"/>
  <c r="U6" i="63"/>
  <c r="R6" i="63"/>
  <c r="O6" i="63"/>
  <c r="L6" i="63"/>
  <c r="F6" i="63"/>
  <c r="AF51" i="63"/>
  <c r="W51" i="63"/>
  <c r="G33" i="117"/>
  <c r="H33" i="117"/>
  <c r="G26" i="117"/>
  <c r="H26" i="117"/>
  <c r="O73" i="109"/>
  <c r="P21" i="109"/>
  <c r="O57" i="109"/>
  <c r="P18" i="109"/>
  <c r="O67" i="109"/>
  <c r="P22" i="109"/>
  <c r="O76" i="109"/>
  <c r="P23" i="109"/>
  <c r="O79" i="109"/>
  <c r="P24" i="109"/>
  <c r="E20" i="86"/>
  <c r="Z32" i="102"/>
  <c r="O82" i="109"/>
  <c r="P25" i="109"/>
  <c r="O88" i="109"/>
  <c r="O89" i="109" s="1"/>
  <c r="P28" i="109"/>
  <c r="O60" i="109"/>
  <c r="P19" i="109"/>
  <c r="D20" i="86"/>
  <c r="C20" i="86" s="1"/>
  <c r="Y32" i="102"/>
  <c r="O91" i="109"/>
  <c r="P29" i="109"/>
  <c r="P10" i="123"/>
  <c r="O85" i="109"/>
  <c r="P26" i="109"/>
  <c r="AA135" i="107"/>
  <c r="AF28" i="107"/>
  <c r="AA97" i="107"/>
  <c r="AA51" i="107"/>
  <c r="K11" i="108"/>
  <c r="L12" i="119"/>
  <c r="R12" i="119" s="1"/>
  <c r="AA12" i="107"/>
  <c r="U12" i="119"/>
  <c r="V12" i="119" s="1"/>
  <c r="J12" i="119"/>
  <c r="AA60" i="107"/>
  <c r="AF60" i="107" s="1"/>
  <c r="AF11" i="107"/>
  <c r="AI11" i="107" s="1"/>
  <c r="AA82" i="107"/>
  <c r="U11" i="119"/>
  <c r="V11" i="119" s="1"/>
  <c r="J11" i="119"/>
  <c r="P36" i="109"/>
  <c r="Q36" i="109" s="1"/>
  <c r="W28" i="119"/>
  <c r="W11" i="119"/>
  <c r="V51" i="107"/>
  <c r="W28" i="107"/>
  <c r="Z28" i="107" s="1"/>
  <c r="V100" i="107"/>
  <c r="V101" i="107" s="1"/>
  <c r="X101" i="107" s="1"/>
  <c r="W12" i="107"/>
  <c r="Z12" i="107" s="1"/>
  <c r="E7" i="108"/>
  <c r="G7" i="108" s="1"/>
  <c r="E9" i="108"/>
  <c r="G8" i="108"/>
  <c r="O12" i="123"/>
  <c r="O132" i="109"/>
  <c r="D65" i="84"/>
  <c r="O83" i="109"/>
  <c r="O74" i="109"/>
  <c r="O80" i="109"/>
  <c r="O86" i="109"/>
  <c r="O77" i="109"/>
  <c r="O68" i="109"/>
  <c r="R45" i="84"/>
  <c r="R40" i="84" s="1"/>
  <c r="R11" i="84" s="1"/>
  <c r="V60" i="107"/>
  <c r="V82" i="107"/>
  <c r="V83" i="107" s="1"/>
  <c r="X83" i="107" s="1"/>
  <c r="V10" i="107"/>
  <c r="X10" i="107" s="1"/>
  <c r="X12" i="107" s="1"/>
  <c r="I10" i="119"/>
  <c r="K10" i="119" s="1"/>
  <c r="H11" i="108"/>
  <c r="O11" i="108" s="1"/>
  <c r="Q11" i="108" s="1"/>
  <c r="V64" i="107"/>
  <c r="O135" i="109"/>
  <c r="O136" i="109" s="1"/>
  <c r="D16" i="110"/>
  <c r="G15" i="118"/>
  <c r="F15" i="118" s="1"/>
  <c r="AN8" i="75"/>
  <c r="F25" i="118"/>
  <c r="G29" i="118"/>
  <c r="F29" i="118" s="1"/>
  <c r="W35" i="1"/>
  <c r="W36" i="1"/>
  <c r="X36" i="1" s="1"/>
  <c r="S34" i="1"/>
  <c r="W16" i="119"/>
  <c r="W14" i="119"/>
  <c r="S33" i="1"/>
  <c r="V13" i="107"/>
  <c r="W13" i="107" s="1"/>
  <c r="Z13" i="107" s="1"/>
  <c r="I13" i="119"/>
  <c r="K13" i="119" s="1"/>
  <c r="D12" i="110"/>
  <c r="AF8" i="75"/>
  <c r="O111" i="109"/>
  <c r="O58" i="109"/>
  <c r="O61" i="109"/>
  <c r="V135" i="107"/>
  <c r="V136" i="107" s="1"/>
  <c r="X136" i="107" s="1"/>
  <c r="V85" i="107"/>
  <c r="V97" i="107"/>
  <c r="O54" i="109"/>
  <c r="D31" i="110"/>
  <c r="H27" i="108"/>
  <c r="O27" i="108" s="1"/>
  <c r="Q27" i="108" s="1"/>
  <c r="L20" i="86"/>
  <c r="L18" i="86"/>
  <c r="O18" i="86"/>
  <c r="O20" i="109"/>
  <c r="O63" i="109" s="1"/>
  <c r="O20" i="86"/>
  <c r="F20" i="86"/>
  <c r="G15" i="102"/>
  <c r="T145" i="125" s="1"/>
  <c r="T143" i="125" s="1"/>
  <c r="U143" i="125" s="1"/>
  <c r="R20" i="86"/>
  <c r="I20" i="86"/>
  <c r="C6" i="110"/>
  <c r="C5" i="110" s="1"/>
  <c r="C14" i="1"/>
  <c r="R32" i="2"/>
  <c r="F37" i="2"/>
  <c r="D34" i="75"/>
  <c r="X8" i="75"/>
  <c r="CZ8" i="75"/>
  <c r="E24" i="110"/>
  <c r="J24" i="110" s="1"/>
  <c r="C21" i="110"/>
  <c r="N32" i="1"/>
  <c r="C37" i="94"/>
  <c r="C37" i="88"/>
  <c r="C37" i="71"/>
  <c r="C30" i="110"/>
  <c r="E27" i="75"/>
  <c r="CB27" i="75"/>
  <c r="R58" i="1"/>
  <c r="Q58" i="1" s="1"/>
  <c r="H55" i="1"/>
  <c r="I55" i="1" s="1"/>
  <c r="D15" i="110"/>
  <c r="D13" i="110" s="1"/>
  <c r="N27" i="108"/>
  <c r="N11" i="108"/>
  <c r="E55" i="1"/>
  <c r="L10" i="84"/>
  <c r="L9" i="84" s="1"/>
  <c r="N27" i="2" s="1"/>
  <c r="J10" i="84"/>
  <c r="J9" i="84" s="1"/>
  <c r="N25" i="2" s="1"/>
  <c r="N10" i="84"/>
  <c r="N9" i="84" s="1"/>
  <c r="N29" i="2" s="1"/>
  <c r="M10" i="84"/>
  <c r="M9" i="84" s="1"/>
  <c r="N28" i="2" s="1"/>
  <c r="K10" i="84"/>
  <c r="K9" i="84" s="1"/>
  <c r="N26" i="2" s="1"/>
  <c r="P10" i="84"/>
  <c r="P9" i="84" s="1"/>
  <c r="N31" i="2" s="1"/>
  <c r="R59" i="1"/>
  <c r="Q59" i="1" s="1"/>
  <c r="V18" i="65"/>
  <c r="V17" i="65"/>
  <c r="W16" i="65"/>
  <c r="V15" i="65"/>
  <c r="V16" i="65"/>
  <c r="R28" i="75"/>
  <c r="Q28" i="75"/>
  <c r="E8" i="78" s="1"/>
  <c r="E20" i="78" s="1"/>
  <c r="CL27" i="75"/>
  <c r="CK27" i="75"/>
  <c r="AP27" i="75"/>
  <c r="AO27" i="75"/>
  <c r="BL30" i="75"/>
  <c r="J8" i="130" s="1"/>
  <c r="BM30" i="75"/>
  <c r="BN30" i="75"/>
  <c r="AV8" i="75"/>
  <c r="CR8" i="75"/>
  <c r="CD30" i="75"/>
  <c r="D8" i="64"/>
  <c r="R30" i="75"/>
  <c r="Q30" i="75"/>
  <c r="CJ8" i="75"/>
  <c r="CD27" i="75"/>
  <c r="CC27" i="75"/>
  <c r="BV27" i="75"/>
  <c r="BU27" i="75"/>
  <c r="Z30" i="75"/>
  <c r="AV30" i="75"/>
  <c r="AX30" i="75"/>
  <c r="AW30" i="75"/>
  <c r="BT8" i="75"/>
  <c r="CT30" i="75"/>
  <c r="DA30" i="75"/>
  <c r="CS27" i="75"/>
  <c r="CT27" i="75"/>
  <c r="AH30" i="75"/>
  <c r="AG30" i="75"/>
  <c r="CB8" i="75"/>
  <c r="CC30" i="75"/>
  <c r="CS30" i="75"/>
  <c r="E11" i="63"/>
  <c r="D11" i="63" s="1"/>
  <c r="J13" i="1"/>
  <c r="J14" i="1" s="1"/>
  <c r="P28" i="75"/>
  <c r="L5" i="64"/>
  <c r="E32" i="75"/>
  <c r="O7" i="64"/>
  <c r="AG5" i="63"/>
  <c r="C30" i="75"/>
  <c r="C27" i="75" s="1"/>
  <c r="G9" i="65"/>
  <c r="AD27" i="75"/>
  <c r="F15" i="1"/>
  <c r="U27" i="1"/>
  <c r="C35" i="102"/>
  <c r="G35" i="102"/>
  <c r="I32" i="102"/>
  <c r="P12" i="1"/>
  <c r="P64" i="1" s="1"/>
  <c r="H13" i="1"/>
  <c r="L27" i="1"/>
  <c r="L21" i="1"/>
  <c r="N27" i="75"/>
  <c r="G11" i="84"/>
  <c r="C47" i="84"/>
  <c r="C61" i="84"/>
  <c r="C13" i="88"/>
  <c r="C13" i="94"/>
  <c r="L52" i="1"/>
  <c r="Q39" i="1"/>
  <c r="R39" i="1" s="1"/>
  <c r="L40" i="1"/>
  <c r="C15" i="94"/>
  <c r="C34" i="92"/>
  <c r="C34" i="87"/>
  <c r="L20" i="1"/>
  <c r="F27" i="1"/>
  <c r="L19" i="1"/>
  <c r="L34" i="1"/>
  <c r="L38" i="1"/>
  <c r="AF30" i="75"/>
  <c r="F8" i="130" s="1"/>
  <c r="F5" i="130" s="1"/>
  <c r="C42" i="101"/>
  <c r="Q35" i="1"/>
  <c r="H14" i="2"/>
  <c r="E25" i="102"/>
  <c r="H31" i="2"/>
  <c r="H25" i="2"/>
  <c r="H24" i="2"/>
  <c r="H23" i="2"/>
  <c r="H27" i="2"/>
  <c r="H30" i="2"/>
  <c r="H26" i="2"/>
  <c r="H28" i="2"/>
  <c r="H20" i="2"/>
  <c r="F21" i="102"/>
  <c r="C13" i="71"/>
  <c r="G12" i="1"/>
  <c r="E8" i="118" s="1"/>
  <c r="O27" i="1"/>
  <c r="E15" i="1"/>
  <c r="C15" i="101"/>
  <c r="F28" i="102"/>
  <c r="D29" i="102"/>
  <c r="C16" i="102"/>
  <c r="C12" i="1"/>
  <c r="K57" i="1"/>
  <c r="CZ27" i="75"/>
  <c r="O8" i="64"/>
  <c r="AA8" i="75"/>
  <c r="AA7" i="75" s="1"/>
  <c r="BG8" i="75"/>
  <c r="BG7" i="75" s="1"/>
  <c r="CM8" i="75"/>
  <c r="CM7" i="75" s="1"/>
  <c r="X30" i="75"/>
  <c r="E8" i="130" s="1"/>
  <c r="V27" i="75"/>
  <c r="D12" i="102"/>
  <c r="F21" i="2"/>
  <c r="H21" i="2" s="1"/>
  <c r="H22" i="2"/>
  <c r="E14" i="101"/>
  <c r="H25" i="102"/>
  <c r="H29" i="102" s="1"/>
  <c r="CU27" i="75"/>
  <c r="DB27" i="75" s="1"/>
  <c r="F27" i="102"/>
  <c r="D14" i="101"/>
  <c r="G25" i="102"/>
  <c r="E22" i="102"/>
  <c r="K39" i="1"/>
  <c r="CJ27" i="75"/>
  <c r="M8" i="64"/>
  <c r="AI8" i="75"/>
  <c r="AI7" i="75" s="1"/>
  <c r="BO8" i="75"/>
  <c r="BO7" i="75" s="1"/>
  <c r="CU8" i="75"/>
  <c r="CU7" i="75" s="1"/>
  <c r="BB30" i="75"/>
  <c r="C21" i="72"/>
  <c r="I15" i="1"/>
  <c r="E13" i="63"/>
  <c r="AT27" i="75"/>
  <c r="G17" i="65"/>
  <c r="E11" i="65"/>
  <c r="L33" i="1"/>
  <c r="BT27" i="75"/>
  <c r="K8" i="64"/>
  <c r="K8" i="75"/>
  <c r="K7" i="75" s="1"/>
  <c r="AQ8" i="75"/>
  <c r="AQ7" i="75" s="1"/>
  <c r="BW8" i="75"/>
  <c r="BW7" i="75" s="1"/>
  <c r="AN27" i="75"/>
  <c r="G8" i="64"/>
  <c r="H35" i="102"/>
  <c r="K15" i="1"/>
  <c r="C10" i="101"/>
  <c r="S8" i="75"/>
  <c r="S7" i="75" s="1"/>
  <c r="AY8" i="75"/>
  <c r="AY7" i="75" s="1"/>
  <c r="CE8" i="75"/>
  <c r="CE7" i="75" s="1"/>
  <c r="H19" i="2"/>
  <c r="F26" i="102"/>
  <c r="D19" i="101"/>
  <c r="C36" i="69"/>
  <c r="M32" i="2"/>
  <c r="C15" i="65"/>
  <c r="G10" i="65"/>
  <c r="Q33" i="1"/>
  <c r="G16" i="65"/>
  <c r="C19" i="65"/>
  <c r="C12" i="65"/>
  <c r="E12" i="63"/>
  <c r="C18" i="65"/>
  <c r="G14" i="65"/>
  <c r="C7" i="63"/>
  <c r="I32" i="1"/>
  <c r="E31" i="63"/>
  <c r="G12" i="65"/>
  <c r="E14" i="63"/>
  <c r="C21" i="71"/>
  <c r="Q45" i="1"/>
  <c r="O45" i="1"/>
  <c r="G15" i="65"/>
  <c r="G18" i="65"/>
  <c r="G8" i="65"/>
  <c r="H7" i="63"/>
  <c r="H5" i="63" s="1"/>
  <c r="E8" i="63"/>
  <c r="D8" i="63" s="1"/>
  <c r="E9" i="63"/>
  <c r="D9" i="63" s="1"/>
  <c r="E15" i="63"/>
  <c r="D15" i="63" s="1"/>
  <c r="K32" i="1"/>
  <c r="C11" i="65"/>
  <c r="E10" i="63"/>
  <c r="C16" i="64"/>
  <c r="C10" i="65"/>
  <c r="CR27" i="75"/>
  <c r="N8" i="64"/>
  <c r="Q38" i="1"/>
  <c r="C16" i="65"/>
  <c r="D16" i="63"/>
  <c r="H8" i="64" l="1"/>
  <c r="H8" i="130"/>
  <c r="H5" i="130" s="1"/>
  <c r="T37" i="1"/>
  <c r="W11" i="128"/>
  <c r="U11" i="128" s="1"/>
  <c r="W11" i="98"/>
  <c r="U11" i="98" s="1"/>
  <c r="B17" i="117"/>
  <c r="C17" i="117" s="1"/>
  <c r="B18" i="127"/>
  <c r="P27" i="75"/>
  <c r="D7" i="130"/>
  <c r="W8" i="128"/>
  <c r="W8" i="98"/>
  <c r="G20" i="98"/>
  <c r="AC51" i="63"/>
  <c r="W16" i="128"/>
  <c r="U16" i="128" s="1"/>
  <c r="W16" i="98"/>
  <c r="W17" i="128"/>
  <c r="W17" i="98"/>
  <c r="Q51" i="63"/>
  <c r="Q40" i="132"/>
  <c r="C45" i="132"/>
  <c r="U16" i="98"/>
  <c r="G27" i="127"/>
  <c r="E27" i="127"/>
  <c r="E23" i="127"/>
  <c r="G23" i="127"/>
  <c r="W19" i="128"/>
  <c r="W19" i="98"/>
  <c r="X32" i="102"/>
  <c r="D32" i="127"/>
  <c r="F32" i="127" s="1"/>
  <c r="AF6" i="63"/>
  <c r="G31" i="127"/>
  <c r="E31" i="127"/>
  <c r="W15" i="128"/>
  <c r="W15" i="98"/>
  <c r="U17" i="98"/>
  <c r="E28" i="127"/>
  <c r="G28" i="127"/>
  <c r="E5" i="130"/>
  <c r="Q40" i="96"/>
  <c r="C45" i="96"/>
  <c r="W18" i="128"/>
  <c r="U18" i="128" s="1"/>
  <c r="W18" i="98"/>
  <c r="U18" i="98" s="1"/>
  <c r="U17" i="128"/>
  <c r="G32" i="127"/>
  <c r="E32" i="127"/>
  <c r="Y13" i="125"/>
  <c r="V19" i="128"/>
  <c r="U19" i="128" s="1"/>
  <c r="V19" i="98"/>
  <c r="U19" i="98" s="1"/>
  <c r="AO51" i="63"/>
  <c r="E19" i="128"/>
  <c r="F19" i="128" s="1"/>
  <c r="E19" i="98"/>
  <c r="F19" i="98" s="1"/>
  <c r="E18" i="128"/>
  <c r="F18" i="128" s="1"/>
  <c r="E18" i="98"/>
  <c r="F18" i="98" s="1"/>
  <c r="AL51" i="63"/>
  <c r="C17" i="128"/>
  <c r="C17" i="98"/>
  <c r="F17" i="128"/>
  <c r="E16" i="128"/>
  <c r="E16" i="98"/>
  <c r="F16" i="98" s="1"/>
  <c r="U15" i="98"/>
  <c r="E15" i="128"/>
  <c r="F15" i="128" s="1"/>
  <c r="E15" i="98"/>
  <c r="F15" i="98" s="1"/>
  <c r="U15" i="128"/>
  <c r="F13" i="98"/>
  <c r="F13" i="128"/>
  <c r="T51" i="63"/>
  <c r="E12" i="128"/>
  <c r="E12" i="98"/>
  <c r="E11" i="128"/>
  <c r="E11" i="98"/>
  <c r="N6" i="63"/>
  <c r="E10" i="128"/>
  <c r="E10" i="98"/>
  <c r="N51" i="63"/>
  <c r="E8" i="128"/>
  <c r="E8" i="98"/>
  <c r="C46" i="84"/>
  <c r="AL6" i="63"/>
  <c r="T142" i="125"/>
  <c r="U142" i="125" s="1"/>
  <c r="G9" i="108"/>
  <c r="L57" i="1"/>
  <c r="G14" i="118" s="1"/>
  <c r="AD83" i="125"/>
  <c r="T6" i="63"/>
  <c r="AC6" i="63"/>
  <c r="Y26" i="125"/>
  <c r="K25" i="108"/>
  <c r="L26" i="119"/>
  <c r="R26" i="119" s="1"/>
  <c r="AA26" i="107"/>
  <c r="Y107" i="125"/>
  <c r="Q6" i="63"/>
  <c r="Y113" i="125"/>
  <c r="AD16" i="125"/>
  <c r="AG16" i="125" s="1"/>
  <c r="H6" i="63"/>
  <c r="AO6" i="63"/>
  <c r="Z38" i="1"/>
  <c r="Z14" i="125"/>
  <c r="Z107" i="125" s="1"/>
  <c r="Z108" i="125" s="1"/>
  <c r="AA113" i="107"/>
  <c r="AF16" i="107"/>
  <c r="AI16" i="107" s="1"/>
  <c r="AD98" i="125"/>
  <c r="W37" i="1"/>
  <c r="Y37" i="1"/>
  <c r="Z37" i="1"/>
  <c r="AC37" i="1" s="1"/>
  <c r="AD52" i="125"/>
  <c r="T136" i="125"/>
  <c r="V136" i="125" s="1"/>
  <c r="U135" i="125"/>
  <c r="AG135" i="125" s="1"/>
  <c r="AG12" i="125"/>
  <c r="U8" i="125"/>
  <c r="T45" i="125"/>
  <c r="T129" i="125"/>
  <c r="U129" i="125" s="1"/>
  <c r="T9" i="125"/>
  <c r="T130" i="125"/>
  <c r="V130" i="125" s="1"/>
  <c r="T7" i="125"/>
  <c r="Y85" i="125"/>
  <c r="T52" i="125"/>
  <c r="V52" i="125" s="1"/>
  <c r="X82" i="125"/>
  <c r="U59" i="125"/>
  <c r="V59" i="125"/>
  <c r="T58" i="125"/>
  <c r="X10" i="125"/>
  <c r="AG82" i="125"/>
  <c r="X28" i="125"/>
  <c r="X100" i="125"/>
  <c r="Y72" i="125"/>
  <c r="AD64" i="125"/>
  <c r="Z72" i="125"/>
  <c r="X13" i="125"/>
  <c r="AE98" i="125"/>
  <c r="AE83" i="125"/>
  <c r="U97" i="125"/>
  <c r="T98" i="125"/>
  <c r="V98" i="125" s="1"/>
  <c r="AE52" i="125"/>
  <c r="Y136" i="125"/>
  <c r="AD136" i="125" s="1"/>
  <c r="AD100" i="125"/>
  <c r="Y101" i="125"/>
  <c r="Z101" i="125"/>
  <c r="U79" i="125"/>
  <c r="T80" i="125"/>
  <c r="V80" i="125" s="1"/>
  <c r="T76" i="125"/>
  <c r="U85" i="125"/>
  <c r="T86" i="125"/>
  <c r="V86" i="125" s="1"/>
  <c r="AG6" i="63"/>
  <c r="H51" i="63"/>
  <c r="AI51" i="63"/>
  <c r="W97" i="107"/>
  <c r="Z97" i="107" s="1"/>
  <c r="V98" i="107"/>
  <c r="X98" i="107" s="1"/>
  <c r="AA52" i="107"/>
  <c r="AF51" i="107"/>
  <c r="AB52" i="107"/>
  <c r="W51" i="107"/>
  <c r="V52" i="107"/>
  <c r="X52" i="107" s="1"/>
  <c r="AA98" i="107"/>
  <c r="AF97" i="107"/>
  <c r="AI97" i="107" s="1"/>
  <c r="AB98" i="107"/>
  <c r="AI28" i="107"/>
  <c r="AA136" i="107"/>
  <c r="AF135" i="107"/>
  <c r="AB136" i="107"/>
  <c r="U13" i="119"/>
  <c r="V13" i="119" s="1"/>
  <c r="J13" i="119"/>
  <c r="W85" i="107"/>
  <c r="Z85" i="107" s="1"/>
  <c r="V86" i="107"/>
  <c r="X86" i="107" s="1"/>
  <c r="W13" i="119"/>
  <c r="K12" i="108"/>
  <c r="L13" i="119"/>
  <c r="AA13" i="107"/>
  <c r="AA64" i="107"/>
  <c r="AF12" i="107"/>
  <c r="AI12" i="107" s="1"/>
  <c r="AA100" i="107"/>
  <c r="W64" i="107"/>
  <c r="Z64" i="107" s="1"/>
  <c r="V72" i="107"/>
  <c r="X72" i="107" s="1"/>
  <c r="X64" i="107"/>
  <c r="W60" i="107"/>
  <c r="Z60" i="107" s="1"/>
  <c r="X60" i="107"/>
  <c r="AA83" i="107"/>
  <c r="AF82" i="107"/>
  <c r="AB83" i="107"/>
  <c r="U10" i="119"/>
  <c r="V10" i="119" s="1"/>
  <c r="J10" i="119"/>
  <c r="W12" i="119"/>
  <c r="W82" i="107"/>
  <c r="Z82" i="107" s="1"/>
  <c r="W135" i="107"/>
  <c r="Z135" i="107" s="1"/>
  <c r="V79" i="107"/>
  <c r="V76" i="107" s="1"/>
  <c r="V77" i="107" s="1"/>
  <c r="X77" i="107" s="1"/>
  <c r="W10" i="107"/>
  <c r="W100" i="107"/>
  <c r="Z100" i="107" s="1"/>
  <c r="O129" i="109"/>
  <c r="O133" i="109"/>
  <c r="V145" i="107"/>
  <c r="C64" i="1"/>
  <c r="O112" i="109"/>
  <c r="O8" i="123"/>
  <c r="P11" i="108"/>
  <c r="V8" i="107"/>
  <c r="V130" i="107" s="1"/>
  <c r="X130" i="107" s="1"/>
  <c r="V59" i="107"/>
  <c r="X59" i="107" s="1"/>
  <c r="H10" i="108"/>
  <c r="O10" i="108" s="1"/>
  <c r="Q10" i="108" s="1"/>
  <c r="H12" i="108"/>
  <c r="O12" i="108" s="1"/>
  <c r="Q12" i="108" s="1"/>
  <c r="C16" i="94"/>
  <c r="C16" i="88"/>
  <c r="U40" i="1"/>
  <c r="S40" i="1"/>
  <c r="F15" i="102"/>
  <c r="I11" i="108"/>
  <c r="F14" i="118"/>
  <c r="G12" i="118"/>
  <c r="F12" i="118" s="1"/>
  <c r="O13" i="123"/>
  <c r="T32" i="1"/>
  <c r="W33" i="1"/>
  <c r="Y33" i="1"/>
  <c r="M14" i="119"/>
  <c r="AB14" i="107"/>
  <c r="Y38" i="1"/>
  <c r="W38" i="1"/>
  <c r="AF37" i="1"/>
  <c r="AC36" i="1"/>
  <c r="AD36" i="1" s="1"/>
  <c r="Y34" i="1"/>
  <c r="W34" i="1"/>
  <c r="AC35" i="1"/>
  <c r="AD35" i="1" s="1"/>
  <c r="I8" i="119"/>
  <c r="K8" i="119" s="1"/>
  <c r="O55" i="109"/>
  <c r="O64" i="109"/>
  <c r="Q30" i="109"/>
  <c r="E11" i="118"/>
  <c r="E5" i="118"/>
  <c r="E38" i="118" s="1"/>
  <c r="I27" i="108"/>
  <c r="E20" i="102"/>
  <c r="E19" i="102" s="1"/>
  <c r="E18" i="102" s="1"/>
  <c r="T10" i="86"/>
  <c r="N10" i="86"/>
  <c r="Q10" i="86"/>
  <c r="K10" i="86"/>
  <c r="H10" i="86"/>
  <c r="P27" i="108"/>
  <c r="D6" i="110"/>
  <c r="H14" i="1"/>
  <c r="I14" i="1" s="1"/>
  <c r="O16" i="109"/>
  <c r="O101" i="109" s="1"/>
  <c r="O102" i="109" s="1"/>
  <c r="C20" i="110"/>
  <c r="O38" i="1"/>
  <c r="C15" i="88"/>
  <c r="C15" i="71"/>
  <c r="S38" i="1"/>
  <c r="R38" i="1" s="1"/>
  <c r="S50" i="1"/>
  <c r="U38" i="1"/>
  <c r="C23" i="94"/>
  <c r="C23" i="88"/>
  <c r="Q8" i="75"/>
  <c r="P25" i="108"/>
  <c r="AV27" i="75"/>
  <c r="U50" i="1"/>
  <c r="P13" i="108"/>
  <c r="D30" i="110"/>
  <c r="AP8" i="75"/>
  <c r="CS8" i="75"/>
  <c r="CL8" i="75"/>
  <c r="CC8" i="75"/>
  <c r="DB8" i="75"/>
  <c r="AG8" i="75"/>
  <c r="Y8" i="75"/>
  <c r="AX8" i="75"/>
  <c r="BV8" i="75"/>
  <c r="M27" i="108"/>
  <c r="N10" i="108"/>
  <c r="N12" i="108"/>
  <c r="F35" i="102"/>
  <c r="R10" i="84"/>
  <c r="R9" i="84" s="1"/>
  <c r="G10" i="84"/>
  <c r="G9" i="84" s="1"/>
  <c r="N22" i="2" s="1"/>
  <c r="G14" i="102"/>
  <c r="G12" i="102" s="1"/>
  <c r="W18" i="65"/>
  <c r="U18" i="65" s="1"/>
  <c r="U16" i="65"/>
  <c r="W8" i="65"/>
  <c r="V19" i="65"/>
  <c r="BF30" i="75"/>
  <c r="BE30" i="75"/>
  <c r="R27" i="75"/>
  <c r="Q27" i="75"/>
  <c r="AH27" i="75"/>
  <c r="AG27" i="75"/>
  <c r="DA27" i="75"/>
  <c r="Z8" i="75"/>
  <c r="CT8" i="75"/>
  <c r="G5" i="64"/>
  <c r="W11" i="65"/>
  <c r="U11" i="65" s="1"/>
  <c r="R8" i="75"/>
  <c r="AX27" i="75"/>
  <c r="AW27" i="75"/>
  <c r="AO8" i="75"/>
  <c r="AH8" i="75"/>
  <c r="CK8" i="75"/>
  <c r="K5" i="64"/>
  <c r="W15" i="65"/>
  <c r="U15" i="65" s="1"/>
  <c r="CD8" i="75"/>
  <c r="BU8" i="75"/>
  <c r="DA8" i="75"/>
  <c r="AW8" i="75"/>
  <c r="Z27" i="75"/>
  <c r="Y27" i="75"/>
  <c r="J8" i="64"/>
  <c r="J12" i="1"/>
  <c r="J64" i="1" s="1"/>
  <c r="O5" i="64"/>
  <c r="W19" i="65"/>
  <c r="M5" i="64"/>
  <c r="W17" i="65"/>
  <c r="U17" i="65" s="1"/>
  <c r="H5" i="64"/>
  <c r="W12" i="65"/>
  <c r="U12" i="65" s="1"/>
  <c r="G64" i="1"/>
  <c r="D7" i="64"/>
  <c r="C17" i="65"/>
  <c r="E19" i="65"/>
  <c r="F19" i="65" s="1"/>
  <c r="F8" i="64"/>
  <c r="AF27" i="75"/>
  <c r="E15" i="65"/>
  <c r="F15" i="65" s="1"/>
  <c r="X35" i="1"/>
  <c r="L32" i="1"/>
  <c r="L15" i="1"/>
  <c r="L39" i="1"/>
  <c r="E29" i="102"/>
  <c r="C29" i="102" s="1"/>
  <c r="B30" i="127" s="1"/>
  <c r="C16" i="71"/>
  <c r="Q40" i="1"/>
  <c r="O40" i="1"/>
  <c r="D13" i="63"/>
  <c r="R41" i="1"/>
  <c r="S37" i="1"/>
  <c r="Q36" i="1"/>
  <c r="R36" i="1" s="1"/>
  <c r="Q37" i="1"/>
  <c r="Q34" i="1"/>
  <c r="C25" i="102"/>
  <c r="H37" i="2"/>
  <c r="K55" i="1"/>
  <c r="L55" i="1"/>
  <c r="D5" i="101" s="1"/>
  <c r="E8" i="102"/>
  <c r="E44" i="102" s="1"/>
  <c r="E45" i="102" s="1"/>
  <c r="C14" i="101"/>
  <c r="E9" i="65"/>
  <c r="F9" i="65" s="1"/>
  <c r="C13" i="65"/>
  <c r="F18" i="2"/>
  <c r="D23" i="110" s="1"/>
  <c r="M32" i="1"/>
  <c r="M13" i="1" s="1"/>
  <c r="H9" i="102"/>
  <c r="AC10" i="102" s="1"/>
  <c r="G9" i="118"/>
  <c r="C8" i="75"/>
  <c r="C7" i="75" s="1"/>
  <c r="X27" i="75"/>
  <c r="E8" i="64"/>
  <c r="BD30" i="75"/>
  <c r="I8" i="130" s="1"/>
  <c r="I5" i="130" s="1"/>
  <c r="BB27" i="75"/>
  <c r="F30" i="75"/>
  <c r="BB8" i="75"/>
  <c r="F25" i="102"/>
  <c r="G29" i="102"/>
  <c r="F29" i="102" s="1"/>
  <c r="E7" i="63"/>
  <c r="E12" i="65"/>
  <c r="R45" i="1"/>
  <c r="R35" i="1"/>
  <c r="D10" i="63"/>
  <c r="D12" i="63"/>
  <c r="R33" i="1"/>
  <c r="E10" i="65"/>
  <c r="D14" i="63"/>
  <c r="E13" i="65"/>
  <c r="E16" i="65"/>
  <c r="F11" i="65"/>
  <c r="E18" i="65"/>
  <c r="C8" i="65"/>
  <c r="G20" i="65"/>
  <c r="D31" i="63"/>
  <c r="N5" i="64"/>
  <c r="E17" i="65"/>
  <c r="V8" i="128" l="1"/>
  <c r="V8" i="98"/>
  <c r="W14" i="128"/>
  <c r="W14" i="98"/>
  <c r="S146" i="107"/>
  <c r="S146" i="125"/>
  <c r="T146" i="125"/>
  <c r="AD101" i="125"/>
  <c r="X37" i="1"/>
  <c r="B27" i="117"/>
  <c r="B26" i="127"/>
  <c r="D5" i="130"/>
  <c r="W10" i="128"/>
  <c r="U10" i="128" s="1"/>
  <c r="W10" i="98"/>
  <c r="U10" i="98" s="1"/>
  <c r="Q11" i="96"/>
  <c r="Q10" i="96" s="1"/>
  <c r="Q9" i="96" s="1"/>
  <c r="C40" i="96"/>
  <c r="C11" i="96" s="1"/>
  <c r="C10" i="96" s="1"/>
  <c r="Q11" i="132"/>
  <c r="Q10" i="132" s="1"/>
  <c r="Q9" i="132" s="1"/>
  <c r="C40" i="132"/>
  <c r="C11" i="132" s="1"/>
  <c r="C10" i="132" s="1"/>
  <c r="W12" i="128"/>
  <c r="U12" i="128" s="1"/>
  <c r="W12" i="98"/>
  <c r="U12" i="98" s="1"/>
  <c r="W9" i="128"/>
  <c r="U9" i="128" s="1"/>
  <c r="W9" i="98"/>
  <c r="U9" i="98" s="1"/>
  <c r="G30" i="127"/>
  <c r="E30" i="127"/>
  <c r="G18" i="127"/>
  <c r="E18" i="127"/>
  <c r="C8" i="130"/>
  <c r="AI60" i="107"/>
  <c r="F16" i="128"/>
  <c r="F12" i="98"/>
  <c r="F12" i="128"/>
  <c r="F11" i="98"/>
  <c r="F11" i="128"/>
  <c r="F10" i="98"/>
  <c r="F10" i="128"/>
  <c r="F8" i="98"/>
  <c r="F8" i="128"/>
  <c r="AA125" i="107"/>
  <c r="AF26" i="107"/>
  <c r="AI26" i="107" s="1"/>
  <c r="AA14" i="125"/>
  <c r="AA107" i="125" s="1"/>
  <c r="AA108" i="125" s="1"/>
  <c r="AF38" i="1"/>
  <c r="Y114" i="125"/>
  <c r="AD113" i="125"/>
  <c r="AG113" i="125" s="1"/>
  <c r="Z114" i="125"/>
  <c r="Y108" i="125"/>
  <c r="AB114" i="107"/>
  <c r="AF113" i="107"/>
  <c r="AI113" i="107" s="1"/>
  <c r="AA114" i="107"/>
  <c r="AD26" i="125"/>
  <c r="AG26" i="125" s="1"/>
  <c r="Y125" i="125"/>
  <c r="AE37" i="1"/>
  <c r="AD72" i="125"/>
  <c r="U76" i="125"/>
  <c r="T77" i="125"/>
  <c r="V77" i="125" s="1"/>
  <c r="T167" i="125"/>
  <c r="U167" i="125" s="1"/>
  <c r="Y167" i="125"/>
  <c r="AB167" i="125" s="1"/>
  <c r="U9" i="125"/>
  <c r="T132" i="125"/>
  <c r="V132" i="125" s="1"/>
  <c r="T48" i="125"/>
  <c r="T42" i="125"/>
  <c r="V42" i="125" s="1"/>
  <c r="T131" i="125"/>
  <c r="U131" i="125" s="1"/>
  <c r="AG64" i="125"/>
  <c r="T70" i="125"/>
  <c r="V70" i="125" s="1"/>
  <c r="V58" i="125"/>
  <c r="Y86" i="125"/>
  <c r="M13" i="119"/>
  <c r="M8" i="119" s="1"/>
  <c r="M9" i="119" s="1"/>
  <c r="Z13" i="125"/>
  <c r="AF52" i="107"/>
  <c r="X85" i="125"/>
  <c r="X79" i="125"/>
  <c r="AG100" i="125"/>
  <c r="X97" i="125"/>
  <c r="U7" i="125"/>
  <c r="W129" i="125" s="1"/>
  <c r="T166" i="125"/>
  <c r="U166" i="125" s="1"/>
  <c r="T163" i="125"/>
  <c r="T164" i="125" s="1"/>
  <c r="T69" i="125"/>
  <c r="V69" i="125" s="1"/>
  <c r="T128" i="125"/>
  <c r="V128" i="125" s="1"/>
  <c r="T41" i="125"/>
  <c r="V41" i="125" s="1"/>
  <c r="T57" i="125"/>
  <c r="T43" i="125"/>
  <c r="T73" i="125"/>
  <c r="T78" i="125" s="1"/>
  <c r="T40" i="125"/>
  <c r="V40" i="125" s="1"/>
  <c r="T46" i="125"/>
  <c r="V46" i="125" s="1"/>
  <c r="T47" i="125"/>
  <c r="X135" i="125"/>
  <c r="AE101" i="125"/>
  <c r="AE72" i="125"/>
  <c r="X59" i="125"/>
  <c r="W59" i="125"/>
  <c r="AE136" i="125"/>
  <c r="AG136" i="125" s="1"/>
  <c r="AG97" i="125"/>
  <c r="X8" i="125"/>
  <c r="W8" i="125"/>
  <c r="E40" i="118"/>
  <c r="E42" i="118"/>
  <c r="AG136" i="107"/>
  <c r="AI136" i="107" s="1"/>
  <c r="AG98" i="107"/>
  <c r="AF136" i="107"/>
  <c r="AI135" i="107"/>
  <c r="AG52" i="107"/>
  <c r="AA85" i="107"/>
  <c r="AA101" i="107"/>
  <c r="AF100" i="107"/>
  <c r="AI100" i="107" s="1"/>
  <c r="AB101" i="107"/>
  <c r="AA72" i="107"/>
  <c r="AF64" i="107"/>
  <c r="AI64" i="107" s="1"/>
  <c r="AB72" i="107"/>
  <c r="AI82" i="107"/>
  <c r="AG83" i="107"/>
  <c r="Z10" i="107"/>
  <c r="U8" i="119"/>
  <c r="V8" i="119" s="1"/>
  <c r="J8" i="119"/>
  <c r="W79" i="107"/>
  <c r="V80" i="107"/>
  <c r="X80" i="107" s="1"/>
  <c r="V58" i="107"/>
  <c r="W59" i="107"/>
  <c r="V45" i="107"/>
  <c r="W8" i="107"/>
  <c r="W76" i="107"/>
  <c r="S137" i="107"/>
  <c r="T146" i="107"/>
  <c r="W146" i="107" s="1"/>
  <c r="I12" i="108"/>
  <c r="V143" i="107"/>
  <c r="W143" i="107" s="1"/>
  <c r="V142" i="107"/>
  <c r="W142" i="107" s="1"/>
  <c r="O11" i="123"/>
  <c r="V146" i="107"/>
  <c r="V129" i="107"/>
  <c r="W129" i="107" s="1"/>
  <c r="M11" i="108"/>
  <c r="H8" i="108"/>
  <c r="I8" i="108" s="1"/>
  <c r="V7" i="107"/>
  <c r="I10" i="108"/>
  <c r="V9" i="107"/>
  <c r="R40" i="1"/>
  <c r="AB13" i="107"/>
  <c r="AB85" i="107" s="1"/>
  <c r="T13" i="1"/>
  <c r="F6" i="110" s="1"/>
  <c r="X38" i="1"/>
  <c r="J27" i="118"/>
  <c r="W32" i="1"/>
  <c r="W13" i="1" s="1"/>
  <c r="W14" i="1" s="1"/>
  <c r="AD37" i="1"/>
  <c r="Y32" i="1"/>
  <c r="Y13" i="1" s="1"/>
  <c r="Y14" i="1" s="1"/>
  <c r="AC34" i="1"/>
  <c r="AE34" i="1"/>
  <c r="AL37" i="1"/>
  <c r="AK37" i="1"/>
  <c r="AI37" i="1"/>
  <c r="AI35" i="1"/>
  <c r="AJ35" i="1" s="1"/>
  <c r="AI36" i="1"/>
  <c r="AJ36" i="1" s="1"/>
  <c r="AB107" i="107"/>
  <c r="F12" i="110"/>
  <c r="X33" i="1"/>
  <c r="N14" i="119"/>
  <c r="AC14" i="107"/>
  <c r="AC107" i="107" s="1"/>
  <c r="AE38" i="1"/>
  <c r="AA38" i="1"/>
  <c r="AC38" i="1"/>
  <c r="X34" i="1"/>
  <c r="AC33" i="1"/>
  <c r="AE33" i="1"/>
  <c r="Z32" i="1"/>
  <c r="AA13" i="125" s="1"/>
  <c r="I7" i="119"/>
  <c r="U7" i="119" s="1"/>
  <c r="I9" i="119"/>
  <c r="K9" i="119" s="1"/>
  <c r="AC30" i="109"/>
  <c r="T30" i="109"/>
  <c r="O51" i="109"/>
  <c r="O48" i="109"/>
  <c r="O46" i="109"/>
  <c r="O44" i="109"/>
  <c r="AB10" i="118"/>
  <c r="AA10" i="118" s="1"/>
  <c r="F9" i="118"/>
  <c r="B31" i="117"/>
  <c r="I15" i="2"/>
  <c r="G22" i="118" s="1"/>
  <c r="Q43" i="1"/>
  <c r="F5" i="64"/>
  <c r="U19" i="65"/>
  <c r="M13" i="108"/>
  <c r="M25" i="108"/>
  <c r="D5" i="110"/>
  <c r="N8" i="108"/>
  <c r="C14" i="71"/>
  <c r="C5" i="101"/>
  <c r="E11" i="102"/>
  <c r="W10" i="65"/>
  <c r="U10" i="65" s="1"/>
  <c r="D5" i="64"/>
  <c r="V8" i="65"/>
  <c r="U8" i="65" s="1"/>
  <c r="J30" i="75"/>
  <c r="I30" i="75"/>
  <c r="E5" i="64"/>
  <c r="W9" i="65"/>
  <c r="U9" i="65" s="1"/>
  <c r="BF8" i="75"/>
  <c r="BE8" i="75"/>
  <c r="BF27" i="75"/>
  <c r="BE27" i="75"/>
  <c r="W14" i="65"/>
  <c r="K26" i="75"/>
  <c r="O32" i="1"/>
  <c r="U32" i="1"/>
  <c r="C14" i="94"/>
  <c r="C14" i="88"/>
  <c r="R37" i="1"/>
  <c r="Q32" i="1"/>
  <c r="R34" i="1"/>
  <c r="H18" i="2"/>
  <c r="H30" i="75"/>
  <c r="S32" i="1"/>
  <c r="AQ31" i="75"/>
  <c r="AQ26" i="75" s="1"/>
  <c r="BD27" i="75"/>
  <c r="I8" i="64"/>
  <c r="G9" i="102"/>
  <c r="BD8" i="75"/>
  <c r="AY31" i="75"/>
  <c r="AY26" i="75" s="1"/>
  <c r="BW31" i="75"/>
  <c r="BW26" i="75" s="1"/>
  <c r="F13" i="65"/>
  <c r="E8" i="65"/>
  <c r="F17" i="65"/>
  <c r="C23" i="71"/>
  <c r="Q50" i="1"/>
  <c r="F18" i="65"/>
  <c r="F16" i="65"/>
  <c r="F10" i="65"/>
  <c r="F12" i="65"/>
  <c r="W13" i="128" l="1"/>
  <c r="U13" i="128" s="1"/>
  <c r="W13" i="98"/>
  <c r="U13" i="98" s="1"/>
  <c r="W20" i="128"/>
  <c r="S137" i="125"/>
  <c r="U146" i="125"/>
  <c r="U8" i="98"/>
  <c r="W135" i="125"/>
  <c r="U8" i="128"/>
  <c r="G26" i="127"/>
  <c r="E26" i="127"/>
  <c r="AE114" i="125"/>
  <c r="AD114" i="125"/>
  <c r="AG101" i="107"/>
  <c r="Z126" i="125"/>
  <c r="Y126" i="125"/>
  <c r="AD125" i="125"/>
  <c r="AG125" i="125" s="1"/>
  <c r="AG114" i="107"/>
  <c r="AB126" i="107"/>
  <c r="AA126" i="107"/>
  <c r="AF125" i="107"/>
  <c r="AI125" i="107" s="1"/>
  <c r="AL38" i="1"/>
  <c r="AC14" i="125" s="1"/>
  <c r="AC107" i="125" s="1"/>
  <c r="AC108" i="125" s="1"/>
  <c r="AB14" i="125"/>
  <c r="AB107" i="125" s="1"/>
  <c r="AB108" i="125" s="1"/>
  <c r="AB86" i="107"/>
  <c r="AA85" i="125"/>
  <c r="AA8" i="125"/>
  <c r="T65" i="125"/>
  <c r="W65" i="125" s="1"/>
  <c r="V57" i="125"/>
  <c r="T63" i="125"/>
  <c r="T68" i="125"/>
  <c r="W68" i="125" s="1"/>
  <c r="W97" i="125"/>
  <c r="W85" i="125"/>
  <c r="T50" i="125"/>
  <c r="T49" i="125"/>
  <c r="V49" i="125" s="1"/>
  <c r="W79" i="125"/>
  <c r="T66" i="125"/>
  <c r="W66" i="125" s="1"/>
  <c r="T99" i="125"/>
  <c r="U73" i="125"/>
  <c r="T112" i="125"/>
  <c r="T96" i="125"/>
  <c r="T121" i="125"/>
  <c r="T127" i="125"/>
  <c r="T115" i="125"/>
  <c r="T103" i="125"/>
  <c r="T93" i="125"/>
  <c r="T118" i="125"/>
  <c r="T90" i="125"/>
  <c r="T74" i="125"/>
  <c r="V74" i="125" s="1"/>
  <c r="T109" i="125"/>
  <c r="T124" i="125"/>
  <c r="T84" i="125"/>
  <c r="T102" i="125"/>
  <c r="T81" i="125"/>
  <c r="T87" i="125"/>
  <c r="W21" i="125"/>
  <c r="W16" i="125"/>
  <c r="W14" i="125"/>
  <c r="W113" i="125"/>
  <c r="W23" i="125"/>
  <c r="W39" i="125"/>
  <c r="W45" i="125"/>
  <c r="W52" i="125"/>
  <c r="W46" i="125"/>
  <c r="W42" i="125"/>
  <c r="W7" i="125"/>
  <c r="W36" i="125"/>
  <c r="W27" i="125"/>
  <c r="W26" i="125"/>
  <c r="W15" i="125"/>
  <c r="W30" i="125"/>
  <c r="W62" i="125"/>
  <c r="W43" i="125"/>
  <c r="W94" i="125"/>
  <c r="W31" i="125"/>
  <c r="W17" i="125"/>
  <c r="W49" i="125"/>
  <c r="W44" i="125"/>
  <c r="W33" i="125"/>
  <c r="W34" i="125"/>
  <c r="W38" i="125"/>
  <c r="W61" i="125"/>
  <c r="W142" i="125"/>
  <c r="W122" i="125"/>
  <c r="W91" i="125"/>
  <c r="W64" i="125"/>
  <c r="W145" i="125"/>
  <c r="W40" i="125"/>
  <c r="W41" i="125"/>
  <c r="W19" i="125"/>
  <c r="W144" i="125"/>
  <c r="W24" i="125"/>
  <c r="W35" i="125"/>
  <c r="W54" i="125"/>
  <c r="W32" i="125"/>
  <c r="W119" i="125"/>
  <c r="W125" i="125"/>
  <c r="W60" i="125"/>
  <c r="W51" i="125"/>
  <c r="W110" i="125"/>
  <c r="W88" i="125"/>
  <c r="W116" i="125"/>
  <c r="W55" i="125"/>
  <c r="W47" i="125"/>
  <c r="X7" i="125"/>
  <c r="W25" i="125"/>
  <c r="W37" i="125"/>
  <c r="W20" i="125"/>
  <c r="W22" i="125"/>
  <c r="W29" i="125"/>
  <c r="W18" i="125"/>
  <c r="W56" i="125"/>
  <c r="W147" i="125"/>
  <c r="W53" i="125"/>
  <c r="W48" i="125"/>
  <c r="W58" i="125"/>
  <c r="W63" i="125"/>
  <c r="W57" i="125"/>
  <c r="W50" i="125"/>
  <c r="W11" i="125"/>
  <c r="W12" i="125"/>
  <c r="W10" i="125"/>
  <c r="W28" i="125"/>
  <c r="W100" i="125"/>
  <c r="W82" i="125"/>
  <c r="W13" i="125"/>
  <c r="W131" i="125"/>
  <c r="X9" i="125"/>
  <c r="W9" i="125"/>
  <c r="T44" i="125"/>
  <c r="T53" i="125"/>
  <c r="Z85" i="125"/>
  <c r="Z8" i="125"/>
  <c r="W76" i="125"/>
  <c r="U78" i="125"/>
  <c r="I27" i="118"/>
  <c r="AG72" i="107"/>
  <c r="AB108" i="107"/>
  <c r="J7" i="119"/>
  <c r="K7" i="119"/>
  <c r="AA86" i="107"/>
  <c r="W9" i="107"/>
  <c r="V42" i="107"/>
  <c r="X42" i="107" s="1"/>
  <c r="V132" i="107"/>
  <c r="X132" i="107" s="1"/>
  <c r="Z59" i="107"/>
  <c r="V70" i="107"/>
  <c r="X70" i="107" s="1"/>
  <c r="X58" i="107"/>
  <c r="U9" i="119"/>
  <c r="V9" i="119" s="1"/>
  <c r="J9" i="119"/>
  <c r="V128" i="107"/>
  <c r="X128" i="107" s="1"/>
  <c r="W7" i="107"/>
  <c r="Y129" i="107" s="1"/>
  <c r="V41" i="107"/>
  <c r="X41" i="107" s="1"/>
  <c r="V69" i="107"/>
  <c r="X69" i="107" s="1"/>
  <c r="Z8" i="107"/>
  <c r="V46" i="107"/>
  <c r="X46" i="107" s="1"/>
  <c r="Z79" i="107"/>
  <c r="T137" i="107"/>
  <c r="O140" i="109"/>
  <c r="V7" i="119"/>
  <c r="W45" i="107"/>
  <c r="W58" i="107"/>
  <c r="V57" i="107"/>
  <c r="X57" i="107" s="1"/>
  <c r="V163" i="107"/>
  <c r="H7" i="108"/>
  <c r="O7" i="108" s="1"/>
  <c r="H9" i="108"/>
  <c r="O8" i="108"/>
  <c r="Q8" i="108" s="1"/>
  <c r="O90" i="109"/>
  <c r="O93" i="109"/>
  <c r="O84" i="109"/>
  <c r="O87" i="109"/>
  <c r="O78" i="109"/>
  <c r="O81" i="109"/>
  <c r="O75" i="109"/>
  <c r="O72" i="109"/>
  <c r="O69" i="109"/>
  <c r="V131" i="107"/>
  <c r="W131" i="107" s="1"/>
  <c r="V48" i="107"/>
  <c r="V49" i="107" s="1"/>
  <c r="X49" i="107" s="1"/>
  <c r="O52" i="109"/>
  <c r="V40" i="107"/>
  <c r="V73" i="107"/>
  <c r="V43" i="107"/>
  <c r="V47" i="107" s="1"/>
  <c r="Y12" i="1"/>
  <c r="N8" i="118" s="1"/>
  <c r="AI8" i="118" s="1"/>
  <c r="AI13" i="118" s="1"/>
  <c r="M7" i="119"/>
  <c r="T14" i="1"/>
  <c r="T12" i="1"/>
  <c r="X32" i="1"/>
  <c r="X13" i="1" s="1"/>
  <c r="X14" i="1" s="1"/>
  <c r="AB8" i="107"/>
  <c r="AD38" i="1"/>
  <c r="AJ37" i="1"/>
  <c r="AE32" i="1"/>
  <c r="AE13" i="1" s="1"/>
  <c r="P15" i="108"/>
  <c r="M15" i="108"/>
  <c r="AO35" i="1"/>
  <c r="AP35" i="1" s="1"/>
  <c r="AQ37" i="1"/>
  <c r="AO37" i="1"/>
  <c r="AD33" i="1"/>
  <c r="G12" i="110"/>
  <c r="AC32" i="1"/>
  <c r="AC13" i="1" s="1"/>
  <c r="O14" i="119"/>
  <c r="AD14" i="107"/>
  <c r="AD107" i="107" s="1"/>
  <c r="AK38" i="1"/>
  <c r="AG38" i="1"/>
  <c r="AI38" i="1"/>
  <c r="AK33" i="1"/>
  <c r="AF32" i="1"/>
  <c r="AB13" i="125" s="1"/>
  <c r="AI33" i="1"/>
  <c r="AD34" i="1"/>
  <c r="W12" i="1"/>
  <c r="F10" i="110" s="1"/>
  <c r="F11" i="110" s="1"/>
  <c r="N13" i="119"/>
  <c r="Z13" i="1"/>
  <c r="AA32" i="1"/>
  <c r="AC13" i="107"/>
  <c r="AC108" i="107"/>
  <c r="AO36" i="1"/>
  <c r="AP36" i="1" s="1"/>
  <c r="AK34" i="1"/>
  <c r="AI34" i="1"/>
  <c r="O59" i="109"/>
  <c r="O62" i="109"/>
  <c r="O56" i="109"/>
  <c r="O65" i="109"/>
  <c r="N7" i="108"/>
  <c r="F5" i="110"/>
  <c r="P12" i="108"/>
  <c r="W13" i="65"/>
  <c r="U13" i="65" s="1"/>
  <c r="G22" i="102"/>
  <c r="R32" i="1"/>
  <c r="CE31" i="75"/>
  <c r="CE26" i="75" s="1"/>
  <c r="BG31" i="75"/>
  <c r="BG26" i="75" s="1"/>
  <c r="AI31" i="75"/>
  <c r="AI26" i="75" s="1"/>
  <c r="CU31" i="75"/>
  <c r="CU26" i="75" s="1"/>
  <c r="CM31" i="75"/>
  <c r="CM26" i="75" s="1"/>
  <c r="BO31" i="75"/>
  <c r="I5" i="64"/>
  <c r="C6" i="64" s="1"/>
  <c r="C8" i="64"/>
  <c r="O15" i="2" s="1"/>
  <c r="F9" i="102"/>
  <c r="AA31" i="75"/>
  <c r="AA26" i="75" s="1"/>
  <c r="D11" i="101"/>
  <c r="S31" i="75"/>
  <c r="C34" i="75"/>
  <c r="C31" i="75" s="1"/>
  <c r="C26" i="75" s="1"/>
  <c r="F8" i="65"/>
  <c r="W20" i="98" l="1"/>
  <c r="AD126" i="125"/>
  <c r="AE108" i="125"/>
  <c r="AG126" i="107"/>
  <c r="AD107" i="125"/>
  <c r="AD108" i="125"/>
  <c r="AD14" i="125"/>
  <c r="AG14" i="125" s="1"/>
  <c r="AE126" i="125"/>
  <c r="Z7" i="125"/>
  <c r="Z45" i="125"/>
  <c r="Z9" i="125"/>
  <c r="Z129" i="125"/>
  <c r="U103" i="125"/>
  <c r="T105" i="125"/>
  <c r="T104" i="125"/>
  <c r="V104" i="125" s="1"/>
  <c r="AB85" i="125"/>
  <c r="AB8" i="125"/>
  <c r="Z86" i="125"/>
  <c r="U75" i="125"/>
  <c r="U90" i="125"/>
  <c r="U118" i="125"/>
  <c r="W73" i="125"/>
  <c r="U112" i="125"/>
  <c r="U127" i="125"/>
  <c r="U109" i="125"/>
  <c r="U121" i="125"/>
  <c r="U115" i="125"/>
  <c r="U93" i="125"/>
  <c r="X73" i="125"/>
  <c r="U96" i="125"/>
  <c r="U124" i="125"/>
  <c r="U84" i="125"/>
  <c r="U102" i="125"/>
  <c r="U87" i="125"/>
  <c r="U99" i="125"/>
  <c r="U81" i="125"/>
  <c r="AA9" i="125"/>
  <c r="AA130" i="125"/>
  <c r="AA129" i="125"/>
  <c r="AA7" i="125"/>
  <c r="AA45" i="125"/>
  <c r="V44" i="125"/>
  <c r="X44" i="125"/>
  <c r="T67" i="125"/>
  <c r="W67" i="125" s="1"/>
  <c r="V63" i="125"/>
  <c r="T71" i="125"/>
  <c r="V71" i="125" s="1"/>
  <c r="AA86" i="125"/>
  <c r="P6" i="108"/>
  <c r="N9" i="108"/>
  <c r="N8" i="102"/>
  <c r="V65" i="107"/>
  <c r="Y65" i="107" s="1"/>
  <c r="V63" i="107"/>
  <c r="V71" i="107" s="1"/>
  <c r="X71" i="107" s="1"/>
  <c r="V68" i="107"/>
  <c r="Y68" i="107" s="1"/>
  <c r="Q7" i="108"/>
  <c r="D29" i="117"/>
  <c r="S19" i="108"/>
  <c r="S16" i="108"/>
  <c r="S13" i="108"/>
  <c r="S22" i="108"/>
  <c r="Y42" i="107"/>
  <c r="Y45" i="107"/>
  <c r="Y41" i="107"/>
  <c r="S26" i="108"/>
  <c r="I7" i="108"/>
  <c r="S21" i="108"/>
  <c r="S27" i="108"/>
  <c r="S24" i="108"/>
  <c r="S17" i="108"/>
  <c r="S23" i="108"/>
  <c r="S20" i="108"/>
  <c r="S8" i="108"/>
  <c r="S11" i="108"/>
  <c r="S10" i="108"/>
  <c r="S14" i="108"/>
  <c r="S15" i="108"/>
  <c r="S12" i="108"/>
  <c r="S18" i="108"/>
  <c r="S25" i="108"/>
  <c r="S7" i="108"/>
  <c r="Y131" i="107"/>
  <c r="Y46" i="107"/>
  <c r="Y79" i="107"/>
  <c r="Y76" i="107"/>
  <c r="W63" i="107"/>
  <c r="AB45" i="107"/>
  <c r="W43" i="107"/>
  <c r="V44" i="107"/>
  <c r="X44" i="107" s="1"/>
  <c r="Z7" i="107"/>
  <c r="Y147" i="107"/>
  <c r="Y135" i="107"/>
  <c r="Y122" i="107"/>
  <c r="Y110" i="107"/>
  <c r="Y94" i="107"/>
  <c r="Y82" i="107"/>
  <c r="Y35" i="107"/>
  <c r="Y28" i="107"/>
  <c r="Y24" i="107"/>
  <c r="Y20" i="107"/>
  <c r="Y16" i="107"/>
  <c r="Y12" i="107"/>
  <c r="Y145" i="107"/>
  <c r="Y64" i="107"/>
  <c r="Y54" i="107"/>
  <c r="Y34" i="107"/>
  <c r="Y23" i="107"/>
  <c r="Y15" i="107"/>
  <c r="Y7" i="107"/>
  <c r="Y60" i="107"/>
  <c r="Y125" i="107"/>
  <c r="Y113" i="107"/>
  <c r="Y97" i="107"/>
  <c r="Y85" i="107"/>
  <c r="Y37" i="107"/>
  <c r="Y29" i="107"/>
  <c r="Y25" i="107"/>
  <c r="Y21" i="107"/>
  <c r="Y17" i="107"/>
  <c r="Y13" i="107"/>
  <c r="Y144" i="107"/>
  <c r="Y119" i="107"/>
  <c r="Y91" i="107"/>
  <c r="Y62" i="107"/>
  <c r="Y27" i="107"/>
  <c r="Y19" i="107"/>
  <c r="Y11" i="107"/>
  <c r="Y100" i="107"/>
  <c r="Y51" i="107"/>
  <c r="Y22" i="107"/>
  <c r="Y142" i="107"/>
  <c r="Y18" i="107"/>
  <c r="Y30" i="107"/>
  <c r="Y116" i="107"/>
  <c r="Y61" i="107"/>
  <c r="Y26" i="107"/>
  <c r="Y88" i="107"/>
  <c r="Y38" i="107"/>
  <c r="Y14" i="107"/>
  <c r="Y55" i="107"/>
  <c r="Y31" i="107"/>
  <c r="Y32" i="107"/>
  <c r="Y36" i="107"/>
  <c r="Y33" i="107"/>
  <c r="Y56" i="107"/>
  <c r="Y39" i="107"/>
  <c r="Y52" i="107"/>
  <c r="Y10" i="107"/>
  <c r="W73" i="107"/>
  <c r="V74" i="107"/>
  <c r="X74" i="107" s="1"/>
  <c r="Z58" i="107"/>
  <c r="Y58" i="107"/>
  <c r="Y8" i="107"/>
  <c r="Y59" i="107"/>
  <c r="Z9" i="107"/>
  <c r="Y9" i="107"/>
  <c r="Y40" i="107"/>
  <c r="X40" i="107"/>
  <c r="Y49" i="107"/>
  <c r="W48" i="107"/>
  <c r="V66" i="107"/>
  <c r="Y66" i="107" s="1"/>
  <c r="W57" i="107"/>
  <c r="AJ38" i="1"/>
  <c r="P5" i="108"/>
  <c r="N11" i="118"/>
  <c r="O9" i="108"/>
  <c r="Q9" i="108" s="1"/>
  <c r="S9" i="108"/>
  <c r="P4" i="108"/>
  <c r="I9" i="108"/>
  <c r="V164" i="107"/>
  <c r="V50" i="107"/>
  <c r="V118" i="107"/>
  <c r="V124" i="107"/>
  <c r="V121" i="107"/>
  <c r="V103" i="107"/>
  <c r="V104" i="107" s="1"/>
  <c r="X104" i="107" s="1"/>
  <c r="V102" i="107"/>
  <c r="V87" i="107"/>
  <c r="V90" i="107"/>
  <c r="Y47" i="107"/>
  <c r="V109" i="107"/>
  <c r="V99" i="107"/>
  <c r="V112" i="107"/>
  <c r="V78" i="107"/>
  <c r="V115" i="107"/>
  <c r="Y44" i="107"/>
  <c r="V84" i="107"/>
  <c r="V96" i="107"/>
  <c r="V127" i="107"/>
  <c r="V53" i="107"/>
  <c r="V81" i="107"/>
  <c r="V93" i="107"/>
  <c r="AB7" i="107"/>
  <c r="AB9" i="107"/>
  <c r="X12" i="1"/>
  <c r="AB129" i="107"/>
  <c r="AP37" i="1"/>
  <c r="AD32" i="1"/>
  <c r="AD13" i="1" s="1"/>
  <c r="AD12" i="1" s="1"/>
  <c r="AJ34" i="1"/>
  <c r="G8" i="111"/>
  <c r="Z14" i="1"/>
  <c r="AA13" i="1"/>
  <c r="Z12" i="1"/>
  <c r="AA12" i="1" s="1"/>
  <c r="G6" i="110"/>
  <c r="AD13" i="107"/>
  <c r="O13" i="119"/>
  <c r="O8" i="119" s="1"/>
  <c r="AF13" i="1"/>
  <c r="AG32" i="1"/>
  <c r="AE14" i="1"/>
  <c r="AL29" i="102" s="1"/>
  <c r="AE12" i="1"/>
  <c r="AI32" i="1"/>
  <c r="AI13" i="1" s="1"/>
  <c r="AJ33" i="1"/>
  <c r="H12" i="110"/>
  <c r="AQ34" i="1"/>
  <c r="AO34" i="1"/>
  <c r="N8" i="119"/>
  <c r="AK32" i="1"/>
  <c r="AK13" i="1" s="1"/>
  <c r="AC12" i="1"/>
  <c r="G10" i="110" s="1"/>
  <c r="AC14" i="1"/>
  <c r="AJ29" i="102" s="1"/>
  <c r="P14" i="119"/>
  <c r="R14" i="119" s="1"/>
  <c r="AE14" i="107"/>
  <c r="AF14" i="107" s="1"/>
  <c r="AI14" i="107" s="1"/>
  <c r="AM38" i="1"/>
  <c r="AQ38" i="1"/>
  <c r="AO38" i="1"/>
  <c r="AC8" i="107"/>
  <c r="AC85" i="107"/>
  <c r="AO33" i="1"/>
  <c r="AQ33" i="1"/>
  <c r="AL32" i="1"/>
  <c r="AC13" i="125" s="1"/>
  <c r="AD108" i="107"/>
  <c r="K22" i="118"/>
  <c r="Z22" i="118" s="1"/>
  <c r="W20" i="65"/>
  <c r="V67" i="107"/>
  <c r="Y67" i="107" s="1"/>
  <c r="AI18" i="118"/>
  <c r="AI26" i="118" s="1"/>
  <c r="O114" i="109"/>
  <c r="M12" i="108"/>
  <c r="S26" i="75"/>
  <c r="BO26" i="75"/>
  <c r="X63" i="107" l="1"/>
  <c r="N11" i="102"/>
  <c r="M8" i="118"/>
  <c r="L8" i="118" s="1"/>
  <c r="M8" i="102"/>
  <c r="M11" i="102" s="1"/>
  <c r="AA46" i="125"/>
  <c r="AA48" i="125"/>
  <c r="AA131" i="125"/>
  <c r="AA42" i="125"/>
  <c r="AA132" i="125"/>
  <c r="Z48" i="125"/>
  <c r="Z131" i="125"/>
  <c r="AA69" i="125"/>
  <c r="AA163" i="125"/>
  <c r="AA41" i="125"/>
  <c r="AA40" i="125"/>
  <c r="AA43" i="125"/>
  <c r="AA128" i="125"/>
  <c r="AA57" i="125"/>
  <c r="AA73" i="125"/>
  <c r="AB7" i="125"/>
  <c r="AB129" i="125"/>
  <c r="AB9" i="125"/>
  <c r="AB130" i="125"/>
  <c r="AB45" i="125"/>
  <c r="W103" i="125"/>
  <c r="X103" i="125"/>
  <c r="U105" i="125"/>
  <c r="AC85" i="125"/>
  <c r="AC8" i="125"/>
  <c r="AD13" i="125"/>
  <c r="AB86" i="125"/>
  <c r="Z163" i="125"/>
  <c r="Z57" i="125"/>
  <c r="Z73" i="125"/>
  <c r="Z43" i="125"/>
  <c r="Z40" i="125"/>
  <c r="G29" i="117"/>
  <c r="H29" i="117"/>
  <c r="AC86" i="107"/>
  <c r="Z73" i="107"/>
  <c r="W124" i="107"/>
  <c r="W112" i="107"/>
  <c r="W99" i="107"/>
  <c r="W87" i="107"/>
  <c r="W75" i="107"/>
  <c r="W109" i="107"/>
  <c r="W84" i="107"/>
  <c r="W118" i="107"/>
  <c r="W127" i="107"/>
  <c r="W115" i="107"/>
  <c r="W102" i="107"/>
  <c r="W90" i="107"/>
  <c r="Y73" i="107"/>
  <c r="W121" i="107"/>
  <c r="W96" i="107"/>
  <c r="W93" i="107"/>
  <c r="W81" i="107"/>
  <c r="W78" i="107"/>
  <c r="W50" i="107"/>
  <c r="Y50" i="107" s="1"/>
  <c r="Y48" i="107"/>
  <c r="W53" i="107"/>
  <c r="Y53" i="107" s="1"/>
  <c r="Y43" i="107"/>
  <c r="Y63" i="107"/>
  <c r="Z63" i="107"/>
  <c r="Z57" i="107"/>
  <c r="Y57" i="107"/>
  <c r="W103" i="107"/>
  <c r="AQ32" i="1"/>
  <c r="AQ13" i="1" s="1"/>
  <c r="AQ12" i="1" s="1"/>
  <c r="AB73" i="107"/>
  <c r="AB121" i="107" s="1"/>
  <c r="AB163" i="107"/>
  <c r="V105" i="107"/>
  <c r="AB48" i="107"/>
  <c r="AB43" i="107"/>
  <c r="AB40" i="107"/>
  <c r="AB57" i="107"/>
  <c r="AB66" i="107" s="1"/>
  <c r="AB131" i="107"/>
  <c r="AJ32" i="1"/>
  <c r="AJ13" i="1" s="1"/>
  <c r="AJ14" i="1" s="1"/>
  <c r="AN29" i="102" s="1"/>
  <c r="AD14" i="1"/>
  <c r="AK29" i="102" s="1"/>
  <c r="AP38" i="1"/>
  <c r="G5" i="110"/>
  <c r="AL13" i="1"/>
  <c r="AE13" i="107"/>
  <c r="AF13" i="107" s="1"/>
  <c r="AI13" i="107" s="1"/>
  <c r="AM32" i="1"/>
  <c r="P13" i="119"/>
  <c r="R13" i="119" s="1"/>
  <c r="Q14" i="119"/>
  <c r="H8" i="111"/>
  <c r="G11" i="110"/>
  <c r="AP34" i="1"/>
  <c r="AD85" i="107"/>
  <c r="AD8" i="107"/>
  <c r="AA14" i="1"/>
  <c r="AE107" i="107"/>
  <c r="AF107" i="107" s="1"/>
  <c r="AP33" i="1"/>
  <c r="I12" i="110"/>
  <c r="AO32" i="1"/>
  <c r="AO13" i="1" s="1"/>
  <c r="AI14" i="1"/>
  <c r="AM29" i="102" s="1"/>
  <c r="AI12" i="1"/>
  <c r="H10" i="110" s="1"/>
  <c r="H11" i="110" s="1"/>
  <c r="AF14" i="1"/>
  <c r="AG14" i="1" s="1"/>
  <c r="H6" i="110"/>
  <c r="H5" i="110" s="1"/>
  <c r="AF12" i="1"/>
  <c r="AG12" i="1" s="1"/>
  <c r="AG13" i="1"/>
  <c r="P8" i="102"/>
  <c r="P8" i="118"/>
  <c r="AK14" i="1"/>
  <c r="AO29" i="102" s="1"/>
  <c r="AK12" i="1"/>
  <c r="AC45" i="107"/>
  <c r="AC129" i="107"/>
  <c r="AC7" i="107"/>
  <c r="AC130" i="107"/>
  <c r="AC9" i="107"/>
  <c r="N7" i="119"/>
  <c r="N9" i="119"/>
  <c r="Q8" i="118"/>
  <c r="Q8" i="102"/>
  <c r="AL8" i="102" s="1"/>
  <c r="O9" i="119"/>
  <c r="O7" i="119"/>
  <c r="AB127" i="107"/>
  <c r="O115" i="109"/>
  <c r="L11" i="118"/>
  <c r="K22" i="102"/>
  <c r="E13" i="90"/>
  <c r="E13" i="95"/>
  <c r="E13" i="72"/>
  <c r="E34" i="101"/>
  <c r="AK8" i="102" l="1"/>
  <c r="M11" i="118"/>
  <c r="AB112" i="107"/>
  <c r="Z65" i="125"/>
  <c r="Z63" i="125"/>
  <c r="Z66" i="125"/>
  <c r="Z68" i="125"/>
  <c r="AG13" i="125"/>
  <c r="AB46" i="125"/>
  <c r="AB69" i="125"/>
  <c r="AB41" i="125"/>
  <c r="AB163" i="125"/>
  <c r="AB73" i="125"/>
  <c r="AB43" i="125"/>
  <c r="AB57" i="125"/>
  <c r="AB128" i="125"/>
  <c r="AB40" i="125"/>
  <c r="AA65" i="125"/>
  <c r="AA63" i="125"/>
  <c r="AA68" i="125"/>
  <c r="AA66" i="125"/>
  <c r="AC129" i="125"/>
  <c r="AC9" i="125"/>
  <c r="AC45" i="125"/>
  <c r="AC7" i="125"/>
  <c r="AC130" i="125"/>
  <c r="Z50" i="125"/>
  <c r="AA50" i="125"/>
  <c r="AA49" i="125"/>
  <c r="Z53" i="125"/>
  <c r="AC86" i="125"/>
  <c r="AD86" i="125" s="1"/>
  <c r="AD85" i="125"/>
  <c r="AB132" i="125"/>
  <c r="AB131" i="125"/>
  <c r="AB48" i="125"/>
  <c r="AB42" i="125"/>
  <c r="AA44" i="125"/>
  <c r="AA53" i="125"/>
  <c r="Z109" i="125"/>
  <c r="Z124" i="125"/>
  <c r="Z127" i="125"/>
  <c r="Z121" i="125"/>
  <c r="Z115" i="125"/>
  <c r="Z90" i="125"/>
  <c r="Z93" i="125"/>
  <c r="Z96" i="125"/>
  <c r="Z103" i="125"/>
  <c r="Z118" i="125"/>
  <c r="Z112" i="125"/>
  <c r="Z84" i="125"/>
  <c r="Z81" i="125"/>
  <c r="Z102" i="125"/>
  <c r="Z78" i="125"/>
  <c r="Z99" i="125"/>
  <c r="Z87" i="125"/>
  <c r="Z47" i="125"/>
  <c r="AA124" i="125"/>
  <c r="AA115" i="125"/>
  <c r="AA109" i="125"/>
  <c r="AA103" i="125"/>
  <c r="AA127" i="125"/>
  <c r="AA118" i="125"/>
  <c r="AA74" i="125"/>
  <c r="AA96" i="125"/>
  <c r="AA112" i="125"/>
  <c r="AA93" i="125"/>
  <c r="AA121" i="125"/>
  <c r="AA90" i="125"/>
  <c r="AA84" i="125"/>
  <c r="AA102" i="125"/>
  <c r="AA81" i="125"/>
  <c r="AA78" i="125"/>
  <c r="AA99" i="125"/>
  <c r="AA87" i="125"/>
  <c r="AA47" i="125"/>
  <c r="AB65" i="107"/>
  <c r="AB99" i="107"/>
  <c r="E10" i="86"/>
  <c r="Z22" i="102"/>
  <c r="AB81" i="107"/>
  <c r="AB93" i="107"/>
  <c r="AB102" i="107"/>
  <c r="AB84" i="107"/>
  <c r="AB109" i="107"/>
  <c r="AB115" i="107"/>
  <c r="AB90" i="107"/>
  <c r="AB87" i="107"/>
  <c r="AB96" i="107"/>
  <c r="AB78" i="107"/>
  <c r="Y103" i="107"/>
  <c r="W105" i="107"/>
  <c r="Z103" i="107"/>
  <c r="AB53" i="107"/>
  <c r="AB118" i="107"/>
  <c r="AB103" i="107"/>
  <c r="AB124" i="107"/>
  <c r="AC40" i="107"/>
  <c r="AC163" i="107"/>
  <c r="L8" i="102"/>
  <c r="AB50" i="107"/>
  <c r="AB68" i="107"/>
  <c r="AB47" i="107"/>
  <c r="AB63" i="107"/>
  <c r="AJ12" i="1"/>
  <c r="S8" i="118" s="1"/>
  <c r="AQ14" i="1"/>
  <c r="AR29" i="102" s="1"/>
  <c r="AP32" i="1"/>
  <c r="AP13" i="1" s="1"/>
  <c r="AP12" i="1" s="1"/>
  <c r="AD45" i="107"/>
  <c r="AD9" i="107"/>
  <c r="AD129" i="107"/>
  <c r="AD7" i="107"/>
  <c r="AD130" i="107"/>
  <c r="P8" i="119"/>
  <c r="AC46" i="107"/>
  <c r="T8" i="118"/>
  <c r="T8" i="102"/>
  <c r="AO8" i="102" s="1"/>
  <c r="O8" i="102"/>
  <c r="AA139" i="125" s="1"/>
  <c r="P11" i="102"/>
  <c r="AL14" i="1"/>
  <c r="AM14" i="1" s="1"/>
  <c r="I6" i="110"/>
  <c r="AM13" i="1"/>
  <c r="AL12" i="1"/>
  <c r="AM12" i="1" s="1"/>
  <c r="AO14" i="1"/>
  <c r="AP29" i="102" s="1"/>
  <c r="AO12" i="1"/>
  <c r="I10" i="110" s="1"/>
  <c r="I11" i="110" s="1"/>
  <c r="AL13" i="102"/>
  <c r="Q11" i="102"/>
  <c r="AC43" i="107"/>
  <c r="AC47" i="107" s="1"/>
  <c r="AC128" i="107"/>
  <c r="AC69" i="107"/>
  <c r="AC73" i="107"/>
  <c r="AC57" i="107"/>
  <c r="AC41" i="107"/>
  <c r="AE108" i="107"/>
  <c r="AG108" i="107" s="1"/>
  <c r="AD86" i="107"/>
  <c r="W8" i="118"/>
  <c r="W8" i="102"/>
  <c r="AR8" i="102" s="1"/>
  <c r="Q11" i="118"/>
  <c r="AL8" i="118"/>
  <c r="AL13" i="118" s="1"/>
  <c r="AL18" i="118" s="1"/>
  <c r="AL26" i="118" s="1"/>
  <c r="AC132" i="107"/>
  <c r="AC42" i="107"/>
  <c r="AC48" i="107"/>
  <c r="AC131" i="107"/>
  <c r="O8" i="118"/>
  <c r="P11" i="118"/>
  <c r="AE85" i="107"/>
  <c r="AF85" i="107" s="1"/>
  <c r="AI85" i="107" s="1"/>
  <c r="AE8" i="107"/>
  <c r="AG85" i="125" l="1"/>
  <c r="AC46" i="125"/>
  <c r="Z105" i="125"/>
  <c r="AB49" i="125"/>
  <c r="AB50" i="125"/>
  <c r="AC48" i="125"/>
  <c r="AC132" i="125"/>
  <c r="AC131" i="125"/>
  <c r="AC42" i="125"/>
  <c r="AA67" i="125"/>
  <c r="AA71" i="125"/>
  <c r="AB63" i="125"/>
  <c r="AB65" i="125"/>
  <c r="AB68" i="125"/>
  <c r="AB66" i="125"/>
  <c r="Z67" i="125"/>
  <c r="AB44" i="125"/>
  <c r="AB53" i="125"/>
  <c r="AA105" i="125"/>
  <c r="AA104" i="125"/>
  <c r="AC163" i="125"/>
  <c r="AD163" i="125" s="1"/>
  <c r="AC57" i="125"/>
  <c r="AC69" i="125"/>
  <c r="AC41" i="125"/>
  <c r="AC128" i="125"/>
  <c r="AC40" i="125"/>
  <c r="AC73" i="125"/>
  <c r="AC43" i="125"/>
  <c r="AC47" i="125" s="1"/>
  <c r="AB103" i="125"/>
  <c r="AB74" i="125"/>
  <c r="AB118" i="125"/>
  <c r="AB124" i="125"/>
  <c r="AB90" i="125"/>
  <c r="AB109" i="125"/>
  <c r="AB112" i="125"/>
  <c r="AB93" i="125"/>
  <c r="AB115" i="125"/>
  <c r="AB121" i="125"/>
  <c r="AB127" i="125"/>
  <c r="AB96" i="125"/>
  <c r="AB84" i="125"/>
  <c r="AB102" i="125"/>
  <c r="AB81" i="125"/>
  <c r="AB78" i="125"/>
  <c r="AB99" i="125"/>
  <c r="AB87" i="125"/>
  <c r="AB47" i="125"/>
  <c r="AE86" i="125"/>
  <c r="AA149" i="125"/>
  <c r="AB139" i="107"/>
  <c r="Z139" i="125"/>
  <c r="AA140" i="125" s="1"/>
  <c r="L11" i="102"/>
  <c r="AB67" i="107"/>
  <c r="AB149" i="107"/>
  <c r="AB151" i="107" s="1"/>
  <c r="AB105" i="107"/>
  <c r="AD40" i="107"/>
  <c r="AD163" i="107"/>
  <c r="S8" i="102"/>
  <c r="AN8" i="102" s="1"/>
  <c r="AP14" i="1"/>
  <c r="AQ29" i="102" s="1"/>
  <c r="AC124" i="107"/>
  <c r="AC121" i="107"/>
  <c r="AC103" i="107"/>
  <c r="AC118" i="107"/>
  <c r="O11" i="118"/>
  <c r="W11" i="102"/>
  <c r="AR13" i="102"/>
  <c r="AC93" i="107"/>
  <c r="AC81" i="107"/>
  <c r="AC87" i="107"/>
  <c r="AC115" i="107"/>
  <c r="AC109" i="107"/>
  <c r="AC96" i="107"/>
  <c r="AC99" i="107"/>
  <c r="AC102" i="107"/>
  <c r="AC127" i="107"/>
  <c r="AC78" i="107"/>
  <c r="AC112" i="107"/>
  <c r="AC84" i="107"/>
  <c r="AC74" i="107"/>
  <c r="AC90" i="107"/>
  <c r="T11" i="102"/>
  <c r="AO13" i="102"/>
  <c r="AE45" i="107"/>
  <c r="AE9" i="107"/>
  <c r="AE130" i="107"/>
  <c r="AE129" i="107"/>
  <c r="AE7" i="107"/>
  <c r="V8" i="118"/>
  <c r="V8" i="102"/>
  <c r="AC50" i="107"/>
  <c r="AC49" i="107"/>
  <c r="W11" i="118"/>
  <c r="AR8" i="118"/>
  <c r="AR13" i="118" s="1"/>
  <c r="AR18" i="118" s="1"/>
  <c r="AR26" i="118" s="1"/>
  <c r="I5" i="110"/>
  <c r="T11" i="118"/>
  <c r="AO8" i="118"/>
  <c r="AO13" i="118" s="1"/>
  <c r="AO18" i="118" s="1"/>
  <c r="AO26" i="118" s="1"/>
  <c r="AD43" i="107"/>
  <c r="AD57" i="107"/>
  <c r="AD73" i="107"/>
  <c r="AD128" i="107"/>
  <c r="AD69" i="107"/>
  <c r="AD41" i="107"/>
  <c r="AD46" i="107"/>
  <c r="AE86" i="107"/>
  <c r="AG86" i="107" s="1"/>
  <c r="Q13" i="119"/>
  <c r="R8" i="118"/>
  <c r="S11" i="118"/>
  <c r="AC66" i="107"/>
  <c r="AC63" i="107"/>
  <c r="AC65" i="107"/>
  <c r="AC68" i="107"/>
  <c r="AC53" i="107"/>
  <c r="AC44" i="107"/>
  <c r="AL18" i="102"/>
  <c r="AC139" i="107"/>
  <c r="O11" i="102"/>
  <c r="P9" i="119"/>
  <c r="P7" i="119"/>
  <c r="Q8" i="119"/>
  <c r="Q9" i="119" s="1"/>
  <c r="AD48" i="107"/>
  <c r="AD131" i="107"/>
  <c r="AD42" i="107"/>
  <c r="AD132" i="107"/>
  <c r="I50" i="1"/>
  <c r="O50" i="1"/>
  <c r="I13" i="1"/>
  <c r="K50" i="1"/>
  <c r="AQ8" i="102" l="1"/>
  <c r="AC49" i="125"/>
  <c r="AC50" i="125"/>
  <c r="AC44" i="125"/>
  <c r="AC53" i="125"/>
  <c r="AB71" i="125"/>
  <c r="AB67" i="125"/>
  <c r="AC127" i="125"/>
  <c r="AC124" i="125"/>
  <c r="AC118" i="125"/>
  <c r="AC103" i="125"/>
  <c r="AC109" i="125"/>
  <c r="AC93" i="125"/>
  <c r="AC115" i="125"/>
  <c r="AC74" i="125"/>
  <c r="AC90" i="125"/>
  <c r="AC112" i="125"/>
  <c r="AC96" i="125"/>
  <c r="AC121" i="125"/>
  <c r="AC102" i="125"/>
  <c r="AC81" i="125"/>
  <c r="AC84" i="125"/>
  <c r="AC78" i="125"/>
  <c r="AC99" i="125"/>
  <c r="AC87" i="125"/>
  <c r="AB105" i="125"/>
  <c r="AB104" i="125"/>
  <c r="AC63" i="125"/>
  <c r="AC65" i="125"/>
  <c r="AF65" i="125" s="1"/>
  <c r="AC68" i="125"/>
  <c r="AF68" i="125" s="1"/>
  <c r="AC66" i="125"/>
  <c r="AF66" i="125" s="1"/>
  <c r="Z149" i="125"/>
  <c r="AA151" i="125"/>
  <c r="AA160" i="125"/>
  <c r="R11" i="118"/>
  <c r="S11" i="102"/>
  <c r="AL26" i="102"/>
  <c r="R8" i="102"/>
  <c r="AE40" i="107"/>
  <c r="AE163" i="107"/>
  <c r="AC149" i="107"/>
  <c r="AD124" i="107"/>
  <c r="AD121" i="107"/>
  <c r="AD103" i="107"/>
  <c r="AD118" i="107"/>
  <c r="K13" i="1"/>
  <c r="Q7" i="119"/>
  <c r="AD53" i="107"/>
  <c r="AD44" i="107"/>
  <c r="AE46" i="107"/>
  <c r="AD50" i="107"/>
  <c r="AD49" i="107"/>
  <c r="AC67" i="107"/>
  <c r="AC71" i="107"/>
  <c r="AD65" i="107"/>
  <c r="AD63" i="107"/>
  <c r="AD68" i="107"/>
  <c r="AD66" i="107"/>
  <c r="AE48" i="107"/>
  <c r="AE131" i="107"/>
  <c r="AE42" i="107"/>
  <c r="AE132" i="107"/>
  <c r="AC105" i="107"/>
  <c r="AC104" i="107"/>
  <c r="AC140" i="107"/>
  <c r="U8" i="102"/>
  <c r="AC139" i="125" s="1"/>
  <c r="V11" i="102"/>
  <c r="AO18" i="102"/>
  <c r="AE43" i="107"/>
  <c r="AE128" i="107"/>
  <c r="AE57" i="107"/>
  <c r="AE69" i="107"/>
  <c r="AE73" i="107"/>
  <c r="AE41" i="107"/>
  <c r="AD47" i="107"/>
  <c r="AD115" i="107"/>
  <c r="AD99" i="107"/>
  <c r="AD96" i="107"/>
  <c r="AD81" i="107"/>
  <c r="AD102" i="107"/>
  <c r="AD127" i="107"/>
  <c r="AD112" i="107"/>
  <c r="AD84" i="107"/>
  <c r="AD90" i="107"/>
  <c r="AD78" i="107"/>
  <c r="AD93" i="107"/>
  <c r="AD109" i="107"/>
  <c r="AD74" i="107"/>
  <c r="AD87" i="107"/>
  <c r="V11" i="118"/>
  <c r="U8" i="118"/>
  <c r="AR18" i="102"/>
  <c r="H12" i="1"/>
  <c r="AC67" i="125" l="1"/>
  <c r="AC71" i="125"/>
  <c r="AC105" i="125"/>
  <c r="AC104" i="125"/>
  <c r="AF67" i="125"/>
  <c r="AC149" i="125"/>
  <c r="AD139" i="107"/>
  <c r="AD140" i="107" s="1"/>
  <c r="AB139" i="125"/>
  <c r="AC140" i="125" s="1"/>
  <c r="Z151" i="125"/>
  <c r="Z160" i="125"/>
  <c r="K12" i="1"/>
  <c r="D10" i="110" s="1"/>
  <c r="D8" i="111" s="1"/>
  <c r="R11" i="102"/>
  <c r="AO26" i="102"/>
  <c r="AF163" i="107"/>
  <c r="AE124" i="107"/>
  <c r="AE121" i="107"/>
  <c r="AE103" i="107"/>
  <c r="AE118" i="107"/>
  <c r="K14" i="1"/>
  <c r="AD105" i="107"/>
  <c r="AD104" i="107"/>
  <c r="AC151" i="107"/>
  <c r="AC160" i="107"/>
  <c r="AE96" i="107"/>
  <c r="AE81" i="107"/>
  <c r="AE127" i="107"/>
  <c r="AE93" i="107"/>
  <c r="AE112" i="107"/>
  <c r="AE84" i="107"/>
  <c r="AE102" i="107"/>
  <c r="AE115" i="107"/>
  <c r="AE78" i="107"/>
  <c r="AE90" i="107"/>
  <c r="AE99" i="107"/>
  <c r="AE74" i="107"/>
  <c r="AE109" i="107"/>
  <c r="AE87" i="107"/>
  <c r="AE53" i="107"/>
  <c r="AE44" i="107"/>
  <c r="AE49" i="107"/>
  <c r="AE50" i="107"/>
  <c r="AD67" i="107"/>
  <c r="AD71" i="107"/>
  <c r="AE47" i="107"/>
  <c r="AE139" i="107"/>
  <c r="U11" i="102"/>
  <c r="U11" i="118"/>
  <c r="AR26" i="102"/>
  <c r="AE65" i="107"/>
  <c r="AE68" i="107"/>
  <c r="AE63" i="107"/>
  <c r="AE66" i="107"/>
  <c r="I12" i="1"/>
  <c r="AD149" i="107" l="1"/>
  <c r="AD160" i="107" s="1"/>
  <c r="AB149" i="125"/>
  <c r="AB140" i="125"/>
  <c r="AC151" i="125"/>
  <c r="AC160" i="125"/>
  <c r="AE149" i="107"/>
  <c r="AH68" i="107"/>
  <c r="AH66" i="107"/>
  <c r="AH65" i="107"/>
  <c r="AE105" i="107"/>
  <c r="AE104" i="107"/>
  <c r="AE71" i="107"/>
  <c r="AE67" i="107"/>
  <c r="AE140" i="107"/>
  <c r="D11" i="110"/>
  <c r="Q56" i="1"/>
  <c r="C19" i="133" s="1"/>
  <c r="AD151" i="107" l="1"/>
  <c r="AB151" i="125"/>
  <c r="AB160" i="125"/>
  <c r="AH67" i="107"/>
  <c r="AE160" i="107"/>
  <c r="AE151" i="107"/>
  <c r="C19" i="87"/>
  <c r="C19" i="92"/>
  <c r="R56" i="1"/>
  <c r="C19" i="69"/>
  <c r="T19" i="86" l="1"/>
  <c r="C12" i="93"/>
  <c r="C34" i="94"/>
  <c r="C34" i="88"/>
  <c r="C34" i="71"/>
  <c r="C12" i="70"/>
  <c r="I40" i="84" l="1"/>
  <c r="I11" i="84" s="1"/>
  <c r="I10" i="84" l="1"/>
  <c r="I9" i="84" l="1"/>
  <c r="N24" i="2" s="1"/>
  <c r="AI41" i="63" l="1"/>
  <c r="P17" i="128" l="1"/>
  <c r="P17" i="98"/>
  <c r="P17" i="65"/>
  <c r="AO41" i="63"/>
  <c r="N41" i="63"/>
  <c r="Z41" i="63"/>
  <c r="AC41" i="63"/>
  <c r="K41" i="63"/>
  <c r="P10" i="128" l="1"/>
  <c r="P10" i="98"/>
  <c r="P14" i="128"/>
  <c r="P14" i="98"/>
  <c r="P19" i="128"/>
  <c r="P19" i="98"/>
  <c r="P9" i="128"/>
  <c r="P9" i="98"/>
  <c r="P15" i="128"/>
  <c r="P15" i="98"/>
  <c r="P10" i="65"/>
  <c r="P9" i="65"/>
  <c r="P19" i="65"/>
  <c r="P15" i="65"/>
  <c r="P14" i="65"/>
  <c r="AF41" i="63"/>
  <c r="W41" i="63"/>
  <c r="AL41" i="63"/>
  <c r="T41" i="63"/>
  <c r="P18" i="128" l="1"/>
  <c r="P18" i="98"/>
  <c r="P13" i="128"/>
  <c r="P13" i="98"/>
  <c r="P12" i="128"/>
  <c r="P12" i="98"/>
  <c r="P16" i="128"/>
  <c r="P16" i="98"/>
  <c r="P13" i="65"/>
  <c r="P16" i="65"/>
  <c r="P12" i="65"/>
  <c r="P18" i="65"/>
  <c r="H41" i="63"/>
  <c r="P8" i="128" l="1"/>
  <c r="P8" i="98"/>
  <c r="P8" i="65"/>
  <c r="Q41" i="63"/>
  <c r="C41" i="63"/>
  <c r="P11" i="128" l="1"/>
  <c r="P20" i="128" s="1"/>
  <c r="P11" i="98"/>
  <c r="P20" i="98"/>
  <c r="E41" i="63"/>
  <c r="P11" i="65"/>
  <c r="P20" i="65" s="1"/>
  <c r="D30" i="72" l="1"/>
  <c r="D38" i="95"/>
  <c r="D38" i="90"/>
  <c r="K9" i="102"/>
  <c r="AI10" i="102" s="1"/>
  <c r="R44" i="1"/>
  <c r="N15" i="2" s="1"/>
  <c r="C112" i="96" l="1"/>
  <c r="C112" i="132"/>
  <c r="AF10" i="102"/>
  <c r="Z9" i="102"/>
  <c r="J9" i="118"/>
  <c r="Y9" i="118" s="1"/>
  <c r="J9" i="102"/>
  <c r="Y9" i="102" l="1"/>
  <c r="AH10" i="102"/>
  <c r="J22" i="118"/>
  <c r="Y22" i="118" s="1"/>
  <c r="AE10" i="118"/>
  <c r="AD10" i="118" s="1"/>
  <c r="I9" i="118"/>
  <c r="X9" i="118" s="1"/>
  <c r="C112" i="84"/>
  <c r="C20" i="70"/>
  <c r="J22" i="102"/>
  <c r="Y22" i="102" s="1"/>
  <c r="D13" i="90"/>
  <c r="D13" i="95"/>
  <c r="D13" i="72"/>
  <c r="D34" i="101"/>
  <c r="I9" i="102"/>
  <c r="C13" i="127" l="1"/>
  <c r="D13" i="127"/>
  <c r="X9" i="102"/>
  <c r="D9" i="117"/>
  <c r="I22" i="118"/>
  <c r="C28" i="69"/>
  <c r="I22" i="102"/>
  <c r="C9" i="91"/>
  <c r="C13" i="95"/>
  <c r="C13" i="90"/>
  <c r="C34" i="101"/>
  <c r="M15" i="2"/>
  <c r="C13" i="72"/>
  <c r="C24" i="127" l="1"/>
  <c r="D24" i="127"/>
  <c r="D25" i="117"/>
  <c r="X22" i="102"/>
  <c r="X22" i="118"/>
  <c r="C22" i="127" l="1"/>
  <c r="CG8" i="75"/>
  <c r="CG7" i="75" s="1"/>
  <c r="CW8" i="75"/>
  <c r="CW7" i="75" s="1"/>
  <c r="BY8" i="75"/>
  <c r="BY7" i="75" s="1"/>
  <c r="AS8" i="75"/>
  <c r="AS7" i="75" s="1"/>
  <c r="CO8" i="75"/>
  <c r="CO7" i="75" s="1"/>
  <c r="AK8" i="75"/>
  <c r="AK7" i="75" s="1"/>
  <c r="AC8" i="75"/>
  <c r="AC7" i="75" s="1"/>
  <c r="BI8" i="75"/>
  <c r="BI7" i="75" s="1"/>
  <c r="BA8" i="75"/>
  <c r="BA7" i="75" s="1"/>
  <c r="BQ8" i="75"/>
  <c r="BQ7" i="75" s="1"/>
  <c r="U8" i="75"/>
  <c r="U7" i="75" s="1"/>
  <c r="C19" i="127" l="1"/>
  <c r="BY36" i="75"/>
  <c r="M8" i="75"/>
  <c r="M7" i="75" s="1"/>
  <c r="M14" i="1"/>
  <c r="AC29" i="102" s="1"/>
  <c r="CG36" i="75"/>
  <c r="CG34" i="75" s="1"/>
  <c r="AI49" i="63"/>
  <c r="CG31" i="75" l="1"/>
  <c r="CG26" i="75" s="1"/>
  <c r="CW36" i="75"/>
  <c r="AO49" i="63"/>
  <c r="L43" i="1"/>
  <c r="AC36" i="75"/>
  <c r="N49" i="63"/>
  <c r="W49" i="63"/>
  <c r="AL49" i="63"/>
  <c r="AK36" i="75"/>
  <c r="Q49" i="63"/>
  <c r="BQ36" i="75"/>
  <c r="AC49" i="63"/>
  <c r="AF49" i="63"/>
  <c r="BI36" i="75"/>
  <c r="Z49" i="63"/>
  <c r="E8" i="75"/>
  <c r="E7" i="75" s="1"/>
  <c r="AS36" i="75"/>
  <c r="L13" i="1" l="1"/>
  <c r="L12" i="1" s="1"/>
  <c r="D4" i="101" s="1"/>
  <c r="BA34" i="75"/>
  <c r="BA31" i="75" s="1"/>
  <c r="BA26" i="75" s="1"/>
  <c r="BY34" i="75"/>
  <c r="BY31" i="75" s="1"/>
  <c r="BY26" i="75" s="1"/>
  <c r="AS34" i="75"/>
  <c r="AS31" i="75" s="1"/>
  <c r="AS26" i="75" s="1"/>
  <c r="BI34" i="75"/>
  <c r="BI31" i="75" s="1"/>
  <c r="BI26" i="75" s="1"/>
  <c r="CO34" i="75"/>
  <c r="CO31" i="75" s="1"/>
  <c r="CO26" i="75" s="1"/>
  <c r="AC34" i="75"/>
  <c r="AC31" i="75" s="1"/>
  <c r="AC26" i="75" s="1"/>
  <c r="CW34" i="75"/>
  <c r="CW31" i="75" s="1"/>
  <c r="CW26" i="75" s="1"/>
  <c r="BQ34" i="75"/>
  <c r="BQ31" i="75" s="1"/>
  <c r="BQ26" i="75" s="1"/>
  <c r="U36" i="75"/>
  <c r="M36" i="75"/>
  <c r="M34" i="75" s="1"/>
  <c r="M12" i="1"/>
  <c r="G8" i="118" l="1"/>
  <c r="G11" i="118" s="1"/>
  <c r="L14" i="1"/>
  <c r="H8" i="118"/>
  <c r="H11" i="118" s="1"/>
  <c r="C8" i="117"/>
  <c r="C7" i="117" s="1"/>
  <c r="M64" i="1"/>
  <c r="AK34" i="75"/>
  <c r="AK31" i="75" s="1"/>
  <c r="AK26" i="75" s="1"/>
  <c r="U34" i="75"/>
  <c r="U31" i="75" s="1"/>
  <c r="U26" i="75" s="1"/>
  <c r="E36" i="75"/>
  <c r="M31" i="75"/>
  <c r="M26" i="75" s="1"/>
  <c r="H8" i="102"/>
  <c r="E4" i="101"/>
  <c r="E3" i="101" s="1"/>
  <c r="G8" i="102"/>
  <c r="F8" i="118" l="1"/>
  <c r="AC8" i="118"/>
  <c r="AC13" i="118" s="1"/>
  <c r="AC18" i="118" s="1"/>
  <c r="H5" i="118"/>
  <c r="G11" i="102"/>
  <c r="E34" i="75"/>
  <c r="E31" i="75" s="1"/>
  <c r="E26" i="75" s="1"/>
  <c r="AC8" i="102"/>
  <c r="AC13" i="102" s="1"/>
  <c r="AC18" i="102" s="1"/>
  <c r="J35" i="2" s="1"/>
  <c r="H11" i="102"/>
  <c r="C4" i="101"/>
  <c r="F8" i="102"/>
  <c r="V139" i="107" l="1"/>
  <c r="V140" i="107" s="1"/>
  <c r="X140" i="107" s="1"/>
  <c r="T139" i="125"/>
  <c r="F11" i="118"/>
  <c r="AC26" i="118"/>
  <c r="J15" i="2"/>
  <c r="W139" i="107"/>
  <c r="V149" i="107"/>
  <c r="W149" i="107" s="1"/>
  <c r="F11" i="102"/>
  <c r="V138" i="107" l="1"/>
  <c r="T149" i="125"/>
  <c r="U139" i="125"/>
  <c r="T138" i="125"/>
  <c r="T137" i="125" s="1"/>
  <c r="U137" i="125" s="1"/>
  <c r="W137" i="125" s="1"/>
  <c r="T140" i="125"/>
  <c r="W140" i="107"/>
  <c r="H22" i="118"/>
  <c r="F22" i="118" s="1"/>
  <c r="H22" i="102"/>
  <c r="F22" i="102" s="1"/>
  <c r="E11" i="101"/>
  <c r="C11" i="101" s="1"/>
  <c r="F15" i="2"/>
  <c r="Z139" i="107"/>
  <c r="Y139" i="107"/>
  <c r="V137" i="107"/>
  <c r="P140" i="109" s="1"/>
  <c r="W138" i="107"/>
  <c r="G16" i="118"/>
  <c r="H62" i="1"/>
  <c r="L64" i="1"/>
  <c r="V151" i="107"/>
  <c r="W151" i="107" s="1"/>
  <c r="V160" i="107"/>
  <c r="W160" i="107" s="1"/>
  <c r="AC26" i="102"/>
  <c r="J17" i="2" s="1"/>
  <c r="X139" i="125" l="1"/>
  <c r="W139" i="125"/>
  <c r="U140" i="125"/>
  <c r="V140" i="125"/>
  <c r="T151" i="125"/>
  <c r="U149" i="125"/>
  <c r="T160" i="125"/>
  <c r="P13" i="109"/>
  <c r="H15" i="2"/>
  <c r="W137" i="107"/>
  <c r="Y137" i="107" s="1"/>
  <c r="I37" i="119"/>
  <c r="I39" i="119" s="1"/>
  <c r="K62" i="1"/>
  <c r="F16" i="118"/>
  <c r="F6" i="118" s="1"/>
  <c r="G5" i="118"/>
  <c r="H24" i="118"/>
  <c r="H20" i="118" s="1"/>
  <c r="E13" i="101"/>
  <c r="H24" i="102"/>
  <c r="J13" i="2"/>
  <c r="K64" i="1" l="1"/>
  <c r="P114" i="109"/>
  <c r="Q13" i="109"/>
  <c r="F5" i="118"/>
  <c r="H20" i="102"/>
  <c r="E9" i="101"/>
  <c r="F14" i="102"/>
  <c r="C14" i="102"/>
  <c r="T13" i="109" l="1"/>
  <c r="AC13" i="109"/>
  <c r="U115" i="109"/>
  <c r="AA115" i="109" s="1"/>
  <c r="Q114" i="109"/>
  <c r="P115" i="109"/>
  <c r="R115" i="109" s="1"/>
  <c r="H40" i="84"/>
  <c r="H11" i="84" s="1"/>
  <c r="H10" i="84" l="1"/>
  <c r="H9" i="84" s="1"/>
  <c r="N23" i="2" s="1"/>
  <c r="G12" i="64" l="1"/>
  <c r="Z11" i="128" l="1"/>
  <c r="Z11" i="98"/>
  <c r="Z11" i="65"/>
  <c r="L12" i="64"/>
  <c r="F12" i="64"/>
  <c r="Z10" i="128" l="1"/>
  <c r="Z10" i="98"/>
  <c r="Z16" i="128"/>
  <c r="Z16" i="98"/>
  <c r="Z10" i="65"/>
  <c r="Z16" i="65"/>
  <c r="M12" i="64"/>
  <c r="E12" i="64"/>
  <c r="N12" i="64"/>
  <c r="Z9" i="128" l="1"/>
  <c r="Z9" i="98"/>
  <c r="Z18" i="128"/>
  <c r="Z18" i="98"/>
  <c r="Z17" i="128"/>
  <c r="Z17" i="98"/>
  <c r="Z18" i="65"/>
  <c r="Z17" i="65"/>
  <c r="Z9" i="65"/>
  <c r="K12" i="64"/>
  <c r="I12" i="64"/>
  <c r="O12" i="64"/>
  <c r="Z13" i="128" l="1"/>
  <c r="Z13" i="98"/>
  <c r="Z19" i="128"/>
  <c r="Z19" i="98"/>
  <c r="Z15" i="128"/>
  <c r="Z15" i="98"/>
  <c r="Z19" i="65"/>
  <c r="Z13" i="65"/>
  <c r="Z15" i="65"/>
  <c r="AN35" i="75"/>
  <c r="G14" i="130" s="1"/>
  <c r="H12" i="64"/>
  <c r="Z12" i="128" l="1"/>
  <c r="Z12" i="98"/>
  <c r="Z12" i="65"/>
  <c r="AF35" i="75"/>
  <c r="F14" i="130" s="1"/>
  <c r="CB35" i="75"/>
  <c r="L14" i="130" s="1"/>
  <c r="G14" i="64"/>
  <c r="AB11" i="128" l="1"/>
  <c r="AB11" i="98"/>
  <c r="AB11" i="65"/>
  <c r="X35" i="75"/>
  <c r="E14" i="130" s="1"/>
  <c r="CR35" i="75"/>
  <c r="N14" i="130" s="1"/>
  <c r="BD35" i="75"/>
  <c r="I14" i="130" s="1"/>
  <c r="L14" i="64"/>
  <c r="F14" i="64"/>
  <c r="AB10" i="128" l="1"/>
  <c r="AB10" i="98"/>
  <c r="AB16" i="128"/>
  <c r="AB16" i="98"/>
  <c r="AB10" i="65"/>
  <c r="AB16" i="65"/>
  <c r="I14" i="64"/>
  <c r="E14" i="64"/>
  <c r="CJ35" i="75"/>
  <c r="M14" i="130" s="1"/>
  <c r="N14" i="64"/>
  <c r="AB13" i="128" l="1"/>
  <c r="AB13" i="98"/>
  <c r="AB9" i="128"/>
  <c r="AB9" i="98"/>
  <c r="AB18" i="128"/>
  <c r="AB18" i="98"/>
  <c r="AB9" i="65"/>
  <c r="AB13" i="65"/>
  <c r="AB18" i="65"/>
  <c r="O33" i="63"/>
  <c r="BT35" i="75"/>
  <c r="K14" i="130" s="1"/>
  <c r="AV35" i="75"/>
  <c r="H14" i="130" s="1"/>
  <c r="M14" i="64"/>
  <c r="CZ35" i="75"/>
  <c r="O14" i="130" s="1"/>
  <c r="AB17" i="128" l="1"/>
  <c r="AB17" i="98"/>
  <c r="AB17" i="65"/>
  <c r="F40" i="84"/>
  <c r="F11" i="84" s="1"/>
  <c r="H14" i="64"/>
  <c r="Q33" i="63"/>
  <c r="O14" i="64"/>
  <c r="K14" i="64"/>
  <c r="D12" i="64"/>
  <c r="L33" i="63"/>
  <c r="AD33" i="63"/>
  <c r="I11" i="128" l="1"/>
  <c r="I11" i="98"/>
  <c r="Z8" i="128"/>
  <c r="Z8" i="98"/>
  <c r="AB12" i="128"/>
  <c r="AB12" i="98"/>
  <c r="AB19" i="128"/>
  <c r="AB19" i="98"/>
  <c r="AB15" i="128"/>
  <c r="AB15" i="98"/>
  <c r="F10" i="84"/>
  <c r="F9" i="84" s="1"/>
  <c r="N20" i="2" s="1"/>
  <c r="AB15" i="65"/>
  <c r="AB19" i="65"/>
  <c r="Z8" i="65"/>
  <c r="AB12" i="65"/>
  <c r="N33" i="63"/>
  <c r="X10" i="75"/>
  <c r="X33" i="63"/>
  <c r="I11" i="65"/>
  <c r="AF33" i="63"/>
  <c r="AG33" i="63"/>
  <c r="I16" i="128" l="1"/>
  <c r="I16" i="98"/>
  <c r="I33" i="129"/>
  <c r="I33" i="124"/>
  <c r="K33" i="124" s="1"/>
  <c r="I10" i="128"/>
  <c r="I10" i="98"/>
  <c r="H11" i="78"/>
  <c r="I11" i="78"/>
  <c r="H15" i="77" s="1"/>
  <c r="H10" i="77" s="1"/>
  <c r="H8" i="77" s="1"/>
  <c r="H33" i="77" s="1"/>
  <c r="AL36" i="75" s="1"/>
  <c r="U33" i="63"/>
  <c r="Z33" i="63"/>
  <c r="I33" i="63"/>
  <c r="I16" i="65"/>
  <c r="AA33" i="63"/>
  <c r="AJ33" i="63"/>
  <c r="AI33" i="63"/>
  <c r="AM33" i="63"/>
  <c r="I10" i="65"/>
  <c r="I17" i="128" l="1"/>
  <c r="I17" i="98"/>
  <c r="I14" i="128"/>
  <c r="I14" i="98"/>
  <c r="K33" i="129"/>
  <c r="AL36" i="126"/>
  <c r="J28" i="118"/>
  <c r="H16" i="78"/>
  <c r="I16" i="78"/>
  <c r="M15" i="77" s="1"/>
  <c r="M10" i="77" s="1"/>
  <c r="M8" i="77" s="1"/>
  <c r="M33" i="77" s="1"/>
  <c r="AL33" i="63"/>
  <c r="K33" i="63"/>
  <c r="I14" i="65"/>
  <c r="AC33" i="63"/>
  <c r="AO33" i="63"/>
  <c r="I17" i="65"/>
  <c r="W33" i="63"/>
  <c r="I13" i="128" l="1"/>
  <c r="I13" i="98"/>
  <c r="I19" i="128"/>
  <c r="I19" i="98"/>
  <c r="I15" i="128"/>
  <c r="I15" i="98"/>
  <c r="I9" i="128"/>
  <c r="I9" i="98"/>
  <c r="I18" i="128"/>
  <c r="I18" i="98"/>
  <c r="BZ36" i="75"/>
  <c r="BZ36" i="126"/>
  <c r="AO36" i="126"/>
  <c r="AN36" i="126"/>
  <c r="AO36" i="75"/>
  <c r="H34" i="77"/>
  <c r="H35" i="77"/>
  <c r="H17" i="78"/>
  <c r="I17" i="78"/>
  <c r="N15" i="77" s="1"/>
  <c r="N10" i="77" s="1"/>
  <c r="N8" i="77" s="1"/>
  <c r="N33" i="77" s="1"/>
  <c r="I10" i="78"/>
  <c r="G15" i="77" s="1"/>
  <c r="G10" i="77" s="1"/>
  <c r="G8" i="77" s="1"/>
  <c r="G33" i="77" s="1"/>
  <c r="AD36" i="75" s="1"/>
  <c r="R33" i="63"/>
  <c r="P35" i="75"/>
  <c r="D14" i="130" s="1"/>
  <c r="I9" i="65"/>
  <c r="I18" i="65"/>
  <c r="I19" i="65"/>
  <c r="I15" i="65"/>
  <c r="I13" i="65"/>
  <c r="CH36" i="75" l="1"/>
  <c r="CH36" i="126"/>
  <c r="CC36" i="126"/>
  <c r="CB36" i="126"/>
  <c r="AL14" i="75"/>
  <c r="AN14" i="75" s="1"/>
  <c r="AL14" i="126"/>
  <c r="AN36" i="75"/>
  <c r="G15" i="130" s="1"/>
  <c r="G11" i="64"/>
  <c r="CB36" i="75"/>
  <c r="L15" i="130" s="1"/>
  <c r="CC36" i="75"/>
  <c r="AL13" i="75"/>
  <c r="M34" i="77"/>
  <c r="M35" i="77"/>
  <c r="AM34" i="75"/>
  <c r="H18" i="78"/>
  <c r="I18" i="78"/>
  <c r="O15" i="77" s="1"/>
  <c r="O10" i="77" s="1"/>
  <c r="O8" i="77" s="1"/>
  <c r="O33" i="77" s="1"/>
  <c r="O35" i="77" s="1"/>
  <c r="O37" i="77" s="1"/>
  <c r="O36" i="77" s="1"/>
  <c r="CP36" i="75" s="1"/>
  <c r="H19" i="78"/>
  <c r="I19" i="78"/>
  <c r="P15" i="77" s="1"/>
  <c r="P10" i="77" s="1"/>
  <c r="P8" i="77" s="1"/>
  <c r="P33" i="77" s="1"/>
  <c r="H15" i="78"/>
  <c r="I15" i="78"/>
  <c r="L15" i="77" s="1"/>
  <c r="L10" i="77" s="1"/>
  <c r="L8" i="77" s="1"/>
  <c r="L33" i="77" s="1"/>
  <c r="H13" i="78"/>
  <c r="I13" i="78"/>
  <c r="J15" i="77" s="1"/>
  <c r="J10" i="77" s="1"/>
  <c r="J8" i="77" s="1"/>
  <c r="J33" i="77" s="1"/>
  <c r="F10" i="75"/>
  <c r="I10" i="75" s="1"/>
  <c r="P10" i="75"/>
  <c r="D14" i="64"/>
  <c r="T33" i="63"/>
  <c r="AB8" i="128" l="1"/>
  <c r="AB8" i="98"/>
  <c r="F33" i="129"/>
  <c r="F33" i="124"/>
  <c r="Y11" i="128"/>
  <c r="Y11" i="98"/>
  <c r="I12" i="128"/>
  <c r="I12" i="98"/>
  <c r="J35" i="77"/>
  <c r="CX36" i="75"/>
  <c r="CX36" i="126"/>
  <c r="BB36" i="126"/>
  <c r="CP36" i="126"/>
  <c r="CJ36" i="126"/>
  <c r="CK36" i="126"/>
  <c r="BR36" i="75"/>
  <c r="BR36" i="126"/>
  <c r="BZ14" i="75"/>
  <c r="BZ13" i="75" s="1"/>
  <c r="CB13" i="75" s="1"/>
  <c r="BZ14" i="126"/>
  <c r="AN14" i="126"/>
  <c r="AL13" i="126"/>
  <c r="G15" i="64"/>
  <c r="Y11" i="65"/>
  <c r="L11" i="64"/>
  <c r="CK36" i="75"/>
  <c r="CJ36" i="75"/>
  <c r="M15" i="130" s="1"/>
  <c r="AN13" i="75"/>
  <c r="AO13" i="75"/>
  <c r="AN12" i="75"/>
  <c r="AL11" i="75"/>
  <c r="AL7" i="75" s="1"/>
  <c r="AO7" i="75" s="1"/>
  <c r="AO12" i="75"/>
  <c r="N34" i="77"/>
  <c r="N35" i="77"/>
  <c r="CA34" i="75"/>
  <c r="AB8" i="65"/>
  <c r="J10" i="75"/>
  <c r="F33" i="63"/>
  <c r="H10" i="75"/>
  <c r="I12" i="65"/>
  <c r="H33" i="124" l="1"/>
  <c r="E33" i="124" s="1"/>
  <c r="C33" i="124"/>
  <c r="H33" i="129"/>
  <c r="E33" i="129" s="1"/>
  <c r="C33" i="129"/>
  <c r="AC11" i="128"/>
  <c r="AC11" i="98"/>
  <c r="Y16" i="128"/>
  <c r="Y16" i="98"/>
  <c r="J37" i="77"/>
  <c r="CB14" i="75"/>
  <c r="BB38" i="75"/>
  <c r="BU36" i="126"/>
  <c r="BT36" i="126"/>
  <c r="BD36" i="126"/>
  <c r="BE36" i="126"/>
  <c r="CH14" i="75"/>
  <c r="CH13" i="75" s="1"/>
  <c r="CJ13" i="75" s="1"/>
  <c r="CH14" i="126"/>
  <c r="AC11" i="65"/>
  <c r="CS36" i="126"/>
  <c r="CR36" i="126"/>
  <c r="DA36" i="126"/>
  <c r="CZ36" i="126"/>
  <c r="CB14" i="126"/>
  <c r="BZ13" i="126"/>
  <c r="AN13" i="126"/>
  <c r="AL11" i="126"/>
  <c r="AO13" i="126"/>
  <c r="CR36" i="75"/>
  <c r="N15" i="130" s="1"/>
  <c r="M15" i="64"/>
  <c r="Y16" i="65"/>
  <c r="DA36" i="75"/>
  <c r="CZ36" i="75"/>
  <c r="O15" i="130" s="1"/>
  <c r="CB12" i="75"/>
  <c r="BZ11" i="75"/>
  <c r="BZ7" i="75" s="1"/>
  <c r="CC7" i="75" s="1"/>
  <c r="BT36" i="75"/>
  <c r="K15" i="130" s="1"/>
  <c r="BU36" i="75"/>
  <c r="AN11" i="75"/>
  <c r="AO11" i="75"/>
  <c r="P35" i="77"/>
  <c r="P34" i="77"/>
  <c r="O34" i="77"/>
  <c r="CI34" i="75"/>
  <c r="M11" i="64"/>
  <c r="L34" i="77"/>
  <c r="L35" i="77"/>
  <c r="J34" i="77"/>
  <c r="AE34" i="75"/>
  <c r="F11" i="64"/>
  <c r="H12" i="78"/>
  <c r="I12" i="78"/>
  <c r="I15" i="77" s="1"/>
  <c r="I10" i="77" s="1"/>
  <c r="I8" i="77" s="1"/>
  <c r="I33" i="77" s="1"/>
  <c r="H33" i="63"/>
  <c r="C33" i="63"/>
  <c r="O35" i="124" l="1"/>
  <c r="O35" i="129"/>
  <c r="I8" i="128"/>
  <c r="I8" i="98"/>
  <c r="Y10" i="128"/>
  <c r="Y10" i="98"/>
  <c r="CJ14" i="75"/>
  <c r="Y17" i="128"/>
  <c r="Y17" i="98"/>
  <c r="AC17" i="128"/>
  <c r="AC17" i="98"/>
  <c r="J36" i="77"/>
  <c r="D37" i="77"/>
  <c r="BR14" i="75"/>
  <c r="BT14" i="75" s="1"/>
  <c r="BR14" i="126"/>
  <c r="CX14" i="75"/>
  <c r="CX14" i="126"/>
  <c r="CJ14" i="126"/>
  <c r="CH13" i="126"/>
  <c r="AT36" i="75"/>
  <c r="AT36" i="126"/>
  <c r="CB13" i="126"/>
  <c r="BZ11" i="126"/>
  <c r="CP14" i="75"/>
  <c r="CP14" i="126"/>
  <c r="BB14" i="75"/>
  <c r="BB13" i="75" s="1"/>
  <c r="BB14" i="126"/>
  <c r="AO11" i="126"/>
  <c r="AN11" i="126"/>
  <c r="AN7" i="126" s="1"/>
  <c r="AN31" i="126" s="1"/>
  <c r="AL7" i="126"/>
  <c r="N15" i="64"/>
  <c r="CS36" i="75"/>
  <c r="Q35" i="124"/>
  <c r="O34" i="124"/>
  <c r="AC17" i="65"/>
  <c r="O15" i="64"/>
  <c r="K15" i="64"/>
  <c r="O35" i="63"/>
  <c r="AN7" i="75"/>
  <c r="K13" i="102"/>
  <c r="CX13" i="75"/>
  <c r="CZ13" i="75" s="1"/>
  <c r="CZ14" i="75"/>
  <c r="CJ12" i="75"/>
  <c r="CH11" i="75"/>
  <c r="CH7" i="75" s="1"/>
  <c r="CK7" i="75" s="1"/>
  <c r="CB11" i="75"/>
  <c r="CC11" i="75"/>
  <c r="BR13" i="75"/>
  <c r="BT13" i="75" s="1"/>
  <c r="BD13" i="75"/>
  <c r="AP7" i="75"/>
  <c r="AL34" i="75"/>
  <c r="AO34" i="75" s="1"/>
  <c r="AF12" i="75"/>
  <c r="CY34" i="75"/>
  <c r="O11" i="64"/>
  <c r="CQ34" i="75"/>
  <c r="N11" i="64"/>
  <c r="Y17" i="65"/>
  <c r="BS34" i="75"/>
  <c r="K11" i="64"/>
  <c r="I11" i="64"/>
  <c r="Y10" i="65"/>
  <c r="I8" i="65"/>
  <c r="E33" i="63"/>
  <c r="Y13" i="128" l="1"/>
  <c r="Y13" i="98"/>
  <c r="I20" i="98"/>
  <c r="BD14" i="75"/>
  <c r="I20" i="128"/>
  <c r="Q35" i="129"/>
  <c r="O34" i="129"/>
  <c r="AC19" i="128"/>
  <c r="AC19" i="98"/>
  <c r="Y19" i="128"/>
  <c r="Y19" i="98"/>
  <c r="AC18" i="128"/>
  <c r="AC18" i="98"/>
  <c r="Y18" i="128"/>
  <c r="Y18" i="98"/>
  <c r="AD35" i="124"/>
  <c r="AD35" i="129"/>
  <c r="AC15" i="128"/>
  <c r="AC15" i="98"/>
  <c r="Y15" i="128"/>
  <c r="Y15" i="98"/>
  <c r="BB36" i="75"/>
  <c r="D36" i="77"/>
  <c r="O34" i="63"/>
  <c r="Q34" i="63" s="1"/>
  <c r="D37" i="95"/>
  <c r="D37" i="90"/>
  <c r="CJ13" i="126"/>
  <c r="CH11" i="126"/>
  <c r="BR13" i="126"/>
  <c r="BT14" i="126"/>
  <c r="AV36" i="126"/>
  <c r="AW36" i="126"/>
  <c r="CZ14" i="126"/>
  <c r="CX13" i="126"/>
  <c r="AC19" i="65"/>
  <c r="CP13" i="75"/>
  <c r="CR14" i="75"/>
  <c r="CB11" i="126"/>
  <c r="CB7" i="126" s="1"/>
  <c r="CB31" i="126" s="1"/>
  <c r="CC11" i="126"/>
  <c r="BZ7" i="126"/>
  <c r="CP13" i="126"/>
  <c r="CP17" i="126"/>
  <c r="CR14" i="126"/>
  <c r="BB13" i="126"/>
  <c r="BD14" i="126"/>
  <c r="AN26" i="126"/>
  <c r="AN34" i="126"/>
  <c r="AP7" i="126"/>
  <c r="AL34" i="126"/>
  <c r="AO7" i="126"/>
  <c r="AC18" i="65"/>
  <c r="AD34" i="124"/>
  <c r="AF35" i="124"/>
  <c r="Q34" i="124"/>
  <c r="O32" i="124"/>
  <c r="Q32" i="124" s="1"/>
  <c r="Q51" i="124" s="1"/>
  <c r="AC15" i="65"/>
  <c r="AD35" i="63"/>
  <c r="CB7" i="75"/>
  <c r="Q35" i="63"/>
  <c r="CZ12" i="75"/>
  <c r="CX11" i="75"/>
  <c r="CX7" i="75" s="1"/>
  <c r="DA7" i="75" s="1"/>
  <c r="CK11" i="75"/>
  <c r="CJ11" i="75"/>
  <c r="BT12" i="75"/>
  <c r="BR11" i="75"/>
  <c r="BR7" i="75" s="1"/>
  <c r="BU7" i="75" s="1"/>
  <c r="BD12" i="75"/>
  <c r="BB11" i="75"/>
  <c r="BB7" i="75" s="1"/>
  <c r="AP34" i="75"/>
  <c r="AL31" i="75"/>
  <c r="CR17" i="75"/>
  <c r="F17" i="75"/>
  <c r="CR13" i="75"/>
  <c r="CR12" i="75"/>
  <c r="CP11" i="75"/>
  <c r="CP7" i="75" s="1"/>
  <c r="CS7" i="75" s="1"/>
  <c r="Y19" i="65"/>
  <c r="Y18" i="65"/>
  <c r="Y15" i="65"/>
  <c r="Y13" i="65"/>
  <c r="L13" i="102"/>
  <c r="I13" i="102"/>
  <c r="W13" i="102"/>
  <c r="T13" i="102"/>
  <c r="Q13" i="102"/>
  <c r="O13" i="102" s="1"/>
  <c r="H13" i="102"/>
  <c r="F13" i="102" s="1"/>
  <c r="C13" i="102"/>
  <c r="E12" i="102"/>
  <c r="I20" i="65"/>
  <c r="C43" i="93"/>
  <c r="C46" i="70"/>
  <c r="D29" i="72"/>
  <c r="K11" i="128" l="1"/>
  <c r="K11" i="98"/>
  <c r="AJ38" i="124"/>
  <c r="AJ37" i="129"/>
  <c r="Q34" i="129"/>
  <c r="O32" i="129"/>
  <c r="Q32" i="129" s="1"/>
  <c r="Q50" i="129" s="1"/>
  <c r="AG35" i="124"/>
  <c r="AG35" i="129"/>
  <c r="AF35" i="129"/>
  <c r="AD34" i="129"/>
  <c r="BE36" i="75"/>
  <c r="BD36" i="75"/>
  <c r="Z13" i="102"/>
  <c r="X13" i="102"/>
  <c r="AD34" i="63"/>
  <c r="AF34" i="63" s="1"/>
  <c r="K11" i="65"/>
  <c r="CZ13" i="126"/>
  <c r="CX11" i="126"/>
  <c r="BT13" i="126"/>
  <c r="BR11" i="126"/>
  <c r="CK11" i="126"/>
  <c r="CJ11" i="126"/>
  <c r="CJ7" i="126" s="1"/>
  <c r="CJ31" i="126" s="1"/>
  <c r="CH7" i="126"/>
  <c r="BZ34" i="126"/>
  <c r="CC7" i="126"/>
  <c r="CD7" i="126"/>
  <c r="CB34" i="126"/>
  <c r="CB26" i="126"/>
  <c r="CR17" i="126"/>
  <c r="H17" i="126" s="1"/>
  <c r="F17" i="126"/>
  <c r="CR13" i="126"/>
  <c r="CP11" i="126"/>
  <c r="BD13" i="126"/>
  <c r="BB11" i="126"/>
  <c r="AL31" i="126"/>
  <c r="AO34" i="126"/>
  <c r="AP34" i="126"/>
  <c r="AI35" i="124"/>
  <c r="AG34" i="124"/>
  <c r="AL38" i="124"/>
  <c r="E38" i="124" s="1"/>
  <c r="C38" i="124"/>
  <c r="AF34" i="124"/>
  <c r="AD32" i="124"/>
  <c r="AF32" i="124" s="1"/>
  <c r="AF51" i="124" s="1"/>
  <c r="BE7" i="75"/>
  <c r="BF7" i="75"/>
  <c r="AJ37" i="63"/>
  <c r="AG35" i="63"/>
  <c r="CJ7" i="75"/>
  <c r="AF35" i="63"/>
  <c r="AU34" i="75"/>
  <c r="CZ11" i="75"/>
  <c r="DA11" i="75"/>
  <c r="CL7" i="75"/>
  <c r="CH34" i="75"/>
  <c r="BT11" i="75"/>
  <c r="BU11" i="75"/>
  <c r="BD11" i="75"/>
  <c r="BE11" i="75"/>
  <c r="AP31" i="75"/>
  <c r="AL26" i="75"/>
  <c r="AO31" i="75"/>
  <c r="H17" i="75"/>
  <c r="CS11" i="75"/>
  <c r="CR11" i="75"/>
  <c r="H12" i="102"/>
  <c r="H11" i="64"/>
  <c r="U13" i="102"/>
  <c r="R13" i="102"/>
  <c r="D37" i="102"/>
  <c r="C12" i="102"/>
  <c r="E5" i="102"/>
  <c r="U35" i="124" l="1"/>
  <c r="U35" i="129"/>
  <c r="AL37" i="129"/>
  <c r="E37" i="129" s="1"/>
  <c r="C37" i="129"/>
  <c r="I15" i="64"/>
  <c r="I15" i="130"/>
  <c r="Y12" i="128"/>
  <c r="Y12" i="98"/>
  <c r="AM35" i="124"/>
  <c r="AO35" i="124" s="1"/>
  <c r="AM35" i="129"/>
  <c r="AJ35" i="124"/>
  <c r="AJ35" i="129"/>
  <c r="AI35" i="129"/>
  <c r="AG34" i="129"/>
  <c r="K16" i="128"/>
  <c r="K16" i="98"/>
  <c r="AF34" i="129"/>
  <c r="AD32" i="129"/>
  <c r="AF32" i="129" s="1"/>
  <c r="AF50" i="129" s="1"/>
  <c r="AA35" i="124"/>
  <c r="AC35" i="124" s="1"/>
  <c r="AA35" i="129"/>
  <c r="AG34" i="63"/>
  <c r="K16" i="65"/>
  <c r="BU11" i="126"/>
  <c r="BT11" i="126"/>
  <c r="BT7" i="126" s="1"/>
  <c r="BT31" i="126" s="1"/>
  <c r="BR7" i="126"/>
  <c r="CH34" i="126"/>
  <c r="CK7" i="126"/>
  <c r="CL7" i="126"/>
  <c r="CJ34" i="126"/>
  <c r="CJ26" i="126"/>
  <c r="DA11" i="126"/>
  <c r="CZ11" i="126"/>
  <c r="CZ7" i="126" s="1"/>
  <c r="CZ31" i="126" s="1"/>
  <c r="CX7" i="126"/>
  <c r="BZ31" i="126"/>
  <c r="CD34" i="126"/>
  <c r="CC34" i="126"/>
  <c r="CR11" i="126"/>
  <c r="CR7" i="126" s="1"/>
  <c r="CR31" i="126" s="1"/>
  <c r="CS11" i="126"/>
  <c r="CP7" i="126"/>
  <c r="BE11" i="126"/>
  <c r="BD11" i="126"/>
  <c r="BD7" i="126" s="1"/>
  <c r="BD31" i="126" s="1"/>
  <c r="BB7" i="126"/>
  <c r="AP31" i="126"/>
  <c r="AO31" i="126"/>
  <c r="AL26" i="126"/>
  <c r="AI34" i="124"/>
  <c r="AG32" i="124"/>
  <c r="AI32" i="124" s="1"/>
  <c r="AI51" i="124" s="1"/>
  <c r="AL35" i="124"/>
  <c r="AJ34" i="124"/>
  <c r="W35" i="124"/>
  <c r="U34" i="124"/>
  <c r="AM34" i="124"/>
  <c r="CJ31" i="75"/>
  <c r="AM35" i="63"/>
  <c r="CZ7" i="75"/>
  <c r="U35" i="63"/>
  <c r="BD7" i="75"/>
  <c r="BD31" i="75" s="1"/>
  <c r="I9" i="130" s="1"/>
  <c r="AI35" i="63"/>
  <c r="AI34" i="63"/>
  <c r="AL37" i="63"/>
  <c r="C37" i="63"/>
  <c r="AJ35" i="63"/>
  <c r="CR7" i="75"/>
  <c r="AA35" i="63"/>
  <c r="BT7" i="75"/>
  <c r="E34" i="77"/>
  <c r="E35" i="77"/>
  <c r="DB7" i="75"/>
  <c r="CX34" i="75"/>
  <c r="CL34" i="75"/>
  <c r="CH31" i="75"/>
  <c r="CK34" i="75"/>
  <c r="BV7" i="75"/>
  <c r="BR34" i="75"/>
  <c r="BB34" i="75"/>
  <c r="AV36" i="75"/>
  <c r="H15" i="130" s="1"/>
  <c r="AW36" i="75"/>
  <c r="AP26" i="75"/>
  <c r="AO26" i="75"/>
  <c r="O20" i="65"/>
  <c r="CT7" i="75"/>
  <c r="CP34" i="75"/>
  <c r="I34" i="77"/>
  <c r="I35" i="77"/>
  <c r="Y12" i="65"/>
  <c r="E38" i="102"/>
  <c r="C37" i="102"/>
  <c r="I13" i="130" l="1"/>
  <c r="I4" i="130"/>
  <c r="AC13" i="128"/>
  <c r="AC13" i="98"/>
  <c r="AC13" i="65"/>
  <c r="W35" i="129"/>
  <c r="U34" i="129"/>
  <c r="M18" i="128"/>
  <c r="M20" i="128" s="1"/>
  <c r="M18" i="98"/>
  <c r="M20" i="98" s="1"/>
  <c r="AA34" i="124"/>
  <c r="AO35" i="129"/>
  <c r="AM34" i="129"/>
  <c r="AL35" i="129"/>
  <c r="AJ34" i="129"/>
  <c r="M9" i="64"/>
  <c r="M9" i="130"/>
  <c r="K17" i="128"/>
  <c r="K17" i="98"/>
  <c r="AI34" i="129"/>
  <c r="AG32" i="129"/>
  <c r="AI32" i="129" s="1"/>
  <c r="AI50" i="129" s="1"/>
  <c r="AC35" i="129"/>
  <c r="AA34" i="129"/>
  <c r="U34" i="63"/>
  <c r="AM34" i="63"/>
  <c r="AO34" i="63" s="1"/>
  <c r="AJ34" i="63"/>
  <c r="AL34" i="63" s="1"/>
  <c r="AA34" i="63"/>
  <c r="AC34" i="63" s="1"/>
  <c r="K17" i="65"/>
  <c r="E40" i="102"/>
  <c r="E41" i="102"/>
  <c r="CK34" i="126"/>
  <c r="CL34" i="126"/>
  <c r="CH31" i="126"/>
  <c r="CX34" i="126"/>
  <c r="DB7" i="126"/>
  <c r="DA7" i="126"/>
  <c r="BR34" i="126"/>
  <c r="BU7" i="126"/>
  <c r="BV7" i="126"/>
  <c r="CZ34" i="126"/>
  <c r="CZ26" i="126"/>
  <c r="BT34" i="126"/>
  <c r="BT26" i="126"/>
  <c r="N14" i="75"/>
  <c r="N14" i="126"/>
  <c r="AT14" i="75"/>
  <c r="AT13" i="75" s="1"/>
  <c r="AT14" i="126"/>
  <c r="CC31" i="126"/>
  <c r="CD31" i="126"/>
  <c r="BZ26" i="126"/>
  <c r="CT7" i="126"/>
  <c r="CP34" i="126"/>
  <c r="CS7" i="126"/>
  <c r="CR34" i="126"/>
  <c r="CR26" i="126"/>
  <c r="BB34" i="126"/>
  <c r="BF7" i="126"/>
  <c r="BE7" i="126"/>
  <c r="BD26" i="126"/>
  <c r="BD34" i="126"/>
  <c r="AO26" i="126"/>
  <c r="AP26" i="126"/>
  <c r="CJ34" i="75"/>
  <c r="CJ26" i="75"/>
  <c r="AL34" i="124"/>
  <c r="AJ32" i="124"/>
  <c r="AL32" i="124" s="1"/>
  <c r="AL51" i="124" s="1"/>
  <c r="AA32" i="124"/>
  <c r="AC32" i="124" s="1"/>
  <c r="AC51" i="124" s="1"/>
  <c r="AC34" i="124"/>
  <c r="W34" i="124"/>
  <c r="U32" i="124"/>
  <c r="W32" i="124" s="1"/>
  <c r="W51" i="124" s="1"/>
  <c r="AM32" i="124"/>
  <c r="AO34" i="124"/>
  <c r="H15" i="64"/>
  <c r="BT31" i="75"/>
  <c r="CZ31" i="75"/>
  <c r="CR31" i="75"/>
  <c r="AC35" i="63"/>
  <c r="M18" i="65"/>
  <c r="E37" i="63"/>
  <c r="W35" i="63"/>
  <c r="W34" i="63"/>
  <c r="AO35" i="63"/>
  <c r="AL35" i="63"/>
  <c r="D11" i="64"/>
  <c r="P14" i="75"/>
  <c r="N13" i="75"/>
  <c r="P13" i="75" s="1"/>
  <c r="P12" i="75"/>
  <c r="P36" i="75"/>
  <c r="D15" i="130" s="1"/>
  <c r="Q36" i="75"/>
  <c r="O34" i="75"/>
  <c r="DB34" i="75"/>
  <c r="CX31" i="75"/>
  <c r="DA34" i="75"/>
  <c r="CK31" i="75"/>
  <c r="CL31" i="75"/>
  <c r="CH26" i="75"/>
  <c r="M4" i="64"/>
  <c r="M13" i="64"/>
  <c r="BV34" i="75"/>
  <c r="BR31" i="75"/>
  <c r="BU34" i="75"/>
  <c r="BD26" i="75"/>
  <c r="I9" i="64"/>
  <c r="BD34" i="75"/>
  <c r="BE34" i="75"/>
  <c r="BB31" i="75"/>
  <c r="BF34" i="75"/>
  <c r="AV14" i="75"/>
  <c r="CS34" i="75"/>
  <c r="CP31" i="75"/>
  <c r="CT34" i="75"/>
  <c r="N15" i="1"/>
  <c r="Q16" i="1"/>
  <c r="AC12" i="128" l="1"/>
  <c r="AC12" i="98"/>
  <c r="K13" i="128"/>
  <c r="K13" i="98"/>
  <c r="W34" i="129"/>
  <c r="U32" i="129"/>
  <c r="W32" i="129" s="1"/>
  <c r="W50" i="129" s="1"/>
  <c r="Y8" i="128"/>
  <c r="Y8" i="98"/>
  <c r="E12" i="110"/>
  <c r="J12" i="110" s="1"/>
  <c r="C17" i="133"/>
  <c r="Y10" i="125"/>
  <c r="K19" i="128"/>
  <c r="K19" i="98"/>
  <c r="AO34" i="129"/>
  <c r="AM32" i="129"/>
  <c r="AO32" i="129" s="1"/>
  <c r="AO50" i="129" s="1"/>
  <c r="CZ34" i="75"/>
  <c r="O9" i="130"/>
  <c r="CR34" i="75"/>
  <c r="N9" i="130"/>
  <c r="AL34" i="129"/>
  <c r="AJ32" i="129"/>
  <c r="AL32" i="129" s="1"/>
  <c r="AL50" i="129" s="1"/>
  <c r="K18" i="128"/>
  <c r="K18" i="98"/>
  <c r="AA17" i="98"/>
  <c r="X17" i="98" s="1"/>
  <c r="AA17" i="128"/>
  <c r="X17" i="128" s="1"/>
  <c r="M13" i="130"/>
  <c r="M4" i="130"/>
  <c r="T17" i="98"/>
  <c r="T17" i="128"/>
  <c r="K9" i="64"/>
  <c r="K13" i="64" s="1"/>
  <c r="K9" i="130"/>
  <c r="AC34" i="129"/>
  <c r="AA32" i="129"/>
  <c r="K15" i="128"/>
  <c r="K15" i="98"/>
  <c r="K13" i="65"/>
  <c r="K15" i="65"/>
  <c r="D36" i="72"/>
  <c r="D44" i="95"/>
  <c r="D44" i="90"/>
  <c r="K19" i="65"/>
  <c r="K18" i="65"/>
  <c r="DA34" i="126"/>
  <c r="DB34" i="126"/>
  <c r="CX31" i="126"/>
  <c r="N13" i="126"/>
  <c r="P14" i="126"/>
  <c r="BU34" i="126"/>
  <c r="BV34" i="126"/>
  <c r="BR31" i="126"/>
  <c r="CL31" i="126"/>
  <c r="CK31" i="126"/>
  <c r="CH26" i="126"/>
  <c r="AV14" i="126"/>
  <c r="AT13" i="126"/>
  <c r="CC26" i="126"/>
  <c r="CD26" i="126"/>
  <c r="CP31" i="126"/>
  <c r="CT34" i="126"/>
  <c r="CS34" i="126"/>
  <c r="BE34" i="126"/>
  <c r="BF34" i="126"/>
  <c r="BB31" i="126"/>
  <c r="AC12" i="65"/>
  <c r="AD10" i="125"/>
  <c r="Y8" i="125"/>
  <c r="Y59" i="125"/>
  <c r="Y79" i="125"/>
  <c r="BT26" i="75"/>
  <c r="CZ26" i="75"/>
  <c r="AO32" i="124"/>
  <c r="BT34" i="75"/>
  <c r="D15" i="64"/>
  <c r="O9" i="64"/>
  <c r="O4" i="64" s="1"/>
  <c r="CR26" i="75"/>
  <c r="N9" i="64"/>
  <c r="N4" i="64" s="1"/>
  <c r="L10" i="119"/>
  <c r="K10" i="108"/>
  <c r="P10" i="108" s="1"/>
  <c r="AA10" i="107"/>
  <c r="Y8" i="65"/>
  <c r="W10" i="119"/>
  <c r="DA31" i="75"/>
  <c r="CX26" i="75"/>
  <c r="DB31" i="75"/>
  <c r="T17" i="65"/>
  <c r="CL26" i="75"/>
  <c r="CK26" i="75"/>
  <c r="AA17" i="65"/>
  <c r="X17" i="65" s="1"/>
  <c r="K4" i="64"/>
  <c r="BU31" i="75"/>
  <c r="BR26" i="75"/>
  <c r="BV31" i="75"/>
  <c r="BF31" i="75"/>
  <c r="BB26" i="75"/>
  <c r="BE31" i="75"/>
  <c r="I4" i="64"/>
  <c r="I13" i="64"/>
  <c r="AV12" i="75"/>
  <c r="AT11" i="75"/>
  <c r="AT7" i="75" s="1"/>
  <c r="AW7" i="75" s="1"/>
  <c r="AV13" i="75"/>
  <c r="CS31" i="75"/>
  <c r="CT31" i="75"/>
  <c r="CP26" i="75"/>
  <c r="C17" i="92"/>
  <c r="C11" i="94"/>
  <c r="U15" i="1"/>
  <c r="C17" i="87"/>
  <c r="R16" i="1"/>
  <c r="Q15" i="1"/>
  <c r="N13" i="1"/>
  <c r="C11" i="88"/>
  <c r="C11" i="71"/>
  <c r="C10" i="71" s="1"/>
  <c r="O15" i="1"/>
  <c r="C17" i="69"/>
  <c r="AA13" i="98" l="1"/>
  <c r="X13" i="98" s="1"/>
  <c r="AA13" i="128"/>
  <c r="X13" i="128" s="1"/>
  <c r="AC8" i="128"/>
  <c r="AC8" i="98"/>
  <c r="T13" i="98"/>
  <c r="T13" i="128"/>
  <c r="C9" i="133"/>
  <c r="C8" i="133" s="1"/>
  <c r="N67" i="1"/>
  <c r="T19" i="98"/>
  <c r="T19" i="128"/>
  <c r="O13" i="130"/>
  <c r="O4" i="130"/>
  <c r="T18" i="98"/>
  <c r="T18" i="128"/>
  <c r="N13" i="130"/>
  <c r="N4" i="130"/>
  <c r="AA15" i="98"/>
  <c r="X15" i="98" s="1"/>
  <c r="AA15" i="128"/>
  <c r="T15" i="98"/>
  <c r="T15" i="128"/>
  <c r="AC32" i="129"/>
  <c r="K13" i="130"/>
  <c r="K4" i="130"/>
  <c r="BV31" i="126"/>
  <c r="BU31" i="126"/>
  <c r="BR26" i="126"/>
  <c r="P13" i="126"/>
  <c r="P11" i="126" s="1"/>
  <c r="P7" i="126" s="1"/>
  <c r="P31" i="126" s="1"/>
  <c r="N11" i="126"/>
  <c r="CL26" i="126"/>
  <c r="CK26" i="126"/>
  <c r="DB31" i="126"/>
  <c r="DA31" i="126"/>
  <c r="CX26" i="126"/>
  <c r="AT11" i="126"/>
  <c r="AV13" i="126"/>
  <c r="CS31" i="126"/>
  <c r="CP26" i="126"/>
  <c r="CT31" i="126"/>
  <c r="BF31" i="126"/>
  <c r="BE31" i="126"/>
  <c r="BB26" i="126"/>
  <c r="Y76" i="125"/>
  <c r="Y80" i="125"/>
  <c r="AD79" i="125"/>
  <c r="Z80" i="125"/>
  <c r="Y58" i="125"/>
  <c r="AD59" i="125"/>
  <c r="Y7" i="125"/>
  <c r="Y130" i="125"/>
  <c r="Y9" i="125"/>
  <c r="Y129" i="125"/>
  <c r="AD129" i="125" s="1"/>
  <c r="AG129" i="125" s="1"/>
  <c r="Y45" i="125"/>
  <c r="AD8" i="125"/>
  <c r="Z130" i="125"/>
  <c r="AG10" i="125"/>
  <c r="AO51" i="124"/>
  <c r="N13" i="64"/>
  <c r="AC8" i="65"/>
  <c r="O13" i="64"/>
  <c r="L8" i="119"/>
  <c r="R8" i="119" s="1"/>
  <c r="R10" i="119"/>
  <c r="AF10" i="107"/>
  <c r="AA8" i="107"/>
  <c r="AA59" i="107"/>
  <c r="AA79" i="107"/>
  <c r="W8" i="119"/>
  <c r="DB26" i="75"/>
  <c r="DA26" i="75"/>
  <c r="T19" i="65"/>
  <c r="BU26" i="75"/>
  <c r="BV26" i="75"/>
  <c r="AA15" i="65"/>
  <c r="X15" i="65" s="1"/>
  <c r="T15" i="65"/>
  <c r="T13" i="65"/>
  <c r="BF26" i="75"/>
  <c r="BE26" i="75"/>
  <c r="AA13" i="65"/>
  <c r="X13" i="65" s="1"/>
  <c r="AV11" i="75"/>
  <c r="R35" i="129" s="1"/>
  <c r="AW11" i="75"/>
  <c r="CS26" i="75"/>
  <c r="CT26" i="75"/>
  <c r="T18" i="65"/>
  <c r="O13" i="1"/>
  <c r="E6" i="110"/>
  <c r="J6" i="110" s="1"/>
  <c r="N14" i="1"/>
  <c r="N68" i="1" s="1"/>
  <c r="Q13" i="1"/>
  <c r="C10" i="88"/>
  <c r="C9" i="88" s="1"/>
  <c r="C10" i="94"/>
  <c r="C9" i="94" s="1"/>
  <c r="C9" i="71"/>
  <c r="U13" i="1"/>
  <c r="C9" i="92"/>
  <c r="C8" i="92" s="1"/>
  <c r="C9" i="69"/>
  <c r="C8" i="69" s="1"/>
  <c r="N12" i="1"/>
  <c r="N66" i="1" s="1"/>
  <c r="C9" i="87"/>
  <c r="C8" i="87" s="1"/>
  <c r="C10" i="70"/>
  <c r="C10" i="93"/>
  <c r="R15" i="1"/>
  <c r="C32" i="94"/>
  <c r="C32" i="71"/>
  <c r="C32" i="88"/>
  <c r="T35" i="129" l="1"/>
  <c r="R34" i="129"/>
  <c r="AA19" i="98"/>
  <c r="X19" i="98" s="1"/>
  <c r="AA19" i="128"/>
  <c r="X19" i="128" s="1"/>
  <c r="AA18" i="98"/>
  <c r="X18" i="98" s="1"/>
  <c r="AA18" i="128"/>
  <c r="X18" i="128" s="1"/>
  <c r="X15" i="128"/>
  <c r="AC50" i="129"/>
  <c r="AD80" i="125"/>
  <c r="O12" i="1"/>
  <c r="P34" i="126"/>
  <c r="P26" i="126"/>
  <c r="AV11" i="126"/>
  <c r="AV7" i="126" s="1"/>
  <c r="AV31" i="126" s="1"/>
  <c r="AW11" i="126"/>
  <c r="AT7" i="126"/>
  <c r="BV26" i="126"/>
  <c r="BU26" i="126"/>
  <c r="DA26" i="126"/>
  <c r="DB26" i="126"/>
  <c r="Q11" i="126"/>
  <c r="N7" i="126"/>
  <c r="CS26" i="126"/>
  <c r="CT26" i="126"/>
  <c r="BE26" i="126"/>
  <c r="BF26" i="126"/>
  <c r="AE130" i="125"/>
  <c r="AA18" i="65"/>
  <c r="X18" i="65" s="1"/>
  <c r="Y46" i="125"/>
  <c r="AD45" i="125"/>
  <c r="Z46" i="125"/>
  <c r="AD7" i="125"/>
  <c r="AF8" i="125" s="1"/>
  <c r="Y128" i="125"/>
  <c r="Y43" i="125"/>
  <c r="Y57" i="125"/>
  <c r="Y66" i="125" s="1"/>
  <c r="AD66" i="125" s="1"/>
  <c r="Y41" i="125"/>
  <c r="Y73" i="125"/>
  <c r="Y78" i="125" s="1"/>
  <c r="AD78" i="125" s="1"/>
  <c r="Y40" i="125"/>
  <c r="AD40" i="125" s="1"/>
  <c r="Y69" i="125"/>
  <c r="Z41" i="125"/>
  <c r="Z128" i="125"/>
  <c r="Z69" i="125"/>
  <c r="AG59" i="125"/>
  <c r="AG79" i="125"/>
  <c r="Z42" i="125"/>
  <c r="Y42" i="125"/>
  <c r="Y48" i="125"/>
  <c r="Y132" i="125"/>
  <c r="Y131" i="125"/>
  <c r="AD131" i="125" s="1"/>
  <c r="Z132" i="125"/>
  <c r="AD9" i="125"/>
  <c r="Y70" i="125"/>
  <c r="AD58" i="125"/>
  <c r="Z70" i="125"/>
  <c r="AG8" i="125"/>
  <c r="AD130" i="125"/>
  <c r="AE80" i="125"/>
  <c r="AD76" i="125"/>
  <c r="Y77" i="125"/>
  <c r="Z77" i="125"/>
  <c r="R35" i="63"/>
  <c r="R35" i="124"/>
  <c r="AA19" i="65"/>
  <c r="X19" i="65" s="1"/>
  <c r="L9" i="119"/>
  <c r="R9" i="119" s="1"/>
  <c r="L7" i="119"/>
  <c r="R7" i="119" s="1"/>
  <c r="AA80" i="107"/>
  <c r="AF79" i="107"/>
  <c r="AA76" i="107"/>
  <c r="AB80" i="107"/>
  <c r="AF59" i="107"/>
  <c r="AA58" i="107"/>
  <c r="AA130" i="107"/>
  <c r="AF8" i="107"/>
  <c r="AA9" i="107"/>
  <c r="AA129" i="107"/>
  <c r="AF129" i="107" s="1"/>
  <c r="AI129" i="107" s="1"/>
  <c r="AA45" i="107"/>
  <c r="AA7" i="107"/>
  <c r="AB130" i="107"/>
  <c r="AI10" i="107"/>
  <c r="M10" i="108"/>
  <c r="K8" i="108"/>
  <c r="P8" i="108" s="1"/>
  <c r="Q14" i="1"/>
  <c r="Q12" i="1"/>
  <c r="C15" i="133" s="1"/>
  <c r="C16" i="133" s="1"/>
  <c r="E5" i="110"/>
  <c r="J5" i="110" s="1"/>
  <c r="U14" i="1"/>
  <c r="U12" i="1"/>
  <c r="O14" i="1"/>
  <c r="AE41" i="125" l="1"/>
  <c r="AG41" i="125" s="1"/>
  <c r="T34" i="129"/>
  <c r="R32" i="129"/>
  <c r="T32" i="129" s="1"/>
  <c r="Q73" i="1"/>
  <c r="AE77" i="125"/>
  <c r="AG29" i="102"/>
  <c r="R34" i="63"/>
  <c r="T34" i="63" s="1"/>
  <c r="AE69" i="125"/>
  <c r="AE42" i="125"/>
  <c r="AD77" i="125"/>
  <c r="Q7" i="126"/>
  <c r="R7" i="126"/>
  <c r="N31" i="126"/>
  <c r="AV34" i="126"/>
  <c r="AV26" i="126"/>
  <c r="T35" i="63"/>
  <c r="AW7" i="126"/>
  <c r="AT34" i="126"/>
  <c r="AX7" i="126"/>
  <c r="AE46" i="125"/>
  <c r="AD69" i="125"/>
  <c r="AD132" i="125"/>
  <c r="AD70" i="125"/>
  <c r="Y63" i="125"/>
  <c r="Y65" i="125"/>
  <c r="AD65" i="125" s="1"/>
  <c r="Y68" i="125"/>
  <c r="AD68" i="125" s="1"/>
  <c r="AD57" i="125"/>
  <c r="AF58" i="125" s="1"/>
  <c r="Y44" i="125"/>
  <c r="Y53" i="125"/>
  <c r="AD53" i="125" s="1"/>
  <c r="Z44" i="125"/>
  <c r="AD43" i="125"/>
  <c r="AE70" i="125"/>
  <c r="AF9" i="125"/>
  <c r="AG9" i="125"/>
  <c r="Y50" i="125"/>
  <c r="AD50" i="125" s="1"/>
  <c r="Y49" i="125"/>
  <c r="AD48" i="125"/>
  <c r="Z49" i="125"/>
  <c r="Y115" i="125"/>
  <c r="AD115" i="125" s="1"/>
  <c r="Y121" i="125"/>
  <c r="AD121" i="125" s="1"/>
  <c r="Y90" i="125"/>
  <c r="AD90" i="125" s="1"/>
  <c r="Y96" i="125"/>
  <c r="AD96" i="125" s="1"/>
  <c r="Y124" i="125"/>
  <c r="AD124" i="125" s="1"/>
  <c r="Y93" i="125"/>
  <c r="AD93" i="125" s="1"/>
  <c r="Y103" i="125"/>
  <c r="Y109" i="125"/>
  <c r="AD109" i="125" s="1"/>
  <c r="Y118" i="125"/>
  <c r="AD118" i="125" s="1"/>
  <c r="Y74" i="125"/>
  <c r="Y112" i="125"/>
  <c r="AD112" i="125" s="1"/>
  <c r="Y127" i="125"/>
  <c r="AD127" i="125" s="1"/>
  <c r="Y84" i="125"/>
  <c r="AD84" i="125" s="1"/>
  <c r="Y99" i="125"/>
  <c r="AD99" i="125" s="1"/>
  <c r="Y102" i="125"/>
  <c r="AD102" i="125" s="1"/>
  <c r="Y87" i="125"/>
  <c r="AD87" i="125" s="1"/>
  <c r="Z74" i="125"/>
  <c r="AD73" i="125"/>
  <c r="Y81" i="125"/>
  <c r="AD81" i="125" s="1"/>
  <c r="AD128" i="125"/>
  <c r="Y47" i="125"/>
  <c r="AD47" i="125" s="1"/>
  <c r="AG58" i="125"/>
  <c r="AE132" i="125"/>
  <c r="AD42" i="125"/>
  <c r="AD41" i="125"/>
  <c r="AF7" i="125"/>
  <c r="AF17" i="125"/>
  <c r="AF25" i="125"/>
  <c r="AF20" i="125"/>
  <c r="AF27" i="125"/>
  <c r="AF19" i="125"/>
  <c r="AG7" i="125"/>
  <c r="AF16" i="125"/>
  <c r="AF24" i="125"/>
  <c r="AF26" i="125"/>
  <c r="AF18" i="125"/>
  <c r="AF14" i="125"/>
  <c r="AF23" i="125"/>
  <c r="AF21" i="125"/>
  <c r="AF11" i="125"/>
  <c r="AF28" i="125"/>
  <c r="AF12" i="125"/>
  <c r="AF13" i="125"/>
  <c r="AF10" i="125"/>
  <c r="AD46" i="125"/>
  <c r="T35" i="124"/>
  <c r="R34" i="124"/>
  <c r="AG130" i="107"/>
  <c r="AA46" i="107"/>
  <c r="AF45" i="107"/>
  <c r="AB46" i="107"/>
  <c r="AA77" i="107"/>
  <c r="AF76" i="107"/>
  <c r="AB77" i="107"/>
  <c r="AA70" i="107"/>
  <c r="AF58" i="107"/>
  <c r="AB70" i="107"/>
  <c r="AI79" i="107"/>
  <c r="AA42" i="107"/>
  <c r="AA132" i="107"/>
  <c r="AF9" i="107"/>
  <c r="AA131" i="107"/>
  <c r="AF131" i="107" s="1"/>
  <c r="AA48" i="107"/>
  <c r="AB132" i="107"/>
  <c r="AB42" i="107"/>
  <c r="AI59" i="107"/>
  <c r="AA128" i="107"/>
  <c r="AF7" i="107"/>
  <c r="AH8" i="107" s="1"/>
  <c r="AA69" i="107"/>
  <c r="AA41" i="107"/>
  <c r="AA43" i="107"/>
  <c r="AA47" i="107" s="1"/>
  <c r="AF47" i="107" s="1"/>
  <c r="AA73" i="107"/>
  <c r="AA40" i="107"/>
  <c r="AF40" i="107" s="1"/>
  <c r="AA57" i="107"/>
  <c r="AB69" i="107"/>
  <c r="AB41" i="107"/>
  <c r="AB128" i="107"/>
  <c r="AI8" i="107"/>
  <c r="AG80" i="107"/>
  <c r="W9" i="119"/>
  <c r="W7" i="119"/>
  <c r="M8" i="108"/>
  <c r="K7" i="108"/>
  <c r="P7" i="108" s="1"/>
  <c r="K9" i="108"/>
  <c r="L9" i="108" s="1"/>
  <c r="C15" i="92"/>
  <c r="C16" i="92" s="1"/>
  <c r="C15" i="87"/>
  <c r="C16" i="87" s="1"/>
  <c r="C15" i="69"/>
  <c r="C16" i="69" s="1"/>
  <c r="E10" i="110"/>
  <c r="J10" i="110" s="1"/>
  <c r="K12" i="128" l="1"/>
  <c r="K12" i="98"/>
  <c r="AG132" i="107"/>
  <c r="Q74" i="1"/>
  <c r="Q75" i="1" s="1"/>
  <c r="K12" i="65"/>
  <c r="AE74" i="125"/>
  <c r="AG74" i="125" s="1"/>
  <c r="AE49" i="125"/>
  <c r="AE44" i="125"/>
  <c r="AW34" i="126"/>
  <c r="AX34" i="126"/>
  <c r="AT31" i="126"/>
  <c r="N34" i="126"/>
  <c r="Q31" i="126"/>
  <c r="R31" i="126"/>
  <c r="N26" i="126"/>
  <c r="AF57" i="125"/>
  <c r="AG57" i="125"/>
  <c r="AF62" i="125"/>
  <c r="AF61" i="125"/>
  <c r="AF60" i="125"/>
  <c r="AF64" i="125"/>
  <c r="AF59" i="125"/>
  <c r="Y105" i="125"/>
  <c r="AD105" i="125" s="1"/>
  <c r="Y104" i="125"/>
  <c r="AD103" i="125"/>
  <c r="Z104" i="125"/>
  <c r="AF122" i="125"/>
  <c r="AF110" i="125"/>
  <c r="AG73" i="125"/>
  <c r="AF119" i="125"/>
  <c r="AF91" i="125"/>
  <c r="AF113" i="125"/>
  <c r="AF94" i="125"/>
  <c r="AF125" i="125"/>
  <c r="AF116" i="125"/>
  <c r="AF73" i="125"/>
  <c r="AF88" i="125"/>
  <c r="AF97" i="125"/>
  <c r="AF82" i="125"/>
  <c r="AF100" i="125"/>
  <c r="AF85" i="125"/>
  <c r="AF79" i="125"/>
  <c r="AD74" i="125"/>
  <c r="AD49" i="125"/>
  <c r="AD44" i="125"/>
  <c r="Y71" i="125"/>
  <c r="Y67" i="125"/>
  <c r="AD67" i="125" s="1"/>
  <c r="Z71" i="125"/>
  <c r="AD63" i="125"/>
  <c r="T34" i="124"/>
  <c r="R32" i="124"/>
  <c r="T32" i="124" s="1"/>
  <c r="M9" i="108"/>
  <c r="P9" i="108"/>
  <c r="AG70" i="107"/>
  <c r="AG42" i="107"/>
  <c r="AG69" i="107"/>
  <c r="AF46" i="107"/>
  <c r="AG41" i="107"/>
  <c r="AA63" i="107"/>
  <c r="AF57" i="107"/>
  <c r="AH58" i="107" s="1"/>
  <c r="AA68" i="107"/>
  <c r="AF68" i="107" s="1"/>
  <c r="AA65" i="107"/>
  <c r="AF65" i="107" s="1"/>
  <c r="AA49" i="107"/>
  <c r="AF48" i="107"/>
  <c r="AA50" i="107"/>
  <c r="AF50" i="107" s="1"/>
  <c r="AB49" i="107"/>
  <c r="AA66" i="107"/>
  <c r="AF66" i="107" s="1"/>
  <c r="U19" i="108"/>
  <c r="AI58" i="107"/>
  <c r="AA103" i="107"/>
  <c r="AA118" i="107"/>
  <c r="AF118" i="107" s="1"/>
  <c r="AA93" i="107"/>
  <c r="AF93" i="107" s="1"/>
  <c r="AA102" i="107"/>
  <c r="AF102" i="107" s="1"/>
  <c r="AA127" i="107"/>
  <c r="AF127" i="107" s="1"/>
  <c r="AA115" i="107"/>
  <c r="AF115" i="107" s="1"/>
  <c r="AA90" i="107"/>
  <c r="AF90" i="107" s="1"/>
  <c r="AA124" i="107"/>
  <c r="AF124" i="107" s="1"/>
  <c r="AA112" i="107"/>
  <c r="AF112" i="107" s="1"/>
  <c r="AA99" i="107"/>
  <c r="AF99" i="107" s="1"/>
  <c r="AA87" i="107"/>
  <c r="AF87" i="107" s="1"/>
  <c r="AA121" i="107"/>
  <c r="AF121" i="107" s="1"/>
  <c r="AA109" i="107"/>
  <c r="AF109" i="107" s="1"/>
  <c r="AA96" i="107"/>
  <c r="AF96" i="107" s="1"/>
  <c r="AA84" i="107"/>
  <c r="AF84" i="107" s="1"/>
  <c r="AA74" i="107"/>
  <c r="AF73" i="107"/>
  <c r="AB74" i="107"/>
  <c r="AA81" i="107"/>
  <c r="AF81" i="107" s="1"/>
  <c r="AI7" i="107"/>
  <c r="AH7" i="107"/>
  <c r="AH14" i="107"/>
  <c r="AH23" i="107"/>
  <c r="AH28" i="107"/>
  <c r="AH19" i="107"/>
  <c r="AH13" i="107"/>
  <c r="AH18" i="107"/>
  <c r="AH24" i="107"/>
  <c r="AH12" i="107"/>
  <c r="AH26" i="107"/>
  <c r="AH20" i="107"/>
  <c r="AH17" i="107"/>
  <c r="AH16" i="107"/>
  <c r="AH25" i="107"/>
  <c r="AH27" i="107"/>
  <c r="AH21" i="107"/>
  <c r="AH11" i="107"/>
  <c r="AH10" i="107"/>
  <c r="AI9" i="107"/>
  <c r="AH9" i="107"/>
  <c r="AA78" i="107"/>
  <c r="AF78" i="107" s="1"/>
  <c r="AA44" i="107"/>
  <c r="AF43" i="107"/>
  <c r="AA53" i="107"/>
  <c r="AF53" i="107" s="1"/>
  <c r="AB44" i="107"/>
  <c r="AG77" i="107"/>
  <c r="AG46" i="107"/>
  <c r="Q6" i="108"/>
  <c r="R6" i="108" s="1"/>
  <c r="Q5" i="108"/>
  <c r="R5" i="108" s="1"/>
  <c r="U25" i="108"/>
  <c r="U24" i="108"/>
  <c r="U26" i="108"/>
  <c r="U10" i="108"/>
  <c r="U23" i="108"/>
  <c r="R9" i="108"/>
  <c r="Q4" i="108"/>
  <c r="R4" i="108" s="1"/>
  <c r="U8" i="108"/>
  <c r="U13" i="108"/>
  <c r="U11" i="108"/>
  <c r="U27" i="108"/>
  <c r="U12" i="108"/>
  <c r="U14" i="108"/>
  <c r="M7" i="108"/>
  <c r="U9" i="108"/>
  <c r="U16" i="108"/>
  <c r="U17" i="108"/>
  <c r="U18" i="108"/>
  <c r="U15" i="108"/>
  <c r="U7" i="108"/>
  <c r="U20" i="108"/>
  <c r="U21" i="108"/>
  <c r="U22" i="108"/>
  <c r="AF130" i="107"/>
  <c r="AF111" i="107"/>
  <c r="E11" i="110"/>
  <c r="J11" i="110" s="1"/>
  <c r="E8" i="111"/>
  <c r="C31" i="71"/>
  <c r="C30" i="71" s="1"/>
  <c r="C31" i="94"/>
  <c r="C30" i="94" s="1"/>
  <c r="C31" i="88"/>
  <c r="C30" i="88" s="1"/>
  <c r="AD71" i="125" l="1"/>
  <c r="AE104" i="125"/>
  <c r="Q34" i="126"/>
  <c r="R34" i="126"/>
  <c r="R26" i="126"/>
  <c r="Q26" i="126"/>
  <c r="AW31" i="126"/>
  <c r="AX31" i="126"/>
  <c r="AT26" i="126"/>
  <c r="AF63" i="125"/>
  <c r="AG63" i="125"/>
  <c r="AF103" i="125"/>
  <c r="AG103" i="125"/>
  <c r="AE71" i="125"/>
  <c r="AD104" i="125"/>
  <c r="AG74" i="107"/>
  <c r="AI74" i="107" s="1"/>
  <c r="AF49" i="107"/>
  <c r="AG44" i="107"/>
  <c r="AF44" i="107"/>
  <c r="AI73" i="107"/>
  <c r="AH122" i="107"/>
  <c r="AH97" i="107"/>
  <c r="AH125" i="107"/>
  <c r="AH85" i="107"/>
  <c r="AH119" i="107"/>
  <c r="AH113" i="107"/>
  <c r="AH94" i="107"/>
  <c r="AH73" i="107"/>
  <c r="AH116" i="107"/>
  <c r="AH100" i="107"/>
  <c r="AH110" i="107"/>
  <c r="AH88" i="107"/>
  <c r="AH91" i="107"/>
  <c r="AH82" i="107"/>
  <c r="AH79" i="107"/>
  <c r="AA105" i="107"/>
  <c r="AF105" i="107" s="1"/>
  <c r="AA104" i="107"/>
  <c r="AF103" i="107"/>
  <c r="AB104" i="107"/>
  <c r="AI57" i="107"/>
  <c r="AH60" i="107"/>
  <c r="AH57" i="107"/>
  <c r="AH61" i="107"/>
  <c r="AH62" i="107"/>
  <c r="AH64" i="107"/>
  <c r="AH59" i="107"/>
  <c r="AG49" i="107"/>
  <c r="AA71" i="107"/>
  <c r="AF63" i="107"/>
  <c r="AA67" i="107"/>
  <c r="AF67" i="107" s="1"/>
  <c r="AB71" i="107"/>
  <c r="AF132" i="107"/>
  <c r="AF42" i="107"/>
  <c r="AF69" i="107"/>
  <c r="AF41" i="107"/>
  <c r="AF128" i="107"/>
  <c r="AF70" i="107"/>
  <c r="AF72" i="107"/>
  <c r="AF123" i="107"/>
  <c r="AF120" i="107"/>
  <c r="AF117" i="107"/>
  <c r="AF101" i="107"/>
  <c r="AF108" i="107"/>
  <c r="AF77" i="107"/>
  <c r="AF83" i="107"/>
  <c r="AF92" i="107"/>
  <c r="AF98" i="107"/>
  <c r="AF89" i="107"/>
  <c r="AF80" i="107"/>
  <c r="AF74" i="107"/>
  <c r="AF86" i="107"/>
  <c r="AF95" i="107"/>
  <c r="AF114" i="107"/>
  <c r="AF126" i="107"/>
  <c r="D13" i="1"/>
  <c r="D12" i="1" s="1"/>
  <c r="D64" i="1" s="1"/>
  <c r="E42" i="1"/>
  <c r="AX26" i="126" l="1"/>
  <c r="AW26" i="126"/>
  <c r="C12" i="110"/>
  <c r="AG71" i="107"/>
  <c r="AF71" i="107"/>
  <c r="AI103" i="107"/>
  <c r="AH103" i="107"/>
  <c r="AI63" i="107"/>
  <c r="AH63" i="107"/>
  <c r="AG104" i="107"/>
  <c r="AF104" i="107"/>
  <c r="F42" i="1"/>
  <c r="F13" i="1" s="1"/>
  <c r="F14" i="1" s="1"/>
  <c r="AB29" i="102" s="1"/>
  <c r="D9" i="102"/>
  <c r="E44" i="1"/>
  <c r="E13" i="1" l="1"/>
  <c r="E12" i="1" s="1"/>
  <c r="AM10" i="102"/>
  <c r="AP10" i="102"/>
  <c r="AG10" i="102"/>
  <c r="AJ10" i="102"/>
  <c r="AB10" i="102"/>
  <c r="AA10" i="102" s="1"/>
  <c r="AE10" i="102"/>
  <c r="AD10" i="102" s="1"/>
  <c r="F12" i="1"/>
  <c r="D8" i="118" s="1"/>
  <c r="C9" i="102"/>
  <c r="D22" i="102"/>
  <c r="B9" i="117" l="1"/>
  <c r="G9" i="117" s="1"/>
  <c r="B13" i="127"/>
  <c r="E14" i="1"/>
  <c r="AD29" i="102" s="1"/>
  <c r="E64" i="1"/>
  <c r="C8" i="118"/>
  <c r="D11" i="118"/>
  <c r="C11" i="118" s="1"/>
  <c r="D5" i="118"/>
  <c r="D38" i="118" s="1"/>
  <c r="D6" i="118" s="1"/>
  <c r="D7" i="118" s="1"/>
  <c r="AN8" i="118"/>
  <c r="AQ8" i="118"/>
  <c r="AH8" i="118"/>
  <c r="AK8" i="118"/>
  <c r="AB8" i="118"/>
  <c r="P10" i="86"/>
  <c r="O10" i="86" s="1"/>
  <c r="S10" i="86"/>
  <c r="R10" i="86" s="1"/>
  <c r="M10" i="86"/>
  <c r="L10" i="86" s="1"/>
  <c r="G10" i="86"/>
  <c r="F10" i="86" s="1"/>
  <c r="J10" i="86"/>
  <c r="I10" i="86" s="1"/>
  <c r="D10" i="86"/>
  <c r="C10" i="86" s="1"/>
  <c r="C10" i="110"/>
  <c r="C8" i="111" s="1"/>
  <c r="D20" i="102"/>
  <c r="C22" i="102"/>
  <c r="B24" i="127" s="1"/>
  <c r="F64" i="1"/>
  <c r="D8" i="102"/>
  <c r="AA29" i="102" l="1"/>
  <c r="G24" i="127"/>
  <c r="B22" i="127"/>
  <c r="F24" i="127"/>
  <c r="E24" i="127"/>
  <c r="E22" i="127" s="1"/>
  <c r="E19" i="127" s="1"/>
  <c r="AB8" i="102"/>
  <c r="AB13" i="102" s="1"/>
  <c r="D44" i="102"/>
  <c r="D45" i="102" s="1"/>
  <c r="G13" i="127"/>
  <c r="F13" i="127"/>
  <c r="E13" i="127"/>
  <c r="D5" i="102"/>
  <c r="D6" i="102"/>
  <c r="D7" i="102" s="1"/>
  <c r="D40" i="118"/>
  <c r="D42" i="118"/>
  <c r="AK13" i="118"/>
  <c r="AJ8" i="118"/>
  <c r="AM8" i="118"/>
  <c r="AN13" i="118"/>
  <c r="AH13" i="118"/>
  <c r="AG8" i="118"/>
  <c r="AA8" i="118"/>
  <c r="AB13" i="118"/>
  <c r="AB18" i="118" s="1"/>
  <c r="AQ13" i="118"/>
  <c r="AP8" i="118"/>
  <c r="C6" i="118"/>
  <c r="E6" i="118" s="1"/>
  <c r="E7" i="118" s="1"/>
  <c r="C7" i="118" s="1"/>
  <c r="C5" i="118"/>
  <c r="C20" i="102"/>
  <c r="C19" i="102" s="1"/>
  <c r="C18" i="102" s="1"/>
  <c r="B25" i="117"/>
  <c r="H25" i="117" s="1"/>
  <c r="F8" i="111"/>
  <c r="C11" i="110"/>
  <c r="C9" i="110"/>
  <c r="C8" i="110" s="1"/>
  <c r="AJ8" i="102"/>
  <c r="D19" i="102"/>
  <c r="D18" i="102" s="1"/>
  <c r="D11" i="102"/>
  <c r="C8" i="102"/>
  <c r="AA8" i="102" l="1"/>
  <c r="C6" i="102"/>
  <c r="B12" i="127"/>
  <c r="B19" i="127"/>
  <c r="G19" i="127" s="1"/>
  <c r="G22" i="127"/>
  <c r="E6" i="102"/>
  <c r="C42" i="102"/>
  <c r="E7" i="102"/>
  <c r="C7" i="102" s="1"/>
  <c r="B8" i="117"/>
  <c r="AQ18" i="118"/>
  <c r="AP18" i="118" s="1"/>
  <c r="AP13" i="118"/>
  <c r="AN18" i="118"/>
  <c r="AM18" i="118" s="1"/>
  <c r="AM13" i="118"/>
  <c r="C38" i="118"/>
  <c r="C42" i="118" s="1"/>
  <c r="AA18" i="118"/>
  <c r="AA13" i="118"/>
  <c r="AH18" i="118"/>
  <c r="AG18" i="118" s="1"/>
  <c r="AG13" i="118"/>
  <c r="AK18" i="118"/>
  <c r="AJ18" i="118" s="1"/>
  <c r="AJ13" i="118"/>
  <c r="B21" i="117"/>
  <c r="G25" i="117"/>
  <c r="AN13" i="102"/>
  <c r="AN18" i="102" s="1"/>
  <c r="AC35" i="2" s="1"/>
  <c r="AM8" i="102"/>
  <c r="AK13" i="102"/>
  <c r="AP8" i="102"/>
  <c r="AQ13" i="102"/>
  <c r="AQ18" i="102" s="1"/>
  <c r="AH35" i="2" s="1"/>
  <c r="I16" i="2"/>
  <c r="C5" i="102"/>
  <c r="C40" i="102" s="1"/>
  <c r="D38" i="102"/>
  <c r="C11" i="102"/>
  <c r="B11" i="127" l="1"/>
  <c r="B15" i="127"/>
  <c r="D40" i="102"/>
  <c r="D41" i="102"/>
  <c r="B7" i="117"/>
  <c r="B11" i="117"/>
  <c r="B18" i="117"/>
  <c r="G23" i="118"/>
  <c r="D12" i="101"/>
  <c r="C12" i="101" s="1"/>
  <c r="G23" i="102"/>
  <c r="AB26" i="118"/>
  <c r="AA26" i="118" s="1"/>
  <c r="AN26" i="118"/>
  <c r="AM26" i="118" s="1"/>
  <c r="AA13" i="102"/>
  <c r="AB18" i="102"/>
  <c r="I35" i="2" s="1"/>
  <c r="AK26" i="118"/>
  <c r="AJ26" i="118" s="1"/>
  <c r="AQ26" i="118"/>
  <c r="AP26" i="118" s="1"/>
  <c r="AJ13" i="102"/>
  <c r="AK18" i="102"/>
  <c r="X35" i="2" s="1"/>
  <c r="AH26" i="118"/>
  <c r="AG26" i="118" s="1"/>
  <c r="AM13" i="102"/>
  <c r="AN26" i="102"/>
  <c r="AP13" i="102"/>
  <c r="C38" i="102"/>
  <c r="C41" i="102" s="1"/>
  <c r="B42" i="117" l="1"/>
  <c r="AM26" i="102"/>
  <c r="F23" i="118"/>
  <c r="F23" i="102"/>
  <c r="AJ18" i="102"/>
  <c r="Z61" i="1" s="1"/>
  <c r="P31" i="118"/>
  <c r="G31" i="118"/>
  <c r="AA18" i="102"/>
  <c r="AK26" i="102"/>
  <c r="S31" i="118"/>
  <c r="AM18" i="102"/>
  <c r="AF61" i="1" s="1"/>
  <c r="AQ26" i="102"/>
  <c r="V31" i="118"/>
  <c r="AP18" i="102"/>
  <c r="AL61" i="1" s="1"/>
  <c r="AB26" i="102"/>
  <c r="I17" i="2" s="1"/>
  <c r="G37" i="102"/>
  <c r="F37" i="102" s="1"/>
  <c r="F12" i="102"/>
  <c r="H5" i="102"/>
  <c r="AP26" i="102" l="1"/>
  <c r="AJ26" i="102"/>
  <c r="N35" i="119"/>
  <c r="AJ61" i="1"/>
  <c r="AI61" i="1" s="1"/>
  <c r="AD61" i="1"/>
  <c r="AC61" i="1" s="1"/>
  <c r="AA26" i="102"/>
  <c r="G24" i="118"/>
  <c r="V16" i="118"/>
  <c r="S16" i="118"/>
  <c r="J16" i="118"/>
  <c r="V31" i="102"/>
  <c r="S31" i="102"/>
  <c r="M19" i="86" s="1"/>
  <c r="D22" i="101"/>
  <c r="G31" i="102"/>
  <c r="F16" i="2"/>
  <c r="P14" i="109" l="1"/>
  <c r="P117" i="109" s="1"/>
  <c r="U118" i="109" s="1"/>
  <c r="AA118" i="109" s="1"/>
  <c r="F24" i="118"/>
  <c r="F20" i="118" s="1"/>
  <c r="G20" i="118"/>
  <c r="G19" i="118" s="1"/>
  <c r="G18" i="118" s="1"/>
  <c r="G38" i="118" s="1"/>
  <c r="S16" i="102"/>
  <c r="V16" i="102"/>
  <c r="D13" i="101"/>
  <c r="G24" i="102"/>
  <c r="I13" i="2"/>
  <c r="I12" i="2" s="1"/>
  <c r="F17" i="2"/>
  <c r="S19" i="86"/>
  <c r="R19" i="86" s="1"/>
  <c r="P19" i="86"/>
  <c r="AP61" i="1"/>
  <c r="AO61" i="1" s="1"/>
  <c r="H16" i="2"/>
  <c r="G42" i="118" l="1"/>
  <c r="G6" i="118"/>
  <c r="O15" i="109"/>
  <c r="O11" i="109" s="1"/>
  <c r="P15" i="109"/>
  <c r="Q14" i="109"/>
  <c r="T14" i="109" s="1"/>
  <c r="O117" i="109"/>
  <c r="G40" i="118"/>
  <c r="G20" i="102"/>
  <c r="F24" i="102"/>
  <c r="F20" i="102" s="1"/>
  <c r="F13" i="2"/>
  <c r="D22" i="110" s="1"/>
  <c r="D9" i="101"/>
  <c r="C13" i="101"/>
  <c r="C9" i="101" s="1"/>
  <c r="D21" i="101"/>
  <c r="Q15" i="109" l="1"/>
  <c r="G7" i="118"/>
  <c r="H6" i="118"/>
  <c r="H7" i="118" s="1"/>
  <c r="D8" i="101"/>
  <c r="H13" i="2"/>
  <c r="AC14" i="109"/>
  <c r="O98" i="109"/>
  <c r="O99" i="109" s="1"/>
  <c r="O110" i="109"/>
  <c r="O118" i="109"/>
  <c r="Q117" i="109"/>
  <c r="P118" i="109"/>
  <c r="E21" i="101"/>
  <c r="C21" i="101" s="1"/>
  <c r="H30" i="102"/>
  <c r="G30" i="102"/>
  <c r="F34" i="2"/>
  <c r="P32" i="109" s="1"/>
  <c r="F7" i="118" l="1"/>
  <c r="AC30" i="118"/>
  <c r="AC29" i="118"/>
  <c r="AB29" i="118"/>
  <c r="AB30" i="118"/>
  <c r="O119" i="109"/>
  <c r="O113" i="109"/>
  <c r="R118" i="109"/>
  <c r="O116" i="109"/>
  <c r="O32" i="109"/>
  <c r="D26" i="110"/>
  <c r="G19" i="102"/>
  <c r="G18" i="102" s="1"/>
  <c r="I11" i="2"/>
  <c r="F30" i="102"/>
  <c r="AA30" i="118" l="1"/>
  <c r="AA29" i="118"/>
  <c r="O92" i="109"/>
  <c r="O130" i="109"/>
  <c r="J30" i="102" l="1"/>
  <c r="K34" i="2"/>
  <c r="U32" i="109" s="1"/>
  <c r="K30" i="102"/>
  <c r="E18" i="86" l="1"/>
  <c r="D18" i="86"/>
  <c r="C18" i="86" s="1"/>
  <c r="E26" i="110"/>
  <c r="I30" i="102"/>
  <c r="P34" i="2"/>
  <c r="V32" i="109" s="1"/>
  <c r="G18" i="86"/>
  <c r="Q32" i="109" l="1"/>
  <c r="H18" i="86"/>
  <c r="F18" i="86" s="1"/>
  <c r="F26" i="110"/>
  <c r="L30" i="102"/>
  <c r="U34" i="2"/>
  <c r="W32" i="109" s="1"/>
  <c r="P30" i="102"/>
  <c r="J18" i="86" s="1"/>
  <c r="Q30" i="102"/>
  <c r="K18" i="86" s="1"/>
  <c r="Y30" i="102" l="1"/>
  <c r="Z30" i="102"/>
  <c r="Z32" i="109"/>
  <c r="I18" i="86"/>
  <c r="G26" i="110"/>
  <c r="J26" i="110" s="1"/>
  <c r="P31" i="102"/>
  <c r="J19" i="86" s="1"/>
  <c r="O30" i="102"/>
  <c r="X30" i="102" s="1"/>
  <c r="D6" i="101" l="1"/>
  <c r="D3" i="101" s="1"/>
  <c r="G16" i="102"/>
  <c r="F16" i="102" l="1"/>
  <c r="G6" i="102"/>
  <c r="G7" i="102" s="1"/>
  <c r="F6" i="102"/>
  <c r="F5" i="102"/>
  <c r="C6" i="101"/>
  <c r="C3" i="101" s="1"/>
  <c r="D25" i="101"/>
  <c r="G5" i="102"/>
  <c r="G38" i="102" s="1"/>
  <c r="G40" i="102" l="1"/>
  <c r="G41" i="102"/>
  <c r="AB30" i="102"/>
  <c r="H6" i="102"/>
  <c r="H7" i="102" s="1"/>
  <c r="H64" i="1"/>
  <c r="D18" i="110"/>
  <c r="D9" i="110" s="1"/>
  <c r="F7" i="102" l="1"/>
  <c r="AC30" i="102"/>
  <c r="D8" i="110"/>
  <c r="D29" i="101"/>
  <c r="C14" i="70"/>
  <c r="C14" i="93"/>
  <c r="J16" i="102"/>
  <c r="AA30" i="102" l="1"/>
  <c r="N59" i="1"/>
  <c r="C35" i="127" s="1"/>
  <c r="N58" i="1"/>
  <c r="C34" i="127" s="1"/>
  <c r="K39" i="2" l="1"/>
  <c r="K38" i="2"/>
  <c r="U9" i="123" l="1"/>
  <c r="C39" i="133"/>
  <c r="D34" i="127"/>
  <c r="F34" i="127" s="1"/>
  <c r="C40" i="133"/>
  <c r="D35" i="127"/>
  <c r="F35" i="127" s="1"/>
  <c r="N39" i="2"/>
  <c r="C41" i="69"/>
  <c r="C42" i="69"/>
  <c r="C40" i="87"/>
  <c r="C40" i="92"/>
  <c r="C39" i="87"/>
  <c r="N38" i="2"/>
  <c r="C39" i="92"/>
  <c r="D40" i="101" l="1"/>
  <c r="C40" i="101" s="1"/>
  <c r="D39" i="101"/>
  <c r="C39" i="101" s="1"/>
  <c r="P12" i="123"/>
  <c r="R12" i="123" s="1"/>
  <c r="T58" i="1" s="1"/>
  <c r="P132" i="109"/>
  <c r="P20" i="123"/>
  <c r="Q20" i="123" s="1"/>
  <c r="Q9" i="123"/>
  <c r="T9" i="123" s="1"/>
  <c r="Q15" i="123"/>
  <c r="T15" i="123" s="1"/>
  <c r="P133" i="109" l="1"/>
  <c r="R133" i="109" s="1"/>
  <c r="Q132" i="109"/>
  <c r="T132" i="109" s="1"/>
  <c r="Z58" i="1"/>
  <c r="M32" i="119"/>
  <c r="W58" i="1"/>
  <c r="X58" i="1" s="1"/>
  <c r="P38" i="2"/>
  <c r="V9" i="123" s="1"/>
  <c r="AF58" i="1" l="1"/>
  <c r="N32" i="119"/>
  <c r="AC58" i="1"/>
  <c r="AD58" i="1" s="1"/>
  <c r="U38" i="2"/>
  <c r="W9" i="123" s="1"/>
  <c r="S38" i="2"/>
  <c r="X38" i="2" l="1"/>
  <c r="U132" i="109"/>
  <c r="U133" i="109" s="1"/>
  <c r="U12" i="123"/>
  <c r="AL58" i="1"/>
  <c r="Z38" i="2"/>
  <c r="X9" i="123" s="1"/>
  <c r="AI58" i="1"/>
  <c r="AJ58" i="1" s="1"/>
  <c r="AC38" i="2" l="1"/>
  <c r="AE38" i="2"/>
  <c r="AO58" i="1"/>
  <c r="AP58" i="1" s="1"/>
  <c r="V132" i="109"/>
  <c r="V133" i="109" s="1"/>
  <c r="V12" i="123"/>
  <c r="Q104" i="84"/>
  <c r="C104" i="84" l="1"/>
  <c r="C95" i="84" s="1"/>
  <c r="C65" i="84" s="1"/>
  <c r="Q95" i="84"/>
  <c r="Q65" i="84" s="1"/>
  <c r="AH38" i="2"/>
  <c r="Y9" i="123"/>
  <c r="W132" i="109"/>
  <c r="W133" i="109" s="1"/>
  <c r="W12" i="123"/>
  <c r="X132" i="109"/>
  <c r="X12" i="123"/>
  <c r="X133" i="109" l="1"/>
  <c r="Y132" i="109" l="1"/>
  <c r="Z15" i="123"/>
  <c r="AC15" i="123" s="1"/>
  <c r="Y12" i="123"/>
  <c r="AA12" i="123" s="1"/>
  <c r="Z9" i="123"/>
  <c r="AC9" i="123" s="1"/>
  <c r="S45" i="84"/>
  <c r="Q45" i="84" s="1"/>
  <c r="Y133" i="109" l="1"/>
  <c r="AA133" i="109" s="1"/>
  <c r="Z132" i="109"/>
  <c r="AC132" i="109" s="1"/>
  <c r="AN31" i="75" l="1"/>
  <c r="G9" i="130" s="1"/>
  <c r="G13" i="130" l="1"/>
  <c r="G4" i="130"/>
  <c r="AN34" i="75"/>
  <c r="G9" i="64"/>
  <c r="AN26" i="75"/>
  <c r="G13" i="64" l="1"/>
  <c r="G4" i="64"/>
  <c r="T11" i="98" l="1"/>
  <c r="T11" i="128"/>
  <c r="AA11" i="98"/>
  <c r="X11" i="98" s="1"/>
  <c r="AA11" i="128"/>
  <c r="X11" i="128" s="1"/>
  <c r="T11" i="65"/>
  <c r="AA11" i="65"/>
  <c r="X11" i="65" s="1"/>
  <c r="I32" i="74"/>
  <c r="X28" i="63"/>
  <c r="Z28" i="63" l="1"/>
  <c r="E28" i="63" s="1"/>
  <c r="D28" i="63" s="1"/>
  <c r="C28" i="63"/>
  <c r="CO31" i="74"/>
  <c r="X30" i="63"/>
  <c r="I34" i="74"/>
  <c r="CP34" i="74"/>
  <c r="X27" i="63" l="1"/>
  <c r="Z30" i="63"/>
  <c r="C30" i="63"/>
  <c r="C27" i="63" s="1"/>
  <c r="C5" i="63" s="1"/>
  <c r="J34" i="74"/>
  <c r="CP31" i="74"/>
  <c r="I31" i="74"/>
  <c r="CO8" i="74"/>
  <c r="CR31" i="74"/>
  <c r="CQ31" i="74"/>
  <c r="X5" i="63" l="1"/>
  <c r="C6" i="63"/>
  <c r="CQ8" i="74"/>
  <c r="CR8" i="74"/>
  <c r="CO9" i="74"/>
  <c r="I8" i="74"/>
  <c r="K8" i="74" s="1"/>
  <c r="L31" i="74"/>
  <c r="K31" i="74"/>
  <c r="E30" i="63"/>
  <c r="Z27" i="63"/>
  <c r="Z5" i="63" s="1"/>
  <c r="J31" i="74"/>
  <c r="J8" i="74" s="1"/>
  <c r="CP8" i="74"/>
  <c r="BJ8" i="126" s="1"/>
  <c r="E14" i="128" l="1"/>
  <c r="E14" i="98"/>
  <c r="C14" i="128"/>
  <c r="C20" i="128" s="1"/>
  <c r="C14" i="98"/>
  <c r="C20" i="98" s="1"/>
  <c r="Z6" i="63"/>
  <c r="C14" i="65"/>
  <c r="C20" i="65" s="1"/>
  <c r="X6" i="63"/>
  <c r="BL8" i="126"/>
  <c r="H8" i="126" s="1"/>
  <c r="BN8" i="126"/>
  <c r="BM8" i="126"/>
  <c r="F8" i="126"/>
  <c r="Z51" i="63"/>
  <c r="CP9" i="74"/>
  <c r="BJ8" i="75"/>
  <c r="CP37" i="74"/>
  <c r="CP39" i="74" s="1"/>
  <c r="E14" i="65"/>
  <c r="I9" i="74"/>
  <c r="L8" i="74"/>
  <c r="D30" i="63"/>
  <c r="E27" i="63"/>
  <c r="CR9" i="74"/>
  <c r="CQ9" i="74"/>
  <c r="J37" i="74"/>
  <c r="J39" i="74" s="1"/>
  <c r="J9" i="74"/>
  <c r="F14" i="98" l="1"/>
  <c r="F20" i="98" s="1"/>
  <c r="E20" i="98"/>
  <c r="F14" i="128"/>
  <c r="F20" i="128" s="1"/>
  <c r="E20" i="128"/>
  <c r="E21" i="128" s="1"/>
  <c r="J8" i="126"/>
  <c r="I8" i="126"/>
  <c r="BJ46" i="126"/>
  <c r="BJ46" i="75"/>
  <c r="BJ15" i="126"/>
  <c r="BJ15" i="75"/>
  <c r="BJ47" i="75" s="1"/>
  <c r="F47" i="75" s="1"/>
  <c r="CP42" i="74"/>
  <c r="CP43" i="74" s="1"/>
  <c r="CP46" i="74"/>
  <c r="S47" i="1"/>
  <c r="S13" i="1" s="1"/>
  <c r="S12" i="1" s="1"/>
  <c r="E5" i="63"/>
  <c r="E51" i="63" s="1"/>
  <c r="K9" i="74"/>
  <c r="L9" i="74"/>
  <c r="E20" i="65"/>
  <c r="E21" i="65" s="1"/>
  <c r="F14" i="65"/>
  <c r="F20" i="65" s="1"/>
  <c r="F8" i="75"/>
  <c r="BM8" i="75"/>
  <c r="BN8" i="75"/>
  <c r="BL8" i="75"/>
  <c r="CP47" i="74" l="1"/>
  <c r="I46" i="74"/>
  <c r="J42" i="74"/>
  <c r="F46" i="75"/>
  <c r="BJ32" i="126"/>
  <c r="BJ33" i="126"/>
  <c r="BJ28" i="126"/>
  <c r="BJ35" i="126"/>
  <c r="F46" i="126"/>
  <c r="BM15" i="126"/>
  <c r="BL15" i="126"/>
  <c r="H15" i="126" s="1"/>
  <c r="BJ47" i="126"/>
  <c r="F47" i="126" s="1"/>
  <c r="F15" i="126"/>
  <c r="I15" i="126" s="1"/>
  <c r="BM15" i="75"/>
  <c r="BL15" i="75"/>
  <c r="F15" i="75"/>
  <c r="I15" i="75" s="1"/>
  <c r="E6" i="63"/>
  <c r="C14" i="78"/>
  <c r="BJ35" i="75"/>
  <c r="BJ33" i="75"/>
  <c r="BJ32" i="75"/>
  <c r="BL32" i="75" s="1"/>
  <c r="J11" i="130" s="1"/>
  <c r="C11" i="130" s="1"/>
  <c r="BJ28" i="75"/>
  <c r="K21" i="77"/>
  <c r="H8" i="75"/>
  <c r="I8" i="75"/>
  <c r="J8" i="75"/>
  <c r="J43" i="74"/>
  <c r="R47" i="1"/>
  <c r="S14" i="1"/>
  <c r="CP48" i="74" l="1"/>
  <c r="I47" i="74"/>
  <c r="AF29" i="102"/>
  <c r="AI29" i="102"/>
  <c r="T43" i="2" s="1"/>
  <c r="BN33" i="126"/>
  <c r="BM33" i="126"/>
  <c r="BL33" i="126"/>
  <c r="H33" i="126" s="1"/>
  <c r="F33" i="126"/>
  <c r="BN32" i="126"/>
  <c r="BM32" i="126"/>
  <c r="BL32" i="126"/>
  <c r="H32" i="126" s="1"/>
  <c r="F32" i="126"/>
  <c r="BN35" i="126"/>
  <c r="BM35" i="126"/>
  <c r="BL35" i="126"/>
  <c r="H35" i="126" s="1"/>
  <c r="F35" i="126"/>
  <c r="K16" i="77"/>
  <c r="BJ48" i="75"/>
  <c r="BJ48" i="126"/>
  <c r="F48" i="126" s="1"/>
  <c r="BM28" i="126"/>
  <c r="BL28" i="126"/>
  <c r="BJ27" i="126"/>
  <c r="BN28" i="126"/>
  <c r="F28" i="126"/>
  <c r="X36" i="124"/>
  <c r="H15" i="75"/>
  <c r="D16" i="77"/>
  <c r="BL33" i="75"/>
  <c r="J12" i="130" s="1"/>
  <c r="C12" i="130" s="1"/>
  <c r="BN33" i="75"/>
  <c r="BM33" i="75"/>
  <c r="F33" i="75"/>
  <c r="D21" i="77"/>
  <c r="BM28" i="75"/>
  <c r="BN28" i="75"/>
  <c r="BL28" i="75"/>
  <c r="J7" i="130" s="1"/>
  <c r="F28" i="75"/>
  <c r="BJ27" i="75"/>
  <c r="R13" i="1"/>
  <c r="R12" i="1" s="1"/>
  <c r="BN32" i="75"/>
  <c r="F32" i="75"/>
  <c r="I32" i="75" s="1"/>
  <c r="BM32" i="75"/>
  <c r="BN35" i="75"/>
  <c r="F35" i="75"/>
  <c r="BM35" i="75"/>
  <c r="BL35" i="75"/>
  <c r="J14" i="130" s="1"/>
  <c r="C14" i="130" s="1"/>
  <c r="K8" i="118"/>
  <c r="Z8" i="118" s="1"/>
  <c r="J5" i="130" l="1"/>
  <c r="C7" i="130"/>
  <c r="C5" i="130" s="1"/>
  <c r="CP49" i="74"/>
  <c r="I48" i="74"/>
  <c r="T22" i="2"/>
  <c r="N27" i="102" s="1"/>
  <c r="T24" i="2"/>
  <c r="I33" i="126"/>
  <c r="J33" i="126"/>
  <c r="BM27" i="126"/>
  <c r="BN27" i="126"/>
  <c r="F48" i="75"/>
  <c r="BL27" i="126"/>
  <c r="H28" i="126"/>
  <c r="H27" i="126" s="1"/>
  <c r="I28" i="126"/>
  <c r="F27" i="126"/>
  <c r="J28" i="126"/>
  <c r="I35" i="126"/>
  <c r="J35" i="126"/>
  <c r="J32" i="126"/>
  <c r="I32" i="126"/>
  <c r="BJ49" i="126"/>
  <c r="Z36" i="124"/>
  <c r="E36" i="124" s="1"/>
  <c r="C36" i="124"/>
  <c r="I33" i="75"/>
  <c r="J33" i="75"/>
  <c r="BM27" i="75"/>
  <c r="BN27" i="75"/>
  <c r="J28" i="75"/>
  <c r="I28" i="75"/>
  <c r="F27" i="75"/>
  <c r="J7" i="64"/>
  <c r="H28" i="75"/>
  <c r="H27" i="75" s="1"/>
  <c r="BL27" i="75"/>
  <c r="J12" i="64"/>
  <c r="H33" i="75"/>
  <c r="J8" i="118"/>
  <c r="AE8" i="118" s="1"/>
  <c r="R14" i="1"/>
  <c r="AF8" i="118"/>
  <c r="AF13" i="118" s="1"/>
  <c r="K11" i="118"/>
  <c r="Z11" i="118" s="1"/>
  <c r="H35" i="75"/>
  <c r="J14" i="64"/>
  <c r="K8" i="102"/>
  <c r="E27" i="101"/>
  <c r="C8" i="70"/>
  <c r="D27" i="101"/>
  <c r="C8" i="93"/>
  <c r="J8" i="102"/>
  <c r="AH8" i="102" s="1"/>
  <c r="J32" i="75"/>
  <c r="J35" i="75"/>
  <c r="I35" i="75"/>
  <c r="Z14" i="128" l="1"/>
  <c r="Z14" i="98"/>
  <c r="Z20" i="98" s="1"/>
  <c r="BJ49" i="75"/>
  <c r="I49" i="74"/>
  <c r="AB14" i="128"/>
  <c r="AB20" i="128" s="1"/>
  <c r="AB14" i="98"/>
  <c r="AB20" i="98" s="1"/>
  <c r="V14" i="128"/>
  <c r="V14" i="98"/>
  <c r="Z8" i="102"/>
  <c r="AI8" i="102"/>
  <c r="AI13" i="102" s="1"/>
  <c r="AH29" i="102"/>
  <c r="S43" i="2" s="1"/>
  <c r="AE29" i="102"/>
  <c r="AH13" i="102"/>
  <c r="BJ24" i="126"/>
  <c r="F49" i="126"/>
  <c r="J27" i="126"/>
  <c r="I27" i="126"/>
  <c r="BJ24" i="75"/>
  <c r="X44" i="129" s="1"/>
  <c r="F49" i="75"/>
  <c r="Y8" i="102"/>
  <c r="V14" i="65"/>
  <c r="C7" i="64"/>
  <c r="J5" i="64"/>
  <c r="Z14" i="65"/>
  <c r="Z20" i="65" s="1"/>
  <c r="C12" i="64"/>
  <c r="I27" i="75"/>
  <c r="J27" i="75"/>
  <c r="J11" i="118"/>
  <c r="Y11" i="118" s="1"/>
  <c r="Y8" i="118"/>
  <c r="I8" i="118"/>
  <c r="AF18" i="118"/>
  <c r="AF26" i="118" s="1"/>
  <c r="AD8" i="118"/>
  <c r="AE13" i="118"/>
  <c r="AF8" i="102"/>
  <c r="AE8" i="102"/>
  <c r="J11" i="102"/>
  <c r="I8" i="102"/>
  <c r="C9" i="70"/>
  <c r="C9" i="93"/>
  <c r="K11" i="102"/>
  <c r="C27" i="101"/>
  <c r="AB14" i="65"/>
  <c r="AB20" i="65" s="1"/>
  <c r="C14" i="64"/>
  <c r="Z44" i="129" l="1"/>
  <c r="E44" i="129" s="1"/>
  <c r="C44" i="129"/>
  <c r="U14" i="98"/>
  <c r="U20" i="98" s="1"/>
  <c r="V20" i="98"/>
  <c r="U14" i="128"/>
  <c r="U20" i="128" s="1"/>
  <c r="V20" i="128"/>
  <c r="Z20" i="128"/>
  <c r="Y139" i="125"/>
  <c r="C12" i="127"/>
  <c r="D12" i="127"/>
  <c r="F12" i="127" s="1"/>
  <c r="AI18" i="102"/>
  <c r="AG8" i="102"/>
  <c r="AH18" i="102"/>
  <c r="AG13" i="102"/>
  <c r="S25" i="2"/>
  <c r="S31" i="2"/>
  <c r="S26" i="2"/>
  <c r="S28" i="2"/>
  <c r="S27" i="2"/>
  <c r="S22" i="2"/>
  <c r="S33" i="2"/>
  <c r="M33" i="102" s="1"/>
  <c r="S24" i="2"/>
  <c r="S23" i="2"/>
  <c r="M26" i="102" s="1"/>
  <c r="S29" i="2"/>
  <c r="S20" i="2"/>
  <c r="M28" i="102" s="1"/>
  <c r="S19" i="2"/>
  <c r="X45" i="124"/>
  <c r="BL24" i="75"/>
  <c r="H24" i="75" s="1"/>
  <c r="X44" i="63"/>
  <c r="F24" i="75"/>
  <c r="BL24" i="126"/>
  <c r="H24" i="126" s="1"/>
  <c r="F24" i="126"/>
  <c r="Y149" i="125"/>
  <c r="Y140" i="125"/>
  <c r="Z140" i="125"/>
  <c r="AD139" i="125"/>
  <c r="AG139" i="125" s="1"/>
  <c r="C5" i="64"/>
  <c r="O14" i="2"/>
  <c r="O20" i="2"/>
  <c r="O33" i="2"/>
  <c r="U14" i="65"/>
  <c r="U20" i="65" s="1"/>
  <c r="V20" i="65"/>
  <c r="Z11" i="102"/>
  <c r="Y11" i="102"/>
  <c r="I11" i="118"/>
  <c r="X11" i="118" s="1"/>
  <c r="X8" i="118"/>
  <c r="AA139" i="107"/>
  <c r="X8" i="102"/>
  <c r="AE18" i="118"/>
  <c r="AD18" i="118" s="1"/>
  <c r="AD13" i="118"/>
  <c r="D8" i="117"/>
  <c r="AD8" i="102"/>
  <c r="AE13" i="102"/>
  <c r="AE18" i="102" s="1"/>
  <c r="N35" i="2" s="1"/>
  <c r="AF13" i="102"/>
  <c r="AF18" i="102" s="1"/>
  <c r="I11" i="102"/>
  <c r="D15" i="127" s="1"/>
  <c r="F15" i="127" s="1"/>
  <c r="T33" i="2" l="1"/>
  <c r="N33" i="102" s="1"/>
  <c r="T14" i="2"/>
  <c r="C108" i="96"/>
  <c r="C108" i="132"/>
  <c r="AG18" i="102"/>
  <c r="T61" i="1" s="1"/>
  <c r="M35" i="119" s="1"/>
  <c r="G12" i="127"/>
  <c r="C15" i="127"/>
  <c r="E12" i="127"/>
  <c r="AI26" i="102"/>
  <c r="AH26" i="102"/>
  <c r="M27" i="102"/>
  <c r="S21" i="2"/>
  <c r="X61" i="1"/>
  <c r="W61" i="1" s="1"/>
  <c r="AE140" i="125"/>
  <c r="N21" i="102"/>
  <c r="N20" i="102" s="1"/>
  <c r="T13" i="2"/>
  <c r="Z44" i="63"/>
  <c r="C44" i="63"/>
  <c r="K28" i="118"/>
  <c r="I28" i="118" s="1"/>
  <c r="D30" i="117" s="1"/>
  <c r="G30" i="117" s="1"/>
  <c r="T20" i="2"/>
  <c r="N28" i="102" s="1"/>
  <c r="Z45" i="124"/>
  <c r="E45" i="124" s="1"/>
  <c r="C45" i="124"/>
  <c r="AD140" i="125"/>
  <c r="Y151" i="125"/>
  <c r="AD151" i="125" s="1"/>
  <c r="Y160" i="125"/>
  <c r="AD160" i="125" s="1"/>
  <c r="AD149" i="125"/>
  <c r="K33" i="118"/>
  <c r="K21" i="118"/>
  <c r="K20" i="118" s="1"/>
  <c r="N14" i="2"/>
  <c r="G8" i="117"/>
  <c r="D11" i="117"/>
  <c r="G11" i="117" s="1"/>
  <c r="F8" i="117"/>
  <c r="F7" i="117" s="1"/>
  <c r="H8" i="117"/>
  <c r="S35" i="2"/>
  <c r="X11" i="102"/>
  <c r="AA140" i="107"/>
  <c r="AF139" i="107"/>
  <c r="AI139" i="107" s="1"/>
  <c r="AA149" i="107"/>
  <c r="AB140" i="107"/>
  <c r="J33" i="118"/>
  <c r="J31" i="118"/>
  <c r="AE26" i="118"/>
  <c r="AD26" i="118" s="1"/>
  <c r="AD13" i="102"/>
  <c r="M16" i="118"/>
  <c r="R14" i="98" l="1"/>
  <c r="R14" i="128"/>
  <c r="R20" i="128" s="1"/>
  <c r="C110" i="96"/>
  <c r="C110" i="132"/>
  <c r="S14" i="2"/>
  <c r="S13" i="2" s="1"/>
  <c r="G15" i="127"/>
  <c r="E15" i="127"/>
  <c r="R20" i="98"/>
  <c r="AG26" i="102"/>
  <c r="H30" i="117"/>
  <c r="R14" i="65"/>
  <c r="R20" i="65" s="1"/>
  <c r="E44" i="63"/>
  <c r="M31" i="102"/>
  <c r="J21" i="118"/>
  <c r="I33" i="118"/>
  <c r="M31" i="118"/>
  <c r="AG140" i="107"/>
  <c r="AA151" i="107"/>
  <c r="AF151" i="107" s="1"/>
  <c r="AF149" i="107"/>
  <c r="AA160" i="107"/>
  <c r="C108" i="84"/>
  <c r="D45" i="101"/>
  <c r="D31" i="90"/>
  <c r="D23" i="72"/>
  <c r="C41" i="70"/>
  <c r="C38" i="93"/>
  <c r="J31" i="102"/>
  <c r="AD18" i="102"/>
  <c r="N61" i="1" s="1"/>
  <c r="AF26" i="102"/>
  <c r="AE26" i="102"/>
  <c r="M21" i="102" l="1"/>
  <c r="M20" i="102" s="1"/>
  <c r="C17" i="127"/>
  <c r="Q71" i="1"/>
  <c r="Q68" i="1"/>
  <c r="Q70" i="1" s="1"/>
  <c r="D42" i="95"/>
  <c r="D34" i="72"/>
  <c r="D42" i="90"/>
  <c r="P16" i="118"/>
  <c r="P16" i="102"/>
  <c r="Y16" i="102" s="1"/>
  <c r="D14" i="117"/>
  <c r="G14" i="117" s="1"/>
  <c r="I21" i="118"/>
  <c r="J20" i="118"/>
  <c r="D32" i="117"/>
  <c r="G19" i="86"/>
  <c r="Y31" i="118"/>
  <c r="D19" i="86"/>
  <c r="Y31" i="102"/>
  <c r="D31" i="95"/>
  <c r="AD26" i="102"/>
  <c r="R61" i="1"/>
  <c r="Q72" i="1" l="1"/>
  <c r="G17" i="127"/>
  <c r="E17" i="127"/>
  <c r="E11" i="127" s="1"/>
  <c r="C11" i="127"/>
  <c r="Y16" i="118"/>
  <c r="D22" i="117"/>
  <c r="I20" i="118"/>
  <c r="G32" i="117"/>
  <c r="H32" i="117"/>
  <c r="G15" i="117"/>
  <c r="G13" i="117" s="1"/>
  <c r="D13" i="117"/>
  <c r="C26" i="86"/>
  <c r="Q61" i="1"/>
  <c r="G11" i="127" l="1"/>
  <c r="C45" i="127"/>
  <c r="C40" i="127"/>
  <c r="G22" i="117"/>
  <c r="G21" i="117" s="1"/>
  <c r="H22" i="117"/>
  <c r="D21" i="117"/>
  <c r="H21" i="117" s="1"/>
  <c r="N13" i="2"/>
  <c r="J28" i="102"/>
  <c r="D23" i="90"/>
  <c r="D22" i="90"/>
  <c r="C30" i="93"/>
  <c r="C31" i="70"/>
  <c r="D12" i="95"/>
  <c r="C19" i="70"/>
  <c r="C110" i="84"/>
  <c r="D12" i="72"/>
  <c r="D12" i="90"/>
  <c r="J21" i="102"/>
  <c r="D33" i="101"/>
  <c r="D32" i="101" s="1"/>
  <c r="D19" i="95"/>
  <c r="C24" i="70"/>
  <c r="D19" i="90"/>
  <c r="C21" i="93"/>
  <c r="D23" i="95"/>
  <c r="C25" i="93"/>
  <c r="D21" i="95"/>
  <c r="C28" i="70"/>
  <c r="D21" i="90"/>
  <c r="H14" i="78"/>
  <c r="C20" i="78"/>
  <c r="I14" i="78"/>
  <c r="K15" i="77" s="1"/>
  <c r="K10" i="77" s="1"/>
  <c r="K8" i="77" s="1"/>
  <c r="K33" i="77" s="1"/>
  <c r="BJ36" i="75" l="1"/>
  <c r="BJ36" i="126"/>
  <c r="C32" i="70"/>
  <c r="D25" i="90"/>
  <c r="D25" i="95"/>
  <c r="C29" i="93"/>
  <c r="D30" i="95"/>
  <c r="D19" i="72"/>
  <c r="D18" i="72"/>
  <c r="J27" i="102"/>
  <c r="C30" i="70"/>
  <c r="C107" i="84"/>
  <c r="D18" i="90"/>
  <c r="D43" i="101"/>
  <c r="C23" i="70"/>
  <c r="D18" i="95"/>
  <c r="D30" i="90"/>
  <c r="D22" i="72"/>
  <c r="D20" i="95"/>
  <c r="C23" i="93"/>
  <c r="C27" i="93"/>
  <c r="D20" i="90"/>
  <c r="C37" i="93"/>
  <c r="J33" i="102"/>
  <c r="C26" i="70"/>
  <c r="C20" i="93"/>
  <c r="C40" i="70"/>
  <c r="C33" i="70"/>
  <c r="D24" i="90"/>
  <c r="D24" i="95"/>
  <c r="C28" i="93"/>
  <c r="D26" i="90"/>
  <c r="D26" i="95"/>
  <c r="C29" i="70"/>
  <c r="D28" i="90"/>
  <c r="C38" i="70"/>
  <c r="D28" i="95"/>
  <c r="C26" i="93"/>
  <c r="C35" i="93"/>
  <c r="D22" i="95"/>
  <c r="D16" i="86"/>
  <c r="D9" i="86"/>
  <c r="J20" i="102"/>
  <c r="D10" i="90"/>
  <c r="C18" i="70"/>
  <c r="C18" i="93"/>
  <c r="D10" i="72"/>
  <c r="D10" i="95"/>
  <c r="CC16" i="75"/>
  <c r="BM36" i="126" l="1"/>
  <c r="BL36" i="126"/>
  <c r="D21" i="86"/>
  <c r="D15" i="86"/>
  <c r="D8" i="86"/>
  <c r="L15" i="64"/>
  <c r="CB31" i="75"/>
  <c r="L9" i="130" s="1"/>
  <c r="L13" i="130" l="1"/>
  <c r="L4" i="130"/>
  <c r="AC16" i="128"/>
  <c r="AC16" i="98"/>
  <c r="CB26" i="75"/>
  <c r="L9" i="64"/>
  <c r="CB34" i="75"/>
  <c r="BZ34" i="75"/>
  <c r="CD7" i="75"/>
  <c r="AC16" i="65"/>
  <c r="BK34" i="75" l="1"/>
  <c r="L4" i="64"/>
  <c r="L13" i="64"/>
  <c r="CD34" i="75"/>
  <c r="CC34" i="75"/>
  <c r="BZ31" i="75"/>
  <c r="AA16" i="98" l="1"/>
  <c r="X16" i="98" s="1"/>
  <c r="AA16" i="128"/>
  <c r="T16" i="98"/>
  <c r="T16" i="128"/>
  <c r="BL36" i="75"/>
  <c r="J15" i="130" s="1"/>
  <c r="BM36" i="75"/>
  <c r="J11" i="64"/>
  <c r="K35" i="77"/>
  <c r="K34" i="77"/>
  <c r="BJ14" i="126" s="1"/>
  <c r="BZ26" i="75"/>
  <c r="CD31" i="75"/>
  <c r="CC31" i="75"/>
  <c r="T16" i="65"/>
  <c r="AA16" i="65"/>
  <c r="Y14" i="128" l="1"/>
  <c r="Y14" i="98"/>
  <c r="X16" i="128"/>
  <c r="BJ13" i="126"/>
  <c r="BL14" i="126"/>
  <c r="BJ14" i="75"/>
  <c r="J15" i="64"/>
  <c r="Y14" i="65"/>
  <c r="S15" i="86"/>
  <c r="S21" i="86"/>
  <c r="S9" i="86"/>
  <c r="S16" i="86"/>
  <c r="X16" i="65"/>
  <c r="CD26" i="75"/>
  <c r="CC26" i="75"/>
  <c r="AC14" i="128" l="1"/>
  <c r="AC14" i="98"/>
  <c r="BL13" i="126"/>
  <c r="BJ11" i="126"/>
  <c r="AC14" i="65"/>
  <c r="BJ13" i="75"/>
  <c r="BL14" i="75"/>
  <c r="O13" i="2"/>
  <c r="E43" i="101"/>
  <c r="C43" i="101" s="1"/>
  <c r="E30" i="95"/>
  <c r="C30" i="95" s="1"/>
  <c r="E22" i="72"/>
  <c r="C22" i="72" s="1"/>
  <c r="E30" i="90"/>
  <c r="C30" i="90" s="1"/>
  <c r="K33" i="102"/>
  <c r="K28" i="102"/>
  <c r="E19" i="72"/>
  <c r="C19" i="72" s="1"/>
  <c r="E19" i="95"/>
  <c r="C19" i="95" s="1"/>
  <c r="E19" i="90"/>
  <c r="C19" i="90" s="1"/>
  <c r="K20" i="2"/>
  <c r="U19" i="109" s="1"/>
  <c r="E12" i="95"/>
  <c r="K21" i="102"/>
  <c r="E33" i="101"/>
  <c r="E12" i="72"/>
  <c r="E12" i="90"/>
  <c r="E18" i="72"/>
  <c r="C18" i="72" s="1"/>
  <c r="E18" i="95"/>
  <c r="C18" i="95" s="1"/>
  <c r="E18" i="90"/>
  <c r="C18" i="90" s="1"/>
  <c r="K27" i="102"/>
  <c r="K22" i="2"/>
  <c r="E21" i="90"/>
  <c r="C21" i="90" s="1"/>
  <c r="E21" i="95"/>
  <c r="C21" i="95" s="1"/>
  <c r="K24" i="2"/>
  <c r="U21" i="109" s="1"/>
  <c r="S8" i="86"/>
  <c r="U18" i="109" l="1"/>
  <c r="C33" i="133"/>
  <c r="BL11" i="126"/>
  <c r="BL7" i="126" s="1"/>
  <c r="BL31" i="126" s="1"/>
  <c r="BM11" i="126"/>
  <c r="BJ7" i="126"/>
  <c r="BL13" i="75"/>
  <c r="K13" i="2"/>
  <c r="E15" i="86"/>
  <c r="C15" i="86" s="1"/>
  <c r="I27" i="102"/>
  <c r="D28" i="127" s="1"/>
  <c r="F28" i="127" s="1"/>
  <c r="E32" i="101"/>
  <c r="C33" i="101"/>
  <c r="C32" i="101" s="1"/>
  <c r="M20" i="2"/>
  <c r="C34" i="69"/>
  <c r="P60" i="109"/>
  <c r="E21" i="86"/>
  <c r="C21" i="86" s="1"/>
  <c r="I33" i="102"/>
  <c r="D31" i="127" s="1"/>
  <c r="F31" i="127" s="1"/>
  <c r="E10" i="90"/>
  <c r="C10" i="90" s="1"/>
  <c r="C12" i="90"/>
  <c r="E9" i="86"/>
  <c r="K20" i="102"/>
  <c r="I21" i="102"/>
  <c r="D23" i="127" s="1"/>
  <c r="E16" i="86"/>
  <c r="C16" i="86" s="1"/>
  <c r="I28" i="102"/>
  <c r="D29" i="127" s="1"/>
  <c r="F29" i="127" s="1"/>
  <c r="E10" i="72"/>
  <c r="C10" i="72" s="1"/>
  <c r="C12" i="72"/>
  <c r="E10" i="95"/>
  <c r="C10" i="95" s="1"/>
  <c r="C12" i="95"/>
  <c r="M24" i="2"/>
  <c r="P57" i="109"/>
  <c r="M22" i="2"/>
  <c r="C33" i="69"/>
  <c r="C33" i="87"/>
  <c r="C33" i="92"/>
  <c r="C27" i="69"/>
  <c r="M14" i="2"/>
  <c r="C8" i="91"/>
  <c r="M33" i="2"/>
  <c r="C35" i="92"/>
  <c r="Q31" i="109"/>
  <c r="E25" i="110"/>
  <c r="C35" i="87"/>
  <c r="C37" i="69"/>
  <c r="C26" i="133" l="1"/>
  <c r="C3" i="142"/>
  <c r="D22" i="127"/>
  <c r="F22" i="127" s="1"/>
  <c r="F23" i="127"/>
  <c r="BN7" i="126"/>
  <c r="BM7" i="126"/>
  <c r="BJ34" i="126"/>
  <c r="BL26" i="126"/>
  <c r="BL34" i="126"/>
  <c r="I20" i="102"/>
  <c r="M13" i="2"/>
  <c r="C6" i="99"/>
  <c r="Q21" i="109"/>
  <c r="T21" i="109" s="1"/>
  <c r="P73" i="109"/>
  <c r="P111" i="109"/>
  <c r="Q50" i="109"/>
  <c r="T50" i="109" s="1"/>
  <c r="P58" i="109"/>
  <c r="R58" i="109" s="1"/>
  <c r="P61" i="109"/>
  <c r="R61" i="109" s="1"/>
  <c r="Q12" i="109"/>
  <c r="Q57" i="109"/>
  <c r="Q60" i="109"/>
  <c r="Q18" i="109"/>
  <c r="T18" i="109" s="1"/>
  <c r="Q19" i="109"/>
  <c r="T19" i="109" s="1"/>
  <c r="U57" i="109"/>
  <c r="U60" i="109"/>
  <c r="U73" i="109"/>
  <c r="U111" i="109"/>
  <c r="P11" i="109"/>
  <c r="E8" i="86"/>
  <c r="C9" i="86"/>
  <c r="C8" i="86" s="1"/>
  <c r="C26" i="69"/>
  <c r="C26" i="87"/>
  <c r="C6" i="91"/>
  <c r="C26" i="92"/>
  <c r="E22" i="110"/>
  <c r="BM34" i="126" l="1"/>
  <c r="BN34" i="126"/>
  <c r="BJ31" i="126"/>
  <c r="T12" i="109"/>
  <c r="Q160" i="109"/>
  <c r="Q111" i="109"/>
  <c r="P74" i="109"/>
  <c r="R74" i="109" s="1"/>
  <c r="Q73" i="109"/>
  <c r="U74" i="109"/>
  <c r="P112" i="109"/>
  <c r="R112" i="109" s="1"/>
  <c r="P110" i="109"/>
  <c r="Q110" i="109" s="1"/>
  <c r="Q49" i="109"/>
  <c r="T49" i="109" s="1"/>
  <c r="T60" i="109"/>
  <c r="U61" i="109"/>
  <c r="T57" i="109"/>
  <c r="U58" i="109"/>
  <c r="U112" i="109"/>
  <c r="P98" i="109"/>
  <c r="Q11" i="109"/>
  <c r="U11" i="109"/>
  <c r="BM31" i="126" l="1"/>
  <c r="BJ26" i="126"/>
  <c r="BN31" i="126"/>
  <c r="Q159" i="109"/>
  <c r="P99" i="109"/>
  <c r="R99" i="109" s="1"/>
  <c r="P113" i="109"/>
  <c r="Q113" i="109" s="1"/>
  <c r="T11" i="109"/>
  <c r="P116" i="109"/>
  <c r="Q116" i="109" s="1"/>
  <c r="P119" i="109"/>
  <c r="Q119" i="109" s="1"/>
  <c r="U98" i="109"/>
  <c r="U110" i="109"/>
  <c r="Q98" i="109"/>
  <c r="BM26" i="126" l="1"/>
  <c r="BN26" i="126"/>
  <c r="U99" i="109"/>
  <c r="U119" i="109"/>
  <c r="U116" i="109"/>
  <c r="U113" i="109"/>
  <c r="T21" i="86" l="1"/>
  <c r="R21" i="86" s="1"/>
  <c r="T16" i="86"/>
  <c r="R16" i="86" s="1"/>
  <c r="T15" i="86"/>
  <c r="R15" i="86" s="1"/>
  <c r="T9" i="86"/>
  <c r="T8" i="86" l="1"/>
  <c r="R9" i="86"/>
  <c r="R8" i="86" s="1"/>
  <c r="R30" i="102" l="1"/>
  <c r="R32" i="102"/>
  <c r="R23" i="102"/>
  <c r="R22" i="102"/>
  <c r="N11" i="75" l="1"/>
  <c r="N7" i="75" l="1"/>
  <c r="Q7" i="75" s="1"/>
  <c r="Q11" i="75"/>
  <c r="P11" i="75"/>
  <c r="F35" i="124" l="1"/>
  <c r="F35" i="129"/>
  <c r="H35" i="124"/>
  <c r="F34" i="124"/>
  <c r="F35" i="63"/>
  <c r="P7" i="75"/>
  <c r="Q25" i="75"/>
  <c r="R7" i="75"/>
  <c r="H35" i="129" l="1"/>
  <c r="F34" i="129"/>
  <c r="F34" i="63"/>
  <c r="F32" i="124"/>
  <c r="H32" i="124" s="1"/>
  <c r="H51" i="124" s="1"/>
  <c r="H34" i="124"/>
  <c r="H35" i="63"/>
  <c r="P31" i="75"/>
  <c r="N31" i="75"/>
  <c r="N34" i="75" s="1"/>
  <c r="Q34" i="75" s="1"/>
  <c r="S8" i="65"/>
  <c r="H49" i="63"/>
  <c r="K8" i="128" l="1"/>
  <c r="K8" i="98"/>
  <c r="H34" i="129"/>
  <c r="F32" i="129"/>
  <c r="P34" i="75"/>
  <c r="D9" i="130"/>
  <c r="K8" i="65"/>
  <c r="J8" i="65" s="1"/>
  <c r="D9" i="64"/>
  <c r="D13" i="64" s="1"/>
  <c r="P26" i="75"/>
  <c r="R31" i="75"/>
  <c r="Q31" i="75"/>
  <c r="G8" i="78" s="1"/>
  <c r="D8" i="78" s="1"/>
  <c r="N26" i="75"/>
  <c r="Q26" i="75" s="1"/>
  <c r="R34" i="75"/>
  <c r="H32" i="129" l="1"/>
  <c r="J8" i="98"/>
  <c r="J8" i="128"/>
  <c r="D13" i="130"/>
  <c r="D4" i="130"/>
  <c r="AA8" i="98"/>
  <c r="AA8" i="128"/>
  <c r="X8" i="98"/>
  <c r="H8" i="65"/>
  <c r="D8" i="65" s="1"/>
  <c r="D4" i="64"/>
  <c r="R26" i="75"/>
  <c r="AA8" i="65"/>
  <c r="H8" i="78"/>
  <c r="X8" i="128" l="1"/>
  <c r="H8" i="98"/>
  <c r="H8" i="128"/>
  <c r="T8" i="98"/>
  <c r="T8" i="128"/>
  <c r="H50" i="129"/>
  <c r="T8" i="65"/>
  <c r="X8" i="65"/>
  <c r="D8" i="128" l="1"/>
  <c r="D8" i="98"/>
  <c r="I9" i="78"/>
  <c r="I20" i="78" l="1"/>
  <c r="I22" i="78" s="1"/>
  <c r="F15" i="77"/>
  <c r="D14" i="77"/>
  <c r="Y16" i="75"/>
  <c r="F16" i="75"/>
  <c r="X16" i="75"/>
  <c r="I37" i="124" l="1"/>
  <c r="I36" i="129"/>
  <c r="K37" i="124"/>
  <c r="E37" i="124" s="1"/>
  <c r="C37" i="124"/>
  <c r="F10" i="77"/>
  <c r="F8" i="77" s="1"/>
  <c r="F33" i="77" s="1"/>
  <c r="D15" i="77"/>
  <c r="H16" i="75"/>
  <c r="I36" i="63"/>
  <c r="I16" i="75"/>
  <c r="G31" i="75"/>
  <c r="G26" i="75" s="1"/>
  <c r="K36" i="129" l="1"/>
  <c r="E36" i="129" s="1"/>
  <c r="C36" i="129"/>
  <c r="V36" i="75"/>
  <c r="V36" i="126"/>
  <c r="D10" i="77"/>
  <c r="K36" i="63"/>
  <c r="C36" i="63"/>
  <c r="G32" i="75"/>
  <c r="W34" i="75"/>
  <c r="G34" i="75" s="1"/>
  <c r="L9" i="128" l="1"/>
  <c r="L20" i="128" s="1"/>
  <c r="L9" i="98"/>
  <c r="L20" i="98" s="1"/>
  <c r="Y36" i="126"/>
  <c r="X36" i="126"/>
  <c r="H36" i="126" s="1"/>
  <c r="F36" i="126"/>
  <c r="I36" i="126" s="1"/>
  <c r="L9" i="65"/>
  <c r="L20" i="65" s="1"/>
  <c r="E36" i="63"/>
  <c r="F35" i="77"/>
  <c r="F34" i="77"/>
  <c r="V14" i="126" s="1"/>
  <c r="E11" i="64"/>
  <c r="H32" i="75"/>
  <c r="Y9" i="128" l="1"/>
  <c r="Y9" i="98"/>
  <c r="Y20" i="98" s="1"/>
  <c r="D40" i="95"/>
  <c r="D32" i="72"/>
  <c r="D40" i="90"/>
  <c r="V13" i="126"/>
  <c r="X14" i="126"/>
  <c r="V14" i="75"/>
  <c r="Y9" i="65"/>
  <c r="Y20" i="65" s="1"/>
  <c r="C11" i="64"/>
  <c r="X36" i="75"/>
  <c r="E15" i="130" s="1"/>
  <c r="Y36" i="75"/>
  <c r="Y20" i="128" l="1"/>
  <c r="X13" i="126"/>
  <c r="V11" i="126"/>
  <c r="O23" i="2"/>
  <c r="E15" i="64"/>
  <c r="V13" i="75"/>
  <c r="X14" i="75"/>
  <c r="Y25" i="75"/>
  <c r="X25" i="75"/>
  <c r="I49" i="129" s="1"/>
  <c r="K49" i="129" s="1"/>
  <c r="AC9" i="128" l="1"/>
  <c r="AC9" i="98"/>
  <c r="T23" i="2"/>
  <c r="N26" i="102" s="1"/>
  <c r="Y11" i="126"/>
  <c r="V7" i="126"/>
  <c r="X11" i="126"/>
  <c r="I50" i="124"/>
  <c r="I49" i="63"/>
  <c r="E17" i="95"/>
  <c r="K23" i="2"/>
  <c r="C32" i="133" s="1"/>
  <c r="E17" i="90"/>
  <c r="K26" i="102"/>
  <c r="E14" i="86" s="1"/>
  <c r="K26" i="118"/>
  <c r="E17" i="72"/>
  <c r="P54" i="109"/>
  <c r="X12" i="75"/>
  <c r="V11" i="75"/>
  <c r="V7" i="75" s="1"/>
  <c r="Y7" i="75" s="1"/>
  <c r="X13" i="75"/>
  <c r="AC9" i="65"/>
  <c r="J26" i="118"/>
  <c r="D17" i="95"/>
  <c r="N21" i="2"/>
  <c r="C27" i="70"/>
  <c r="C25" i="70" s="1"/>
  <c r="C24" i="93"/>
  <c r="C22" i="93" s="1"/>
  <c r="D17" i="90"/>
  <c r="J26" i="102"/>
  <c r="D17" i="72"/>
  <c r="S9" i="128" l="1"/>
  <c r="S9" i="98"/>
  <c r="U17" i="109"/>
  <c r="C17" i="95"/>
  <c r="Z7" i="126"/>
  <c r="V31" i="126"/>
  <c r="Y7" i="126"/>
  <c r="X7" i="126"/>
  <c r="X31" i="126" s="1"/>
  <c r="K50" i="124"/>
  <c r="C17" i="90"/>
  <c r="C32" i="92"/>
  <c r="C17" i="72"/>
  <c r="C32" i="69"/>
  <c r="M23" i="2"/>
  <c r="C32" i="87"/>
  <c r="I26" i="118"/>
  <c r="S9" i="65"/>
  <c r="K49" i="63"/>
  <c r="Q17" i="109"/>
  <c r="T17" i="109" s="1"/>
  <c r="P55" i="109"/>
  <c r="R55" i="109" s="1"/>
  <c r="Q54" i="109"/>
  <c r="D14" i="86"/>
  <c r="C14" i="86" s="1"/>
  <c r="I26" i="102"/>
  <c r="D27" i="127" s="1"/>
  <c r="F27" i="127" s="1"/>
  <c r="Y11" i="75"/>
  <c r="X11" i="75"/>
  <c r="I35" i="124" l="1"/>
  <c r="K35" i="124" s="1"/>
  <c r="I35" i="129"/>
  <c r="Y31" i="126"/>
  <c r="V26" i="126"/>
  <c r="V34" i="126"/>
  <c r="Z31" i="126"/>
  <c r="X34" i="126"/>
  <c r="X26" i="126"/>
  <c r="I34" i="124"/>
  <c r="I35" i="63"/>
  <c r="X7" i="75"/>
  <c r="D28" i="117"/>
  <c r="T54" i="109"/>
  <c r="Z7" i="75"/>
  <c r="V31" i="75"/>
  <c r="K35" i="129" l="1"/>
  <c r="I34" i="129"/>
  <c r="I34" i="63"/>
  <c r="K34" i="63" s="1"/>
  <c r="Z34" i="126"/>
  <c r="Y34" i="126"/>
  <c r="Z26" i="126"/>
  <c r="Y26" i="126"/>
  <c r="K34" i="124"/>
  <c r="I32" i="124"/>
  <c r="K35" i="63"/>
  <c r="G28" i="117"/>
  <c r="H28" i="117"/>
  <c r="X31" i="75"/>
  <c r="E9" i="130" s="1"/>
  <c r="Z31" i="75"/>
  <c r="V26" i="75"/>
  <c r="V34" i="75"/>
  <c r="Y31" i="75"/>
  <c r="U54" i="109"/>
  <c r="AW25" i="75"/>
  <c r="AV25" i="75"/>
  <c r="R49" i="129" s="1"/>
  <c r="F25" i="75"/>
  <c r="E13" i="130" l="1"/>
  <c r="E4" i="130"/>
  <c r="T49" i="129"/>
  <c r="C49" i="129"/>
  <c r="K34" i="129"/>
  <c r="I32" i="129"/>
  <c r="K32" i="129" s="1"/>
  <c r="K50" i="129" s="1"/>
  <c r="K9" i="128"/>
  <c r="K9" i="98"/>
  <c r="K9" i="65"/>
  <c r="J9" i="65" s="1"/>
  <c r="H9" i="65" s="1"/>
  <c r="D9" i="65" s="1"/>
  <c r="AV7" i="75"/>
  <c r="R50" i="124"/>
  <c r="R49" i="63"/>
  <c r="K32" i="124"/>
  <c r="I25" i="75"/>
  <c r="U55" i="109"/>
  <c r="I32" i="63"/>
  <c r="K32" i="63" s="1"/>
  <c r="K50" i="63" s="1"/>
  <c r="Y34" i="75"/>
  <c r="G9" i="78" s="1"/>
  <c r="Z34" i="75"/>
  <c r="Z26" i="75"/>
  <c r="Y26" i="75"/>
  <c r="X34" i="75"/>
  <c r="X26" i="75"/>
  <c r="E9" i="64"/>
  <c r="H25" i="75"/>
  <c r="AX7" i="75"/>
  <c r="S12" i="128" l="1"/>
  <c r="S20" i="128" s="1"/>
  <c r="S12" i="98"/>
  <c r="S20" i="98" s="1"/>
  <c r="E49" i="129"/>
  <c r="T50" i="129"/>
  <c r="J9" i="98"/>
  <c r="J9" i="128"/>
  <c r="T50" i="124"/>
  <c r="C50" i="124"/>
  <c r="K51" i="124"/>
  <c r="C49" i="63"/>
  <c r="S62" i="1" s="1"/>
  <c r="T49" i="63"/>
  <c r="E49" i="63" s="1"/>
  <c r="S12" i="65"/>
  <c r="S20" i="65" s="1"/>
  <c r="T14" i="86"/>
  <c r="S14" i="86"/>
  <c r="E13" i="64"/>
  <c r="E4" i="64"/>
  <c r="D9" i="78"/>
  <c r="AT34" i="75"/>
  <c r="AW34" i="75" s="1"/>
  <c r="H9" i="98" l="1"/>
  <c r="AA9" i="98"/>
  <c r="AA9" i="128"/>
  <c r="H9" i="128"/>
  <c r="T9" i="98"/>
  <c r="T9" i="128"/>
  <c r="X9" i="98"/>
  <c r="T51" i="124"/>
  <c r="E50" i="124"/>
  <c r="K16" i="102"/>
  <c r="K16" i="118"/>
  <c r="AV31" i="75"/>
  <c r="R14" i="86"/>
  <c r="AA9" i="65"/>
  <c r="X9" i="65" s="1"/>
  <c r="T9" i="65"/>
  <c r="H9" i="78"/>
  <c r="E29" i="101"/>
  <c r="Q62" i="1"/>
  <c r="C22" i="133" s="1"/>
  <c r="S64" i="1"/>
  <c r="AX34" i="75"/>
  <c r="AT31" i="75"/>
  <c r="AW31" i="75" s="1"/>
  <c r="X9" i="128" l="1"/>
  <c r="AV34" i="75"/>
  <c r="H9" i="130"/>
  <c r="D9" i="128"/>
  <c r="D9" i="98"/>
  <c r="I16" i="102"/>
  <c r="K5" i="118"/>
  <c r="I16" i="118"/>
  <c r="H9" i="64"/>
  <c r="H13" i="64" s="1"/>
  <c r="AV26" i="75"/>
  <c r="C22" i="87"/>
  <c r="N62" i="1"/>
  <c r="C22" i="92"/>
  <c r="C22" i="69"/>
  <c r="C29" i="101"/>
  <c r="E26" i="101"/>
  <c r="AT26" i="75"/>
  <c r="AW26" i="75" s="1"/>
  <c r="AX31" i="75"/>
  <c r="N20" i="65"/>
  <c r="AA12" i="98" l="1"/>
  <c r="X12" i="98" s="1"/>
  <c r="AA12" i="128"/>
  <c r="X12" i="128" s="1"/>
  <c r="H13" i="130"/>
  <c r="H4" i="130"/>
  <c r="D18" i="127"/>
  <c r="F18" i="127" s="1"/>
  <c r="D17" i="117"/>
  <c r="H17" i="117" s="1"/>
  <c r="AA12" i="65"/>
  <c r="X12" i="65" s="1"/>
  <c r="H4" i="64"/>
  <c r="E18" i="110"/>
  <c r="C28" i="94"/>
  <c r="C36" i="94" s="1"/>
  <c r="C28" i="71"/>
  <c r="C36" i="71" s="1"/>
  <c r="C28" i="88"/>
  <c r="C36" i="88" s="1"/>
  <c r="AX26" i="75"/>
  <c r="T12" i="98" l="1"/>
  <c r="T12" i="128"/>
  <c r="G17" i="117"/>
  <c r="G7" i="117" s="1"/>
  <c r="D7" i="117"/>
  <c r="H7" i="117" s="1"/>
  <c r="T12" i="65"/>
  <c r="F12" i="75"/>
  <c r="BL12" i="75"/>
  <c r="H12" i="75" s="1"/>
  <c r="BJ11" i="75"/>
  <c r="BJ7" i="75" s="1"/>
  <c r="BM7" i="75" s="1"/>
  <c r="I12" i="75" l="1"/>
  <c r="BL11" i="75"/>
  <c r="BN7" i="75"/>
  <c r="BJ34" i="75"/>
  <c r="BM11" i="75"/>
  <c r="X35" i="124" l="1"/>
  <c r="X35" i="129"/>
  <c r="Z35" i="124"/>
  <c r="X34" i="124"/>
  <c r="X35" i="63"/>
  <c r="BL7" i="75"/>
  <c r="BM34" i="75"/>
  <c r="BJ31" i="75"/>
  <c r="BN34" i="75"/>
  <c r="Z35" i="129" l="1"/>
  <c r="X34" i="129"/>
  <c r="X34" i="63"/>
  <c r="Z34" i="63" s="1"/>
  <c r="Z34" i="124"/>
  <c r="X32" i="124"/>
  <c r="Z35" i="63"/>
  <c r="BL31" i="75"/>
  <c r="J9" i="130" s="1"/>
  <c r="BN31" i="75"/>
  <c r="BM31" i="75"/>
  <c r="BJ26" i="75"/>
  <c r="Z34" i="129" l="1"/>
  <c r="X32" i="129"/>
  <c r="Z32" i="129" s="1"/>
  <c r="Z50" i="129" s="1"/>
  <c r="J13" i="130"/>
  <c r="J4" i="130"/>
  <c r="K14" i="128"/>
  <c r="K14" i="98"/>
  <c r="Z32" i="124"/>
  <c r="K14" i="65"/>
  <c r="J9" i="64"/>
  <c r="BL34" i="75"/>
  <c r="BL26" i="75"/>
  <c r="M20" i="65"/>
  <c r="BN26" i="75"/>
  <c r="BM26" i="75"/>
  <c r="Z51" i="124" l="1"/>
  <c r="J13" i="64"/>
  <c r="J4" i="64"/>
  <c r="T14" i="98" l="1"/>
  <c r="T14" i="128"/>
  <c r="AA14" i="98"/>
  <c r="X14" i="98" s="1"/>
  <c r="AA14" i="128"/>
  <c r="X14" i="128" s="1"/>
  <c r="T14" i="65"/>
  <c r="AA14" i="65"/>
  <c r="N42" i="63"/>
  <c r="Q10" i="128" l="1"/>
  <c r="Q10" i="98"/>
  <c r="Q10" i="65"/>
  <c r="X14" i="65"/>
  <c r="P91" i="109" l="1"/>
  <c r="P92" i="109" l="1"/>
  <c r="R92" i="109" s="1"/>
  <c r="Q91" i="109"/>
  <c r="Q29" i="109"/>
  <c r="T29" i="109" s="1"/>
  <c r="Q24" i="109"/>
  <c r="T24" i="109" s="1"/>
  <c r="P79" i="109"/>
  <c r="Q26" i="109"/>
  <c r="T26" i="109" s="1"/>
  <c r="P85" i="109"/>
  <c r="Q23" i="109"/>
  <c r="T23" i="109" s="1"/>
  <c r="P76" i="109"/>
  <c r="Q25" i="109"/>
  <c r="T25" i="109" s="1"/>
  <c r="P82" i="109"/>
  <c r="Q27" i="109"/>
  <c r="T27" i="109" s="1"/>
  <c r="P70" i="109"/>
  <c r="Q42" i="63"/>
  <c r="Q11" i="128" l="1"/>
  <c r="Q11" i="98"/>
  <c r="Q11" i="65"/>
  <c r="J11" i="65" s="1"/>
  <c r="H11" i="65" s="1"/>
  <c r="P83" i="109"/>
  <c r="R83" i="109" s="1"/>
  <c r="Q82" i="109"/>
  <c r="P86" i="109"/>
  <c r="R86" i="109" s="1"/>
  <c r="Q85" i="109"/>
  <c r="P77" i="109"/>
  <c r="R77" i="109" s="1"/>
  <c r="Q76" i="109"/>
  <c r="P80" i="109"/>
  <c r="R80" i="109" s="1"/>
  <c r="Q79" i="109"/>
  <c r="P71" i="109"/>
  <c r="R71" i="109" s="1"/>
  <c r="Q70" i="109"/>
  <c r="O32" i="63"/>
  <c r="Q32" i="63" s="1"/>
  <c r="Q50" i="63" s="1"/>
  <c r="J11" i="98" l="1"/>
  <c r="H11" i="98" s="1"/>
  <c r="D11" i="98" s="1"/>
  <c r="J11" i="128"/>
  <c r="H11" i="128" s="1"/>
  <c r="D11" i="128" s="1"/>
  <c r="D11" i="65"/>
  <c r="T42" i="63"/>
  <c r="R32" i="63"/>
  <c r="Q12" i="128" l="1"/>
  <c r="Q12" i="98"/>
  <c r="Q12" i="65"/>
  <c r="J12" i="65" s="1"/>
  <c r="H12" i="65" s="1"/>
  <c r="D12" i="65" s="1"/>
  <c r="T32" i="63"/>
  <c r="J12" i="98" l="1"/>
  <c r="H12" i="98" s="1"/>
  <c r="D12" i="98" s="1"/>
  <c r="J12" i="128"/>
  <c r="H12" i="128" s="1"/>
  <c r="D12" i="128" s="1"/>
  <c r="T50" i="63"/>
  <c r="W42" i="63"/>
  <c r="U32" i="63"/>
  <c r="Q13" i="128" l="1"/>
  <c r="J13" i="128" s="1"/>
  <c r="H13" i="128" s="1"/>
  <c r="D13" i="128" s="1"/>
  <c r="Q13" i="98"/>
  <c r="J13" i="98" s="1"/>
  <c r="H13" i="98" s="1"/>
  <c r="D13" i="98" s="1"/>
  <c r="Q13" i="65"/>
  <c r="J13" i="65" s="1"/>
  <c r="W32" i="63"/>
  <c r="H13" i="65" l="1"/>
  <c r="W50" i="63"/>
  <c r="D13" i="65" l="1"/>
  <c r="Z42" i="63"/>
  <c r="Q14" i="128" l="1"/>
  <c r="J14" i="128" s="1"/>
  <c r="H14" i="128" s="1"/>
  <c r="D14" i="128" s="1"/>
  <c r="Q14" i="98"/>
  <c r="J14" i="98" s="1"/>
  <c r="H14" i="98" s="1"/>
  <c r="D14" i="98" s="1"/>
  <c r="Q14" i="65"/>
  <c r="J14" i="65" s="1"/>
  <c r="X32" i="63"/>
  <c r="Z32" i="63" s="1"/>
  <c r="H14" i="65"/>
  <c r="Z50" i="63" l="1"/>
  <c r="D14" i="65"/>
  <c r="AC42" i="63" l="1"/>
  <c r="AA32" i="63"/>
  <c r="Q15" i="128" l="1"/>
  <c r="J15" i="128" s="1"/>
  <c r="H15" i="128" s="1"/>
  <c r="D15" i="128" s="1"/>
  <c r="Q15" i="98"/>
  <c r="J15" i="98" s="1"/>
  <c r="H15" i="98" s="1"/>
  <c r="D15" i="98" s="1"/>
  <c r="Q15" i="65"/>
  <c r="J15" i="65" s="1"/>
  <c r="H15" i="65" s="1"/>
  <c r="D15" i="65" s="1"/>
  <c r="AC32" i="63"/>
  <c r="AC50" i="63" l="1"/>
  <c r="AF42" i="63"/>
  <c r="AD32" i="63"/>
  <c r="Q16" i="128" l="1"/>
  <c r="J16" i="128" s="1"/>
  <c r="H16" i="128" s="1"/>
  <c r="D16" i="128" s="1"/>
  <c r="Q16" i="98"/>
  <c r="J16" i="98" s="1"/>
  <c r="H16" i="98" s="1"/>
  <c r="D16" i="98" s="1"/>
  <c r="Q16" i="65"/>
  <c r="J16" i="65" s="1"/>
  <c r="H16" i="65" s="1"/>
  <c r="D16" i="65" s="1"/>
  <c r="AF32" i="63"/>
  <c r="AF50" i="63" l="1"/>
  <c r="AI42" i="63"/>
  <c r="Q17" i="128" l="1"/>
  <c r="J17" i="128" s="1"/>
  <c r="H17" i="128" s="1"/>
  <c r="D17" i="128" s="1"/>
  <c r="Q17" i="98"/>
  <c r="J17" i="98" s="1"/>
  <c r="H17" i="98" s="1"/>
  <c r="D17" i="98" s="1"/>
  <c r="Q17" i="65"/>
  <c r="J17" i="65" s="1"/>
  <c r="H17" i="65" s="1"/>
  <c r="AG32" i="63"/>
  <c r="AI32" i="63" s="1"/>
  <c r="AI50" i="63" s="1"/>
  <c r="D17" i="65" l="1"/>
  <c r="AL42" i="63"/>
  <c r="Q18" i="128" l="1"/>
  <c r="J18" i="128" s="1"/>
  <c r="H18" i="128" s="1"/>
  <c r="D18" i="128" s="1"/>
  <c r="Q18" i="98"/>
  <c r="J18" i="98" s="1"/>
  <c r="H18" i="98" s="1"/>
  <c r="D18" i="98" s="1"/>
  <c r="Q18" i="65"/>
  <c r="J18" i="65" s="1"/>
  <c r="H18" i="65" s="1"/>
  <c r="AJ32" i="63"/>
  <c r="D18" i="65" l="1"/>
  <c r="AL32" i="63"/>
  <c r="AL50" i="63" l="1"/>
  <c r="C42" i="63"/>
  <c r="AO42" i="63"/>
  <c r="E42" i="63"/>
  <c r="Q19" i="128" l="1"/>
  <c r="Q19" i="98"/>
  <c r="D33" i="72"/>
  <c r="D41" i="95"/>
  <c r="D41" i="90"/>
  <c r="Q19" i="65"/>
  <c r="Q20" i="65" s="1"/>
  <c r="AM32" i="63"/>
  <c r="J19" i="98" l="1"/>
  <c r="H19" i="98" s="1"/>
  <c r="D19" i="98" s="1"/>
  <c r="Q20" i="98"/>
  <c r="J19" i="128"/>
  <c r="H19" i="128" s="1"/>
  <c r="D19" i="128" s="1"/>
  <c r="Q20" i="128"/>
  <c r="J19" i="65"/>
  <c r="H19" i="65" s="1"/>
  <c r="AO32" i="63"/>
  <c r="D19" i="65" l="1"/>
  <c r="AO50" i="63"/>
  <c r="Q22" i="109" l="1"/>
  <c r="P67" i="109"/>
  <c r="T22" i="109"/>
  <c r="P68" i="109" l="1"/>
  <c r="R68" i="109" s="1"/>
  <c r="Q67" i="109"/>
  <c r="T17" i="86" l="1"/>
  <c r="T13" i="86" l="1"/>
  <c r="T7" i="86" s="1"/>
  <c r="D45" i="84" l="1"/>
  <c r="O40" i="84"/>
  <c r="D40" i="84" l="1"/>
  <c r="O11" i="84"/>
  <c r="O10" i="84" s="1"/>
  <c r="O9" i="84" s="1"/>
  <c r="N30" i="2" s="1"/>
  <c r="S30" i="2" l="1"/>
  <c r="D11" i="84"/>
  <c r="D10" i="84" s="1"/>
  <c r="D9" i="84" s="1"/>
  <c r="D27" i="90" l="1"/>
  <c r="C34" i="70"/>
  <c r="C31" i="93"/>
  <c r="N18" i="2"/>
  <c r="D27" i="95"/>
  <c r="D15" i="95" l="1"/>
  <c r="N12" i="2"/>
  <c r="D37" i="101"/>
  <c r="D15" i="90"/>
  <c r="D15" i="72"/>
  <c r="J25" i="102"/>
  <c r="J25" i="118"/>
  <c r="P88" i="109"/>
  <c r="C36" i="70"/>
  <c r="C22" i="70"/>
  <c r="C33" i="93"/>
  <c r="C19" i="93"/>
  <c r="C17" i="93" s="1"/>
  <c r="P89" i="109" l="1"/>
  <c r="R89" i="109" s="1"/>
  <c r="Q88" i="109"/>
  <c r="C17" i="70"/>
  <c r="D20" i="72"/>
  <c r="J19" i="118"/>
  <c r="J29" i="118"/>
  <c r="Q28" i="109"/>
  <c r="P20" i="109"/>
  <c r="J19" i="102"/>
  <c r="J29" i="102"/>
  <c r="Q20" i="109" l="1"/>
  <c r="P16" i="109"/>
  <c r="P63" i="109"/>
  <c r="Q63" i="109" s="1"/>
  <c r="D17" i="86"/>
  <c r="T28" i="109"/>
  <c r="T20" i="109" l="1"/>
  <c r="P64" i="109"/>
  <c r="R64" i="109" s="1"/>
  <c r="D13" i="86"/>
  <c r="D7" i="86" s="1"/>
  <c r="P46" i="109"/>
  <c r="P44" i="109"/>
  <c r="Q44" i="109" s="1"/>
  <c r="P48" i="109"/>
  <c r="P51" i="109"/>
  <c r="P101" i="109"/>
  <c r="Q16" i="109"/>
  <c r="P93" i="109" l="1"/>
  <c r="Q93" i="109" s="1"/>
  <c r="P90" i="109"/>
  <c r="Q90" i="109" s="1"/>
  <c r="P75" i="109"/>
  <c r="Q75" i="109" s="1"/>
  <c r="P78" i="109"/>
  <c r="Q78" i="109" s="1"/>
  <c r="P81" i="109"/>
  <c r="Q81" i="109" s="1"/>
  <c r="P84" i="109"/>
  <c r="Q84" i="109" s="1"/>
  <c r="P87" i="109"/>
  <c r="Q87" i="109" s="1"/>
  <c r="P72" i="109"/>
  <c r="Q72" i="109" s="1"/>
  <c r="P69" i="109"/>
  <c r="Q69" i="109" s="1"/>
  <c r="P102" i="109"/>
  <c r="R102" i="109" s="1"/>
  <c r="Q101" i="109"/>
  <c r="T16" i="109"/>
  <c r="Q48" i="109"/>
  <c r="T48" i="109" s="1"/>
  <c r="T44" i="109"/>
  <c r="Q46" i="109"/>
  <c r="T46" i="109" s="1"/>
  <c r="T63" i="109"/>
  <c r="P56" i="109"/>
  <c r="Q56" i="109" s="1"/>
  <c r="P59" i="109"/>
  <c r="Q59" i="109" s="1"/>
  <c r="Q51" i="109"/>
  <c r="P62" i="109"/>
  <c r="Q62" i="109" s="1"/>
  <c r="P52" i="109"/>
  <c r="R52" i="109" s="1"/>
  <c r="P65" i="109"/>
  <c r="Q65" i="109" s="1"/>
  <c r="S91" i="109" l="1"/>
  <c r="S88" i="109"/>
  <c r="S73" i="109"/>
  <c r="S76" i="109"/>
  <c r="S85" i="109"/>
  <c r="S82" i="109"/>
  <c r="S79" i="109"/>
  <c r="S63" i="109"/>
  <c r="S57" i="109"/>
  <c r="S60" i="109"/>
  <c r="T51" i="109"/>
  <c r="S54" i="109"/>
  <c r="S51" i="109"/>
  <c r="S17" i="86" l="1"/>
  <c r="S13" i="86" l="1"/>
  <c r="S7" i="86" s="1"/>
  <c r="R17" i="86"/>
  <c r="R13" i="86" s="1"/>
  <c r="R7" i="86" s="1"/>
  <c r="R25" i="86" s="1"/>
  <c r="E10" i="66" l="1"/>
  <c r="E50" i="66" s="1"/>
  <c r="R60" i="1"/>
  <c r="S40" i="84"/>
  <c r="S11" i="84" s="1"/>
  <c r="S10" i="84" s="1"/>
  <c r="S9" i="84" s="1"/>
  <c r="K40" i="2" s="1"/>
  <c r="C41" i="133" s="1"/>
  <c r="C38" i="133" s="1"/>
  <c r="U10" i="123" l="1"/>
  <c r="D36" i="127"/>
  <c r="N40" i="2"/>
  <c r="C41" i="92"/>
  <c r="C38" i="92" s="1"/>
  <c r="C43" i="69"/>
  <c r="C40" i="69" s="1"/>
  <c r="P40" i="2"/>
  <c r="C41" i="87"/>
  <c r="C38" i="87" s="1"/>
  <c r="C45" i="84"/>
  <c r="Q40" i="84"/>
  <c r="Q60" i="1"/>
  <c r="R57" i="1"/>
  <c r="F36" i="127" l="1"/>
  <c r="F33" i="127" s="1"/>
  <c r="D33" i="127"/>
  <c r="P135" i="109"/>
  <c r="Q10" i="123"/>
  <c r="T10" i="123" s="1"/>
  <c r="P21" i="123"/>
  <c r="P8" i="123"/>
  <c r="P13" i="123"/>
  <c r="R13" i="123" s="1"/>
  <c r="T59" i="1" s="1"/>
  <c r="Q16" i="123"/>
  <c r="R55" i="1"/>
  <c r="J14" i="102"/>
  <c r="C13" i="70"/>
  <c r="C11" i="70" s="1"/>
  <c r="C7" i="70" s="1"/>
  <c r="C13" i="93"/>
  <c r="C11" i="93" s="1"/>
  <c r="C7" i="93" s="1"/>
  <c r="J14" i="118"/>
  <c r="N37" i="2"/>
  <c r="D41" i="101"/>
  <c r="N60" i="1"/>
  <c r="C21" i="133" s="1"/>
  <c r="Q57" i="1"/>
  <c r="C20" i="133" s="1"/>
  <c r="C18" i="133" s="1"/>
  <c r="C14" i="133" s="1"/>
  <c r="C40" i="84"/>
  <c r="C11" i="84" s="1"/>
  <c r="C10" i="84" s="1"/>
  <c r="Q11" i="84"/>
  <c r="Q10" i="84" s="1"/>
  <c r="Q9" i="84" s="1"/>
  <c r="S40" i="2"/>
  <c r="U40" i="2"/>
  <c r="C36" i="127" l="1"/>
  <c r="J15" i="102"/>
  <c r="J15" i="118"/>
  <c r="E16" i="110"/>
  <c r="P18" i="123"/>
  <c r="P19" i="123" s="1"/>
  <c r="Q21" i="123"/>
  <c r="P22" i="123"/>
  <c r="Q14" i="123"/>
  <c r="T14" i="123" s="1"/>
  <c r="T16" i="123"/>
  <c r="Z59" i="1"/>
  <c r="M33" i="119"/>
  <c r="P39" i="2"/>
  <c r="V10" i="123" s="1"/>
  <c r="W59" i="1"/>
  <c r="X59" i="1" s="1"/>
  <c r="P129" i="109"/>
  <c r="P136" i="109"/>
  <c r="R136" i="109" s="1"/>
  <c r="Q135" i="109"/>
  <c r="Q8" i="123"/>
  <c r="S10" i="123" s="1"/>
  <c r="P11" i="123"/>
  <c r="R11" i="123" s="1"/>
  <c r="C20" i="87"/>
  <c r="C18" i="87" s="1"/>
  <c r="C14" i="87" s="1"/>
  <c r="Q55" i="1"/>
  <c r="Q64" i="1" s="1"/>
  <c r="C20" i="92"/>
  <c r="C18" i="92" s="1"/>
  <c r="C14" i="92" s="1"/>
  <c r="C20" i="69"/>
  <c r="C41" i="101"/>
  <c r="C38" i="101" s="1"/>
  <c r="D38" i="101"/>
  <c r="D31" i="101" s="1"/>
  <c r="C21" i="69"/>
  <c r="C21" i="92"/>
  <c r="C21" i="87"/>
  <c r="N57" i="1"/>
  <c r="T60" i="1"/>
  <c r="N11" i="2"/>
  <c r="D33" i="90"/>
  <c r="C40" i="93"/>
  <c r="J35" i="102"/>
  <c r="C43" i="70"/>
  <c r="J35" i="118"/>
  <c r="D25" i="72"/>
  <c r="D33" i="95"/>
  <c r="K37" i="2"/>
  <c r="J12" i="102"/>
  <c r="X40" i="2"/>
  <c r="Z40" i="2"/>
  <c r="I14" i="118"/>
  <c r="J12" i="118"/>
  <c r="D28" i="101"/>
  <c r="R64" i="1"/>
  <c r="I15" i="118" l="1"/>
  <c r="I6" i="118"/>
  <c r="D17" i="127"/>
  <c r="I6" i="102"/>
  <c r="F16" i="110"/>
  <c r="M15" i="102"/>
  <c r="M15" i="118"/>
  <c r="L15" i="118" s="1"/>
  <c r="G36" i="127"/>
  <c r="C33" i="127"/>
  <c r="G33" i="127" s="1"/>
  <c r="E9" i="110"/>
  <c r="Q129" i="109"/>
  <c r="P130" i="109"/>
  <c r="R130" i="109" s="1"/>
  <c r="AF59" i="1"/>
  <c r="N33" i="119"/>
  <c r="AC59" i="1"/>
  <c r="AD59" i="1" s="1"/>
  <c r="U39" i="2"/>
  <c r="W10" i="123" s="1"/>
  <c r="M37" i="2"/>
  <c r="T135" i="109"/>
  <c r="S39" i="2"/>
  <c r="S37" i="2" s="1"/>
  <c r="M35" i="102" s="1"/>
  <c r="Q140" i="109"/>
  <c r="S8" i="123"/>
  <c r="S9" i="123"/>
  <c r="T8" i="123"/>
  <c r="I12" i="118"/>
  <c r="I5" i="118" s="1"/>
  <c r="J5" i="118"/>
  <c r="E30" i="110"/>
  <c r="C18" i="69"/>
  <c r="C14" i="69" s="1"/>
  <c r="C35" i="71"/>
  <c r="C33" i="71" s="1"/>
  <c r="C29" i="71" s="1"/>
  <c r="C35" i="94"/>
  <c r="C33" i="94" s="1"/>
  <c r="C29" i="94" s="1"/>
  <c r="C35" i="88"/>
  <c r="C33" i="88" s="1"/>
  <c r="C29" i="88" s="1"/>
  <c r="D9" i="95"/>
  <c r="C33" i="95"/>
  <c r="I35" i="102"/>
  <c r="W60" i="1"/>
  <c r="M34" i="119"/>
  <c r="M31" i="119" s="1"/>
  <c r="M29" i="119" s="1"/>
  <c r="T57" i="1"/>
  <c r="Z60" i="1"/>
  <c r="C25" i="72"/>
  <c r="D9" i="72"/>
  <c r="J5" i="102"/>
  <c r="C28" i="101"/>
  <c r="C26" i="101" s="1"/>
  <c r="D26" i="101"/>
  <c r="D48" i="101" s="1"/>
  <c r="AC40" i="2"/>
  <c r="AE40" i="2"/>
  <c r="J18" i="118"/>
  <c r="I35" i="118"/>
  <c r="C33" i="90"/>
  <c r="D9" i="90"/>
  <c r="E15" i="110"/>
  <c r="N55" i="1"/>
  <c r="N64" i="1" s="1"/>
  <c r="Z145" i="125" l="1"/>
  <c r="AB145" i="107"/>
  <c r="F17" i="127"/>
  <c r="F11" i="127" s="1"/>
  <c r="D11" i="127"/>
  <c r="G16" i="110"/>
  <c r="P15" i="118"/>
  <c r="O15" i="118" s="1"/>
  <c r="X15" i="118" s="1"/>
  <c r="P15" i="102"/>
  <c r="AF140" i="107"/>
  <c r="X39" i="2"/>
  <c r="X37" i="2" s="1"/>
  <c r="U135" i="109"/>
  <c r="U13" i="123"/>
  <c r="U8" i="123"/>
  <c r="T129" i="109"/>
  <c r="M35" i="118"/>
  <c r="P37" i="2"/>
  <c r="AL59" i="1"/>
  <c r="Z39" i="2"/>
  <c r="AI59" i="1"/>
  <c r="AJ59" i="1" s="1"/>
  <c r="T55" i="1"/>
  <c r="F15" i="110"/>
  <c r="E13" i="110"/>
  <c r="E8" i="110"/>
  <c r="W57" i="1"/>
  <c r="W55" i="1" s="1"/>
  <c r="X60" i="1"/>
  <c r="X57" i="1" s="1"/>
  <c r="M14" i="102" s="1"/>
  <c r="M12" i="102" s="1"/>
  <c r="M5" i="102" s="1"/>
  <c r="J38" i="118"/>
  <c r="J6" i="118" s="1"/>
  <c r="AH40" i="2"/>
  <c r="Z57" i="1"/>
  <c r="AC60" i="1"/>
  <c r="AF60" i="1"/>
  <c r="N34" i="119"/>
  <c r="N31" i="119" s="1"/>
  <c r="N29" i="119" s="1"/>
  <c r="Y15" i="118" l="1"/>
  <c r="AA145" i="125"/>
  <c r="AC145" i="107"/>
  <c r="S15" i="118"/>
  <c r="R15" i="118" s="1"/>
  <c r="S15" i="102"/>
  <c r="AB143" i="107"/>
  <c r="AB142" i="107"/>
  <c r="Y15" i="102"/>
  <c r="Z142" i="125"/>
  <c r="Z143" i="125"/>
  <c r="AA146" i="107"/>
  <c r="Y146" i="125"/>
  <c r="Z146" i="125"/>
  <c r="J7" i="118"/>
  <c r="K6" i="118"/>
  <c r="K7" i="118" s="1"/>
  <c r="J40" i="118"/>
  <c r="J42" i="118"/>
  <c r="X10" i="123"/>
  <c r="AC39" i="2"/>
  <c r="AC37" i="2" s="1"/>
  <c r="L35" i="102"/>
  <c r="P35" i="102"/>
  <c r="Y35" i="102" s="1"/>
  <c r="P35" i="118"/>
  <c r="Y35" i="118" s="1"/>
  <c r="U37" i="2"/>
  <c r="AE39" i="2"/>
  <c r="Y10" i="123" s="1"/>
  <c r="AO59" i="1"/>
  <c r="AP59" i="1" s="1"/>
  <c r="L35" i="118"/>
  <c r="F30" i="110"/>
  <c r="AB146" i="107"/>
  <c r="U11" i="123"/>
  <c r="U129" i="109"/>
  <c r="U136" i="109"/>
  <c r="V135" i="109"/>
  <c r="V13" i="123"/>
  <c r="V8" i="123"/>
  <c r="AA146" i="125" s="1"/>
  <c r="G15" i="110"/>
  <c r="Z55" i="1"/>
  <c r="X55" i="1"/>
  <c r="X64" i="1" s="1"/>
  <c r="M14" i="118"/>
  <c r="H16" i="110"/>
  <c r="AF57" i="1"/>
  <c r="AL60" i="1"/>
  <c r="AI60" i="1"/>
  <c r="AC57" i="1"/>
  <c r="AD60" i="1"/>
  <c r="F13" i="110"/>
  <c r="AB145" i="125" l="1"/>
  <c r="AD145" i="107"/>
  <c r="V15" i="118"/>
  <c r="U15" i="118" s="1"/>
  <c r="V15" i="102"/>
  <c r="AC143" i="107"/>
  <c r="AC142" i="107"/>
  <c r="AA143" i="125"/>
  <c r="AA142" i="125"/>
  <c r="AF29" i="118"/>
  <c r="AF30" i="118"/>
  <c r="I7" i="118"/>
  <c r="AE30" i="118"/>
  <c r="AE29" i="118"/>
  <c r="U130" i="109"/>
  <c r="AC146" i="107"/>
  <c r="V11" i="123"/>
  <c r="G30" i="110"/>
  <c r="W135" i="109"/>
  <c r="W13" i="123"/>
  <c r="W8" i="123"/>
  <c r="AB146" i="125" s="1"/>
  <c r="AH39" i="2"/>
  <c r="AH37" i="2" s="1"/>
  <c r="O35" i="118"/>
  <c r="Z37" i="2"/>
  <c r="S35" i="118"/>
  <c r="S35" i="102"/>
  <c r="V136" i="109"/>
  <c r="V129" i="109"/>
  <c r="O35" i="102"/>
  <c r="AF55" i="1"/>
  <c r="H15" i="110"/>
  <c r="AD57" i="1"/>
  <c r="G13" i="110"/>
  <c r="AC55" i="1"/>
  <c r="AJ60" i="1"/>
  <c r="AJ57" i="1" s="1"/>
  <c r="AI57" i="1"/>
  <c r="I16" i="110"/>
  <c r="AL57" i="1"/>
  <c r="AO60" i="1"/>
  <c r="L14" i="118"/>
  <c r="M12" i="118"/>
  <c r="AC145" i="125" l="1"/>
  <c r="AE145" i="107"/>
  <c r="AD143" i="107"/>
  <c r="AD142" i="107"/>
  <c r="AB143" i="125"/>
  <c r="AB142" i="125"/>
  <c r="AD29" i="118"/>
  <c r="AD30" i="118"/>
  <c r="J16" i="110"/>
  <c r="X35" i="102"/>
  <c r="X35" i="118"/>
  <c r="V130" i="109"/>
  <c r="H30" i="110"/>
  <c r="W129" i="109"/>
  <c r="W136" i="109"/>
  <c r="X135" i="109"/>
  <c r="X13" i="123"/>
  <c r="X8" i="123"/>
  <c r="AC146" i="125" s="1"/>
  <c r="Z16" i="123"/>
  <c r="R35" i="102"/>
  <c r="AE37" i="2"/>
  <c r="V35" i="102"/>
  <c r="V35" i="118"/>
  <c r="AD146" i="107"/>
  <c r="W11" i="123"/>
  <c r="R35" i="118"/>
  <c r="AL55" i="1"/>
  <c r="I15" i="110"/>
  <c r="J15" i="110" s="1"/>
  <c r="AO57" i="1"/>
  <c r="AP60" i="1"/>
  <c r="AP57" i="1" s="1"/>
  <c r="S14" i="118"/>
  <c r="AJ55" i="1"/>
  <c r="AJ64" i="1" s="1"/>
  <c r="S14" i="102"/>
  <c r="AD55" i="1"/>
  <c r="AD64" i="1" s="1"/>
  <c r="P14" i="102"/>
  <c r="Y14" i="102" s="1"/>
  <c r="P14" i="118"/>
  <c r="Y14" i="118" s="1"/>
  <c r="M5" i="118"/>
  <c r="L12" i="118"/>
  <c r="AI55" i="1"/>
  <c r="AE143" i="107" l="1"/>
  <c r="AE142" i="107"/>
  <c r="AC143" i="125"/>
  <c r="AC142" i="125"/>
  <c r="AD146" i="125"/>
  <c r="Z14" i="123"/>
  <c r="AC16" i="123"/>
  <c r="U35" i="118"/>
  <c r="X136" i="109"/>
  <c r="X129" i="109"/>
  <c r="U35" i="102"/>
  <c r="Z10" i="123"/>
  <c r="AE146" i="107"/>
  <c r="X11" i="123"/>
  <c r="I30" i="110"/>
  <c r="Y135" i="109"/>
  <c r="Y8" i="123"/>
  <c r="Y13" i="123"/>
  <c r="AA13" i="123" s="1"/>
  <c r="W130" i="109"/>
  <c r="H13" i="110"/>
  <c r="O14" i="118"/>
  <c r="X14" i="118" s="1"/>
  <c r="P12" i="118"/>
  <c r="Y12" i="118" s="1"/>
  <c r="S12" i="102"/>
  <c r="AP55" i="1"/>
  <c r="AP64" i="1" s="1"/>
  <c r="V14" i="102"/>
  <c r="V14" i="118"/>
  <c r="P12" i="102"/>
  <c r="Y12" i="102" s="1"/>
  <c r="AO55" i="1"/>
  <c r="R14" i="118"/>
  <c r="S12" i="118"/>
  <c r="J30" i="110" l="1"/>
  <c r="AF146" i="107"/>
  <c r="Y11" i="123"/>
  <c r="AA11" i="123" s="1"/>
  <c r="Z8" i="123"/>
  <c r="Y129" i="109"/>
  <c r="Y136" i="109"/>
  <c r="AA136" i="109" s="1"/>
  <c r="Z135" i="109"/>
  <c r="AC135" i="109" s="1"/>
  <c r="AC10" i="123"/>
  <c r="X130" i="109"/>
  <c r="V12" i="102"/>
  <c r="I13" i="110"/>
  <c r="J13" i="110" s="1"/>
  <c r="S5" i="118"/>
  <c r="R12" i="118"/>
  <c r="P5" i="118"/>
  <c r="Y5" i="118" s="1"/>
  <c r="O12" i="118"/>
  <c r="X12" i="118" s="1"/>
  <c r="S5" i="102"/>
  <c r="P5" i="102"/>
  <c r="U14" i="118"/>
  <c r="V12" i="118"/>
  <c r="Y5" i="102" l="1"/>
  <c r="Z129" i="109"/>
  <c r="AC129" i="109" s="1"/>
  <c r="Y130" i="109"/>
  <c r="AA130" i="109" s="1"/>
  <c r="AB8" i="123"/>
  <c r="AB9" i="123"/>
  <c r="AC8" i="123"/>
  <c r="AB10" i="123"/>
  <c r="V5" i="118"/>
  <c r="U12" i="118"/>
  <c r="V5" i="102"/>
  <c r="D30" i="66" l="1"/>
  <c r="D19" i="66" s="1"/>
  <c r="D10" i="66" s="1"/>
  <c r="D50" i="66" s="1"/>
  <c r="C113" i="96" l="1"/>
  <c r="C113" i="132"/>
  <c r="C113" i="84"/>
  <c r="C19" i="66"/>
  <c r="C10" i="66" s="1"/>
  <c r="C50" i="66" s="1"/>
  <c r="AB153" i="107"/>
  <c r="AB159" i="107" l="1"/>
  <c r="AF159" i="107" s="1"/>
  <c r="AF153" i="107"/>
  <c r="AB160" i="107"/>
  <c r="AF160" i="107" s="1"/>
  <c r="AB161" i="107"/>
  <c r="AF161" i="107" s="1"/>
  <c r="J12" i="2"/>
  <c r="J11" i="2" s="1"/>
  <c r="E22" i="101"/>
  <c r="C22" i="101" s="1"/>
  <c r="H31" i="118"/>
  <c r="F31" i="118" s="1"/>
  <c r="F19" i="118" s="1"/>
  <c r="F18" i="118" s="1"/>
  <c r="H31" i="102"/>
  <c r="F31" i="102" s="1"/>
  <c r="F19" i="102" s="1"/>
  <c r="F18" i="102" s="1"/>
  <c r="F35" i="2"/>
  <c r="H19" i="118" l="1"/>
  <c r="H18" i="118" s="1"/>
  <c r="H38" i="118" s="1"/>
  <c r="H42" i="118" s="1"/>
  <c r="D27" i="110"/>
  <c r="D21" i="110" s="1"/>
  <c r="D20" i="110" s="1"/>
  <c r="P33" i="109"/>
  <c r="H19" i="102"/>
  <c r="H18" i="102" s="1"/>
  <c r="H38" i="102" s="1"/>
  <c r="H41" i="102" s="1"/>
  <c r="F12" i="2"/>
  <c r="F38" i="118" l="1"/>
  <c r="F42" i="118" s="1"/>
  <c r="H40" i="118"/>
  <c r="P104" i="109"/>
  <c r="P10" i="109"/>
  <c r="H40" i="102"/>
  <c r="F38" i="102"/>
  <c r="F41" i="102" s="1"/>
  <c r="O10" i="109"/>
  <c r="Q33" i="109"/>
  <c r="O104" i="109"/>
  <c r="F11" i="2"/>
  <c r="H12" i="2"/>
  <c r="S141" i="125" l="1"/>
  <c r="T141" i="125"/>
  <c r="U141" i="125" s="1"/>
  <c r="X141" i="125" s="1"/>
  <c r="P94" i="109"/>
  <c r="P139" i="109"/>
  <c r="P138" i="109"/>
  <c r="P53" i="109"/>
  <c r="P47" i="109"/>
  <c r="P95" i="109"/>
  <c r="P106" i="109" s="1"/>
  <c r="P8" i="109"/>
  <c r="O138" i="109"/>
  <c r="O94" i="109"/>
  <c r="R94" i="109" s="1"/>
  <c r="O139" i="109"/>
  <c r="Q139" i="109" s="1"/>
  <c r="Q10" i="109"/>
  <c r="S33" i="109" s="1"/>
  <c r="O53" i="109"/>
  <c r="V141" i="107"/>
  <c r="O8" i="109"/>
  <c r="O47" i="109"/>
  <c r="S141" i="107"/>
  <c r="O95" i="109"/>
  <c r="G27" i="2"/>
  <c r="G26" i="2"/>
  <c r="H11" i="2"/>
  <c r="G28" i="2"/>
  <c r="G16" i="2"/>
  <c r="G30" i="2"/>
  <c r="G20" i="2"/>
  <c r="G13" i="2"/>
  <c r="G31" i="2"/>
  <c r="G11" i="2"/>
  <c r="G19" i="2"/>
  <c r="G37" i="2"/>
  <c r="G33" i="2"/>
  <c r="G24" i="2"/>
  <c r="G15" i="2"/>
  <c r="G14" i="2"/>
  <c r="G29" i="2"/>
  <c r="G23" i="2"/>
  <c r="G25" i="2"/>
  <c r="G32" i="2"/>
  <c r="G22" i="2"/>
  <c r="G21" i="2"/>
  <c r="G18" i="2"/>
  <c r="Q104" i="109"/>
  <c r="G12" i="2"/>
  <c r="Q138" i="109" l="1"/>
  <c r="P131" i="109"/>
  <c r="P137" i="109"/>
  <c r="P128" i="109"/>
  <c r="P134" i="109"/>
  <c r="P107" i="109"/>
  <c r="P103" i="109"/>
  <c r="P100" i="109"/>
  <c r="P97" i="109"/>
  <c r="S16" i="109"/>
  <c r="S11" i="109"/>
  <c r="W141" i="107"/>
  <c r="Z141" i="107" s="1"/>
  <c r="T141" i="107"/>
  <c r="O96" i="109"/>
  <c r="O97" i="109"/>
  <c r="Q95" i="109"/>
  <c r="P96" i="109"/>
  <c r="O100" i="109"/>
  <c r="O107" i="109"/>
  <c r="O103" i="109"/>
  <c r="O106" i="109"/>
  <c r="S25" i="109"/>
  <c r="S10" i="109"/>
  <c r="S35" i="109"/>
  <c r="S34" i="109"/>
  <c r="S21" i="109"/>
  <c r="S32" i="109"/>
  <c r="Q47" i="109"/>
  <c r="T47" i="109" s="1"/>
  <c r="S53" i="109"/>
  <c r="T10" i="109"/>
  <c r="S132" i="109"/>
  <c r="S18" i="109"/>
  <c r="S17" i="109"/>
  <c r="S30" i="109"/>
  <c r="S27" i="109"/>
  <c r="S24" i="109"/>
  <c r="S14" i="109"/>
  <c r="S12" i="109"/>
  <c r="S13" i="109"/>
  <c r="S29" i="109"/>
  <c r="S26" i="109"/>
  <c r="Q8" i="109"/>
  <c r="S28" i="109"/>
  <c r="S23" i="109"/>
  <c r="S22" i="109"/>
  <c r="S19" i="109"/>
  <c r="S135" i="109"/>
  <c r="S20" i="109"/>
  <c r="P9" i="109"/>
  <c r="O128" i="109"/>
  <c r="O134" i="109"/>
  <c r="Q134" i="109" s="1"/>
  <c r="O137" i="109"/>
  <c r="Q137" i="109" s="1"/>
  <c r="O131" i="109"/>
  <c r="O9" i="109"/>
  <c r="Q131" i="109" l="1"/>
  <c r="Q100" i="109"/>
  <c r="T100" i="109" s="1"/>
  <c r="Q103" i="109"/>
  <c r="Q128" i="109"/>
  <c r="T128" i="109" s="1"/>
  <c r="R9" i="109"/>
  <c r="P109" i="109"/>
  <c r="S97" i="109"/>
  <c r="R96" i="109"/>
  <c r="S129" i="109"/>
  <c r="T8" i="109"/>
  <c r="S95" i="109"/>
  <c r="O108" i="109"/>
  <c r="O109" i="109"/>
  <c r="P108" i="109"/>
  <c r="Q107" i="109"/>
  <c r="Q109" i="109" s="1"/>
  <c r="Q106" i="109"/>
  <c r="R108" i="109" l="1"/>
  <c r="H34" i="63"/>
  <c r="F32" i="63"/>
  <c r="H32" i="63" s="1"/>
  <c r="H50" i="63" l="1"/>
  <c r="D23" i="77"/>
  <c r="D8" i="77"/>
  <c r="G35" i="77" l="1"/>
  <c r="D35" i="77" s="1"/>
  <c r="D33" i="77"/>
  <c r="G34" i="77"/>
  <c r="AD14" i="126" s="1"/>
  <c r="AD13" i="126" l="1"/>
  <c r="AF14" i="126"/>
  <c r="H14" i="126" s="1"/>
  <c r="F14" i="126"/>
  <c r="D34" i="77"/>
  <c r="AD14" i="75"/>
  <c r="F36" i="75"/>
  <c r="AG36" i="75"/>
  <c r="AF36" i="75"/>
  <c r="F15" i="130" s="1"/>
  <c r="C15" i="130" s="1"/>
  <c r="AD11" i="126" l="1"/>
  <c r="AF13" i="126"/>
  <c r="H13" i="126" s="1"/>
  <c r="F13" i="126"/>
  <c r="I13" i="126" s="1"/>
  <c r="I36" i="75"/>
  <c r="F14" i="75"/>
  <c r="AF14" i="75"/>
  <c r="H14" i="75" s="1"/>
  <c r="AD13" i="75"/>
  <c r="H36" i="75"/>
  <c r="F15" i="64"/>
  <c r="AC10" i="128" l="1"/>
  <c r="AC20" i="128" s="1"/>
  <c r="AC10" i="98"/>
  <c r="AC20" i="98" s="1"/>
  <c r="AG11" i="126"/>
  <c r="AF11" i="126"/>
  <c r="AD7" i="126"/>
  <c r="F11" i="126"/>
  <c r="AC10" i="65"/>
  <c r="AC20" i="65" s="1"/>
  <c r="C15" i="64"/>
  <c r="AF13" i="75"/>
  <c r="H13" i="75" s="1"/>
  <c r="F13" i="75"/>
  <c r="AD11" i="75"/>
  <c r="I11" i="126" l="1"/>
  <c r="J11" i="126"/>
  <c r="F7" i="126"/>
  <c r="AD34" i="126"/>
  <c r="AG7" i="126"/>
  <c r="AH7" i="126"/>
  <c r="AF7" i="126"/>
  <c r="AF31" i="126" s="1"/>
  <c r="H11" i="126"/>
  <c r="H7" i="126" s="1"/>
  <c r="O35" i="2"/>
  <c r="F11" i="75"/>
  <c r="AD7" i="75"/>
  <c r="AG11" i="75"/>
  <c r="AF11" i="75"/>
  <c r="I13" i="75"/>
  <c r="L35" i="124" l="1"/>
  <c r="L35" i="129"/>
  <c r="Y62" i="1"/>
  <c r="Y35" i="2"/>
  <c r="AK62" i="1" s="1"/>
  <c r="AD35" i="2"/>
  <c r="AQ62" i="1" s="1"/>
  <c r="T35" i="2"/>
  <c r="AE62" i="1" s="1"/>
  <c r="AI35" i="2"/>
  <c r="AH34" i="126"/>
  <c r="AG34" i="126"/>
  <c r="AD31" i="126"/>
  <c r="F34" i="126"/>
  <c r="I7" i="126"/>
  <c r="J7" i="126"/>
  <c r="AF34" i="126"/>
  <c r="H34" i="126" s="1"/>
  <c r="AF26" i="126"/>
  <c r="J11" i="75"/>
  <c r="I11" i="75"/>
  <c r="Y64" i="1"/>
  <c r="W62" i="1"/>
  <c r="W64" i="1" s="1"/>
  <c r="N16" i="102"/>
  <c r="T62" i="1"/>
  <c r="N16" i="118"/>
  <c r="N35" i="124"/>
  <c r="E35" i="124" s="1"/>
  <c r="L34" i="124"/>
  <c r="C35" i="124"/>
  <c r="AG7" i="75"/>
  <c r="AD34" i="75"/>
  <c r="AH7" i="75"/>
  <c r="F7" i="75"/>
  <c r="H11" i="75"/>
  <c r="H7" i="75" s="1"/>
  <c r="L35" i="63"/>
  <c r="AF7" i="75"/>
  <c r="E23" i="72"/>
  <c r="C23" i="72" s="1"/>
  <c r="E31" i="90"/>
  <c r="C31" i="90" s="1"/>
  <c r="E45" i="101"/>
  <c r="C45" i="101" s="1"/>
  <c r="E31" i="95"/>
  <c r="C31" i="95" s="1"/>
  <c r="K31" i="118"/>
  <c r="K31" i="102"/>
  <c r="K35" i="2"/>
  <c r="C36" i="133" s="1"/>
  <c r="N35" i="129" l="1"/>
  <c r="E35" i="129" s="1"/>
  <c r="L34" i="129"/>
  <c r="C35" i="129"/>
  <c r="D20" i="127"/>
  <c r="T31" i="118"/>
  <c r="R31" i="118" s="1"/>
  <c r="T31" i="102"/>
  <c r="Z35" i="2"/>
  <c r="Q31" i="118"/>
  <c r="O31" i="118" s="1"/>
  <c r="U35" i="2"/>
  <c r="Q31" i="102"/>
  <c r="N31" i="102"/>
  <c r="N31" i="118"/>
  <c r="L31" i="118" s="1"/>
  <c r="P35" i="2"/>
  <c r="W31" i="118"/>
  <c r="U31" i="118" s="1"/>
  <c r="W31" i="102"/>
  <c r="AE35" i="2"/>
  <c r="L34" i="63"/>
  <c r="I34" i="126"/>
  <c r="J34" i="126"/>
  <c r="F31" i="126"/>
  <c r="C44" i="126"/>
  <c r="H31" i="126"/>
  <c r="H26" i="126" s="1"/>
  <c r="AG31" i="126"/>
  <c r="AH31" i="126"/>
  <c r="AD26" i="126"/>
  <c r="N5" i="118"/>
  <c r="L16" i="118"/>
  <c r="F18" i="110"/>
  <c r="M37" i="119"/>
  <c r="M39" i="119" s="1"/>
  <c r="T64" i="1"/>
  <c r="L16" i="102"/>
  <c r="N34" i="124"/>
  <c r="E34" i="124" s="1"/>
  <c r="L32" i="124"/>
  <c r="C34" i="124"/>
  <c r="AF31" i="75"/>
  <c r="F9" i="130" s="1"/>
  <c r="E19" i="86"/>
  <c r="C19" i="86" s="1"/>
  <c r="I31" i="102"/>
  <c r="C38" i="69"/>
  <c r="E27" i="110"/>
  <c r="C36" i="87"/>
  <c r="C36" i="92"/>
  <c r="U33" i="109"/>
  <c r="N35" i="63"/>
  <c r="C35" i="63"/>
  <c r="AG34" i="75"/>
  <c r="AH34" i="75"/>
  <c r="F34" i="75"/>
  <c r="AD31" i="75"/>
  <c r="I31" i="118"/>
  <c r="J7" i="75"/>
  <c r="I7" i="75"/>
  <c r="F13" i="130" l="1"/>
  <c r="C13" i="130" s="1"/>
  <c r="F4" i="130"/>
  <c r="C9" i="130"/>
  <c r="C4" i="130" s="1"/>
  <c r="N34" i="129"/>
  <c r="E34" i="129" s="1"/>
  <c r="L32" i="129"/>
  <c r="C34" i="129"/>
  <c r="K10" i="128"/>
  <c r="K10" i="98"/>
  <c r="F20" i="127"/>
  <c r="Z31" i="118"/>
  <c r="Z31" i="102"/>
  <c r="X31" i="118"/>
  <c r="V33" i="109"/>
  <c r="V104" i="109" s="1"/>
  <c r="F27" i="110"/>
  <c r="K19" i="86"/>
  <c r="I19" i="86" s="1"/>
  <c r="O31" i="102"/>
  <c r="X33" i="109"/>
  <c r="X104" i="109" s="1"/>
  <c r="H27" i="110"/>
  <c r="Y33" i="109"/>
  <c r="Y104" i="109" s="1"/>
  <c r="I27" i="110"/>
  <c r="W33" i="109"/>
  <c r="W104" i="109" s="1"/>
  <c r="G27" i="110"/>
  <c r="N19" i="86"/>
  <c r="L19" i="86" s="1"/>
  <c r="R31" i="102"/>
  <c r="Q19" i="86"/>
  <c r="O19" i="86" s="1"/>
  <c r="U31" i="102"/>
  <c r="H19" i="86"/>
  <c r="F19" i="86" s="1"/>
  <c r="L31" i="102"/>
  <c r="X31" i="102" s="1"/>
  <c r="Q16" i="118"/>
  <c r="Q16" i="102"/>
  <c r="AE64" i="1"/>
  <c r="Z62" i="1"/>
  <c r="AC62" i="1"/>
  <c r="AC64" i="1" s="1"/>
  <c r="AK64" i="1"/>
  <c r="T16" i="118"/>
  <c r="T16" i="102"/>
  <c r="R16" i="102" s="1"/>
  <c r="AI62" i="1"/>
  <c r="AF62" i="1"/>
  <c r="AF64" i="1" s="1"/>
  <c r="W16" i="102"/>
  <c r="U16" i="102" s="1"/>
  <c r="AQ64" i="1"/>
  <c r="W16" i="118"/>
  <c r="AO62" i="1"/>
  <c r="AL62" i="1"/>
  <c r="AL64" i="1" s="1"/>
  <c r="AH26" i="126"/>
  <c r="AG26" i="126"/>
  <c r="J31" i="126"/>
  <c r="I31" i="126"/>
  <c r="F26" i="126"/>
  <c r="F9" i="110"/>
  <c r="Z147" i="125"/>
  <c r="AB147" i="107"/>
  <c r="L6" i="102"/>
  <c r="L6" i="118"/>
  <c r="L5" i="118"/>
  <c r="N32" i="124"/>
  <c r="C32" i="124"/>
  <c r="K10" i="65"/>
  <c r="E35" i="63"/>
  <c r="U104" i="109"/>
  <c r="AD26" i="75"/>
  <c r="AG31" i="75"/>
  <c r="G10" i="78" s="1"/>
  <c r="AH31" i="75"/>
  <c r="C34" i="63"/>
  <c r="K14" i="102" s="1"/>
  <c r="L32" i="63"/>
  <c r="N34" i="63"/>
  <c r="E34" i="63" s="1"/>
  <c r="AF26" i="75"/>
  <c r="AF34" i="75"/>
  <c r="H34" i="75" s="1"/>
  <c r="C44" i="75" s="1"/>
  <c r="F9" i="64"/>
  <c r="F31" i="75"/>
  <c r="I34" i="75"/>
  <c r="J34" i="75"/>
  <c r="D19" i="117"/>
  <c r="J10" i="128" l="1"/>
  <c r="K20" i="128"/>
  <c r="N32" i="129"/>
  <c r="C32" i="129"/>
  <c r="J10" i="98"/>
  <c r="K20" i="98"/>
  <c r="N14" i="102"/>
  <c r="N15" i="102" s="1"/>
  <c r="L15" i="102" s="1"/>
  <c r="K15" i="102"/>
  <c r="Z33" i="109"/>
  <c r="J27" i="110"/>
  <c r="I18" i="110"/>
  <c r="I9" i="110" s="1"/>
  <c r="I8" i="110" s="1"/>
  <c r="AO64" i="1"/>
  <c r="O16" i="102"/>
  <c r="Z16" i="102"/>
  <c r="W5" i="118"/>
  <c r="U16" i="118"/>
  <c r="H18" i="110"/>
  <c r="H9" i="110" s="1"/>
  <c r="H8" i="110" s="1"/>
  <c r="AI64" i="1"/>
  <c r="Q5" i="118"/>
  <c r="Z5" i="118" s="1"/>
  <c r="O16" i="118"/>
  <c r="Z16" i="118"/>
  <c r="AB147" i="125"/>
  <c r="AB138" i="125" s="1"/>
  <c r="AB137" i="125" s="1"/>
  <c r="R6" i="102"/>
  <c r="AD147" i="107"/>
  <c r="AD138" i="107" s="1"/>
  <c r="AD137" i="107" s="1"/>
  <c r="X140" i="109" s="1"/>
  <c r="N37" i="119"/>
  <c r="N39" i="119" s="1"/>
  <c r="G18" i="110"/>
  <c r="Z64" i="1"/>
  <c r="AE147" i="107"/>
  <c r="AE138" i="107" s="1"/>
  <c r="AE137" i="107" s="1"/>
  <c r="Y140" i="109" s="1"/>
  <c r="U6" i="102"/>
  <c r="AC147" i="125"/>
  <c r="AC138" i="125" s="1"/>
  <c r="AC137" i="125" s="1"/>
  <c r="T5" i="118"/>
  <c r="R16" i="118"/>
  <c r="D39" i="95"/>
  <c r="D39" i="90"/>
  <c r="D31" i="72"/>
  <c r="J26" i="126"/>
  <c r="I26" i="126"/>
  <c r="AB138" i="107"/>
  <c r="Z138" i="125"/>
  <c r="F8" i="110"/>
  <c r="N51" i="124"/>
  <c r="E51" i="124" s="1"/>
  <c r="E32" i="124"/>
  <c r="K12" i="102"/>
  <c r="I14" i="102"/>
  <c r="H31" i="75"/>
  <c r="H26" i="75" s="1"/>
  <c r="Z104" i="109"/>
  <c r="H19" i="117"/>
  <c r="G19" i="117"/>
  <c r="I31" i="75"/>
  <c r="J31" i="75"/>
  <c r="F26" i="75"/>
  <c r="G20" i="78"/>
  <c r="D10" i="78"/>
  <c r="C44" i="93"/>
  <c r="C42" i="93" s="1"/>
  <c r="C16" i="93" s="1"/>
  <c r="D16" i="93" s="1"/>
  <c r="C47" i="70"/>
  <c r="C45" i="70" s="1"/>
  <c r="C16" i="70" s="1"/>
  <c r="D16" i="70" s="1"/>
  <c r="C9" i="64"/>
  <c r="F4" i="64"/>
  <c r="F13" i="64"/>
  <c r="N32" i="63"/>
  <c r="C32" i="63"/>
  <c r="AH26" i="75"/>
  <c r="AG26" i="75"/>
  <c r="K20" i="65"/>
  <c r="J10" i="65"/>
  <c r="H10" i="98" l="1"/>
  <c r="J20" i="98"/>
  <c r="N50" i="129"/>
  <c r="E50" i="129" s="1"/>
  <c r="E32" i="129"/>
  <c r="C109" i="96"/>
  <c r="C9" i="96" s="1"/>
  <c r="C109" i="132"/>
  <c r="C9" i="132" s="1"/>
  <c r="AA10" i="98"/>
  <c r="X10" i="98" s="1"/>
  <c r="X20" i="98" s="1"/>
  <c r="AA10" i="128"/>
  <c r="T10" i="98"/>
  <c r="T20" i="98" s="1"/>
  <c r="T10" i="128"/>
  <c r="T20" i="128" s="1"/>
  <c r="H10" i="128"/>
  <c r="J20" i="128"/>
  <c r="I15" i="102"/>
  <c r="G9" i="110"/>
  <c r="J18" i="110"/>
  <c r="R6" i="118"/>
  <c r="R5" i="118"/>
  <c r="AA147" i="125"/>
  <c r="O6" i="102"/>
  <c r="AC147" i="107"/>
  <c r="X16" i="102"/>
  <c r="X6" i="102" s="1"/>
  <c r="O6" i="118"/>
  <c r="O5" i="118"/>
  <c r="X5" i="118" s="1"/>
  <c r="X16" i="118"/>
  <c r="X6" i="118" s="1"/>
  <c r="U6" i="118"/>
  <c r="U5" i="118"/>
  <c r="Z137" i="125"/>
  <c r="AB137" i="107"/>
  <c r="K5" i="102"/>
  <c r="J37" i="102"/>
  <c r="J6" i="102" s="1"/>
  <c r="I12" i="102"/>
  <c r="I5" i="102" s="1"/>
  <c r="Q14" i="102"/>
  <c r="Q15" i="102" s="1"/>
  <c r="O15" i="102" s="1"/>
  <c r="N12" i="102"/>
  <c r="M37" i="102" s="1"/>
  <c r="M6" i="102" s="1"/>
  <c r="M7" i="102" s="1"/>
  <c r="L14" i="102"/>
  <c r="I26" i="75"/>
  <c r="J26" i="75"/>
  <c r="O31" i="2"/>
  <c r="O30" i="2"/>
  <c r="O25" i="2"/>
  <c r="O28" i="2"/>
  <c r="O29" i="2"/>
  <c r="O26" i="2"/>
  <c r="O27" i="2"/>
  <c r="E32" i="63"/>
  <c r="N50" i="63"/>
  <c r="E50" i="63" s="1"/>
  <c r="AA10" i="65"/>
  <c r="C13" i="64"/>
  <c r="T10" i="65"/>
  <c r="T20" i="65" s="1"/>
  <c r="D20" i="78"/>
  <c r="H10" i="78"/>
  <c r="H20" i="78" s="1"/>
  <c r="J20" i="65"/>
  <c r="H10" i="65"/>
  <c r="C109" i="84"/>
  <c r="C9" i="84" s="1"/>
  <c r="C4" i="64"/>
  <c r="T29" i="2" l="1"/>
  <c r="D10" i="128"/>
  <c r="D20" i="128" s="1"/>
  <c r="H20" i="128"/>
  <c r="T31" i="2"/>
  <c r="T30" i="2"/>
  <c r="AA20" i="98"/>
  <c r="T28" i="2"/>
  <c r="T27" i="2"/>
  <c r="X10" i="128"/>
  <c r="X20" i="128" s="1"/>
  <c r="AA20" i="128"/>
  <c r="T25" i="2"/>
  <c r="T26" i="2"/>
  <c r="D10" i="98"/>
  <c r="D20" i="98" s="1"/>
  <c r="H20" i="98"/>
  <c r="AA145" i="107"/>
  <c r="Y145" i="125"/>
  <c r="X15" i="102"/>
  <c r="Z15" i="102"/>
  <c r="J7" i="102"/>
  <c r="AE30" i="102" s="1"/>
  <c r="AC138" i="107"/>
  <c r="AF147" i="107"/>
  <c r="AA138" i="125"/>
  <c r="AD147" i="125"/>
  <c r="G8" i="110"/>
  <c r="J8" i="110" s="1"/>
  <c r="J9" i="110"/>
  <c r="D36" i="95"/>
  <c r="D36" i="90"/>
  <c r="V140" i="109"/>
  <c r="T21" i="2"/>
  <c r="K6" i="102"/>
  <c r="I37" i="102"/>
  <c r="J18" i="102"/>
  <c r="J38" i="102" s="1"/>
  <c r="N5" i="102"/>
  <c r="L12" i="102"/>
  <c r="L5" i="102" s="1"/>
  <c r="T14" i="102"/>
  <c r="T15" i="102" s="1"/>
  <c r="R15" i="102" s="1"/>
  <c r="Q12" i="102"/>
  <c r="Z12" i="102" s="1"/>
  <c r="O14" i="102"/>
  <c r="X14" i="102" s="1"/>
  <c r="Z14" i="102"/>
  <c r="H20" i="65"/>
  <c r="D10" i="65"/>
  <c r="D20" i="65" s="1"/>
  <c r="E23" i="90"/>
  <c r="C23" i="90" s="1"/>
  <c r="E23" i="95"/>
  <c r="C23" i="95" s="1"/>
  <c r="K26" i="2"/>
  <c r="E27" i="95"/>
  <c r="C27" i="95" s="1"/>
  <c r="E27" i="90"/>
  <c r="C27" i="90" s="1"/>
  <c r="K30" i="2"/>
  <c r="E26" i="95"/>
  <c r="C26" i="95" s="1"/>
  <c r="E26" i="90"/>
  <c r="C26" i="90" s="1"/>
  <c r="K29" i="2"/>
  <c r="E28" i="95"/>
  <c r="C28" i="95" s="1"/>
  <c r="E28" i="90"/>
  <c r="C28" i="90" s="1"/>
  <c r="K31" i="2"/>
  <c r="O19" i="2"/>
  <c r="D28" i="72"/>
  <c r="E25" i="90"/>
  <c r="C25" i="90" s="1"/>
  <c r="E25" i="95"/>
  <c r="C25" i="95" s="1"/>
  <c r="K28" i="2"/>
  <c r="X10" i="65"/>
  <c r="X20" i="65" s="1"/>
  <c r="AA20" i="65"/>
  <c r="E24" i="90"/>
  <c r="C24" i="90" s="1"/>
  <c r="E24" i="95"/>
  <c r="C24" i="95" s="1"/>
  <c r="K27" i="2"/>
  <c r="E22" i="95"/>
  <c r="C22" i="95" s="1"/>
  <c r="O21" i="2"/>
  <c r="E22" i="90"/>
  <c r="C22" i="90" s="1"/>
  <c r="K25" i="2"/>
  <c r="T19" i="2" l="1"/>
  <c r="AD145" i="125"/>
  <c r="Y143" i="125"/>
  <c r="Y142" i="125"/>
  <c r="AD142" i="125" s="1"/>
  <c r="AF145" i="107"/>
  <c r="AA142" i="107"/>
  <c r="AF142" i="107" s="1"/>
  <c r="AA143" i="107"/>
  <c r="K7" i="102"/>
  <c r="I7" i="102" s="1"/>
  <c r="AA137" i="125"/>
  <c r="AC137" i="107"/>
  <c r="T18" i="2"/>
  <c r="T12" i="2" s="1"/>
  <c r="T11" i="2" s="1"/>
  <c r="J40" i="102"/>
  <c r="J41" i="102"/>
  <c r="N6" i="102"/>
  <c r="N7" i="102" s="1"/>
  <c r="AI30" i="102" s="1"/>
  <c r="AH30" i="102"/>
  <c r="W14" i="102"/>
  <c r="W15" i="102" s="1"/>
  <c r="U15" i="102" s="1"/>
  <c r="T12" i="102"/>
  <c r="R14" i="102"/>
  <c r="L37" i="102"/>
  <c r="P37" i="102"/>
  <c r="P6" i="102" s="1"/>
  <c r="Y6" i="102" s="1"/>
  <c r="Y7" i="102" s="1"/>
  <c r="Q5" i="102"/>
  <c r="Z5" i="102" s="1"/>
  <c r="O12" i="102"/>
  <c r="M27" i="2"/>
  <c r="U25" i="109"/>
  <c r="M25" i="2"/>
  <c r="K21" i="2"/>
  <c r="U23" i="109"/>
  <c r="M31" i="2"/>
  <c r="U29" i="109"/>
  <c r="M29" i="2"/>
  <c r="U27" i="109"/>
  <c r="M30" i="2"/>
  <c r="U28" i="109"/>
  <c r="M26" i="2"/>
  <c r="U24" i="109"/>
  <c r="E20" i="90"/>
  <c r="C20" i="90" s="1"/>
  <c r="E20" i="95"/>
  <c r="C20" i="95" s="1"/>
  <c r="O18" i="2"/>
  <c r="K19" i="2"/>
  <c r="M28" i="2"/>
  <c r="U26" i="109"/>
  <c r="AF30" i="102" l="1"/>
  <c r="AA138" i="107"/>
  <c r="AF143" i="107"/>
  <c r="Y138" i="125"/>
  <c r="AD143" i="125"/>
  <c r="W140" i="109"/>
  <c r="AD30" i="102"/>
  <c r="L7" i="102"/>
  <c r="Q6" i="102"/>
  <c r="Q7" i="102" s="1"/>
  <c r="P7" i="102"/>
  <c r="AK30" i="102" s="1"/>
  <c r="O37" i="102"/>
  <c r="X37" i="102" s="1"/>
  <c r="Y37" i="102"/>
  <c r="T5" i="102"/>
  <c r="S37" i="102"/>
  <c r="S6" i="102" s="1"/>
  <c r="R12" i="102"/>
  <c r="R5" i="102" s="1"/>
  <c r="X12" i="102"/>
  <c r="O5" i="102"/>
  <c r="X5" i="102" s="1"/>
  <c r="W12" i="102"/>
  <c r="U14" i="102"/>
  <c r="M19" i="2"/>
  <c r="K18" i="2"/>
  <c r="U22" i="109"/>
  <c r="U91" i="109"/>
  <c r="U70" i="109"/>
  <c r="U76" i="109"/>
  <c r="U82" i="109"/>
  <c r="E15" i="72"/>
  <c r="E15" i="90"/>
  <c r="E15" i="95"/>
  <c r="O12" i="2"/>
  <c r="O11" i="2" s="1"/>
  <c r="E37" i="101"/>
  <c r="K25" i="118"/>
  <c r="K25" i="102"/>
  <c r="U85" i="109"/>
  <c r="U88" i="109"/>
  <c r="U79" i="109"/>
  <c r="M21" i="2"/>
  <c r="C30" i="133" l="1"/>
  <c r="C25" i="133" s="1"/>
  <c r="C24" i="133" s="1"/>
  <c r="K52" i="2"/>
  <c r="Y137" i="125"/>
  <c r="AD137" i="125" s="1"/>
  <c r="AD138" i="125"/>
  <c r="AA137" i="107"/>
  <c r="AF138" i="107"/>
  <c r="Z6" i="102"/>
  <c r="Z7" i="102" s="1"/>
  <c r="X7" i="102" s="1"/>
  <c r="N27" i="118"/>
  <c r="G21" i="86"/>
  <c r="P20" i="2"/>
  <c r="P19" i="2"/>
  <c r="V22" i="109" s="1"/>
  <c r="M27" i="118"/>
  <c r="P28" i="2"/>
  <c r="P27" i="2"/>
  <c r="P23" i="2"/>
  <c r="P29" i="2"/>
  <c r="Y43" i="2"/>
  <c r="Y19" i="2" s="1"/>
  <c r="AL30" i="102"/>
  <c r="P25" i="2"/>
  <c r="P30" i="2"/>
  <c r="N21" i="118"/>
  <c r="P26" i="2"/>
  <c r="AG30" i="102"/>
  <c r="M28" i="118"/>
  <c r="G16" i="86"/>
  <c r="M21" i="118"/>
  <c r="M20" i="118" s="1"/>
  <c r="M26" i="118"/>
  <c r="G14" i="86"/>
  <c r="T6" i="102"/>
  <c r="T7" i="102" s="1"/>
  <c r="S7" i="102"/>
  <c r="AN30" i="102" s="1"/>
  <c r="X43" i="2"/>
  <c r="X19" i="2" s="1"/>
  <c r="O7" i="102"/>
  <c r="P14" i="2"/>
  <c r="V37" i="102"/>
  <c r="V6" i="102" s="1"/>
  <c r="W5" i="102"/>
  <c r="U12" i="102"/>
  <c r="U5" i="102" s="1"/>
  <c r="R37" i="102"/>
  <c r="U83" i="109"/>
  <c r="U71" i="109"/>
  <c r="U67" i="109"/>
  <c r="U20" i="109"/>
  <c r="U89" i="109"/>
  <c r="I25" i="102"/>
  <c r="D26" i="127" s="1"/>
  <c r="K19" i="102"/>
  <c r="K29" i="102"/>
  <c r="C15" i="95"/>
  <c r="C9" i="95" s="1"/>
  <c r="E9" i="95"/>
  <c r="U92" i="109"/>
  <c r="M18" i="2"/>
  <c r="C30" i="87"/>
  <c r="C25" i="87" s="1"/>
  <c r="C24" i="87" s="1"/>
  <c r="C30" i="69"/>
  <c r="K12" i="2"/>
  <c r="C30" i="92"/>
  <c r="C25" i="92" s="1"/>
  <c r="C24" i="92" s="1"/>
  <c r="E23" i="110"/>
  <c r="U80" i="109"/>
  <c r="K29" i="118"/>
  <c r="K19" i="118"/>
  <c r="I25" i="118"/>
  <c r="C15" i="90"/>
  <c r="C9" i="90" s="1"/>
  <c r="E9" i="90"/>
  <c r="U77" i="109"/>
  <c r="U86" i="109"/>
  <c r="C37" i="101"/>
  <c r="C31" i="101" s="1"/>
  <c r="E31" i="101"/>
  <c r="E48" i="101" s="1"/>
  <c r="C48" i="101" s="1"/>
  <c r="E9" i="72"/>
  <c r="E20" i="72"/>
  <c r="C20" i="72" s="1"/>
  <c r="C15" i="72"/>
  <c r="C9" i="72" s="1"/>
  <c r="U140" i="109" l="1"/>
  <c r="Z140" i="109" s="1"/>
  <c r="AF137" i="107"/>
  <c r="AF147" i="125"/>
  <c r="AF144" i="125"/>
  <c r="AF142" i="125"/>
  <c r="AF139" i="125"/>
  <c r="AF137" i="125"/>
  <c r="AF145" i="125"/>
  <c r="F26" i="127"/>
  <c r="F19" i="127" s="1"/>
  <c r="D19" i="127"/>
  <c r="M33" i="118"/>
  <c r="P33" i="2"/>
  <c r="V31" i="109" s="1"/>
  <c r="P31" i="2"/>
  <c r="V29" i="109" s="1"/>
  <c r="V91" i="109" s="1"/>
  <c r="V92" i="109" s="1"/>
  <c r="N28" i="118"/>
  <c r="L28" i="118" s="1"/>
  <c r="H9" i="86"/>
  <c r="P24" i="2"/>
  <c r="V21" i="109" s="1"/>
  <c r="P22" i="2"/>
  <c r="V18" i="109" s="1"/>
  <c r="L27" i="118"/>
  <c r="G15" i="86"/>
  <c r="S18" i="2"/>
  <c r="Y31" i="2"/>
  <c r="Y30" i="2"/>
  <c r="R19" i="2"/>
  <c r="Y28" i="2"/>
  <c r="Y29" i="2"/>
  <c r="Y24" i="2"/>
  <c r="Y25" i="2"/>
  <c r="Y33" i="2"/>
  <c r="Q33" i="118" s="1"/>
  <c r="Y27" i="2"/>
  <c r="Y14" i="2"/>
  <c r="Q21" i="118" s="1"/>
  <c r="Y22" i="2"/>
  <c r="Q27" i="118" s="1"/>
  <c r="Y20" i="2"/>
  <c r="Q28" i="118" s="1"/>
  <c r="Y23" i="2"/>
  <c r="Q26" i="118" s="1"/>
  <c r="Y26" i="2"/>
  <c r="N26" i="118"/>
  <c r="L26" i="118" s="1"/>
  <c r="L33" i="102"/>
  <c r="N33" i="118"/>
  <c r="N25" i="102"/>
  <c r="AD43" i="2"/>
  <c r="AD19" i="2" s="1"/>
  <c r="AO30" i="102"/>
  <c r="AJ30" i="102"/>
  <c r="G9" i="86"/>
  <c r="G8" i="86" s="1"/>
  <c r="W6" i="102"/>
  <c r="W7" i="102" s="1"/>
  <c r="AR30" i="102" s="1"/>
  <c r="V7" i="102"/>
  <c r="R7" i="102"/>
  <c r="AC43" i="2"/>
  <c r="X26" i="2"/>
  <c r="X27" i="2"/>
  <c r="X28" i="2"/>
  <c r="X25" i="2"/>
  <c r="X31" i="2"/>
  <c r="X29" i="2"/>
  <c r="X22" i="2"/>
  <c r="X24" i="2"/>
  <c r="X23" i="2"/>
  <c r="X20" i="2"/>
  <c r="X33" i="2"/>
  <c r="X14" i="2"/>
  <c r="X30" i="2"/>
  <c r="H15" i="86"/>
  <c r="V19" i="109"/>
  <c r="R20" i="2"/>
  <c r="R29" i="2"/>
  <c r="V27" i="109"/>
  <c r="V70" i="109" s="1"/>
  <c r="V71" i="109" s="1"/>
  <c r="V24" i="109"/>
  <c r="V79" i="109" s="1"/>
  <c r="V80" i="109" s="1"/>
  <c r="R26" i="2"/>
  <c r="R30" i="2"/>
  <c r="V28" i="109"/>
  <c r="V88" i="109" s="1"/>
  <c r="V89" i="109" s="1"/>
  <c r="V17" i="109"/>
  <c r="R23" i="2"/>
  <c r="V12" i="109"/>
  <c r="P13" i="2"/>
  <c r="R14" i="2"/>
  <c r="R27" i="2"/>
  <c r="V25" i="109"/>
  <c r="V82" i="109" s="1"/>
  <c r="V83" i="109" s="1"/>
  <c r="V26" i="109"/>
  <c r="V85" i="109" s="1"/>
  <c r="V86" i="109" s="1"/>
  <c r="R28" i="2"/>
  <c r="N20" i="118"/>
  <c r="L21" i="118"/>
  <c r="L20" i="118" s="1"/>
  <c r="R25" i="2"/>
  <c r="V23" i="109"/>
  <c r="V76" i="109" s="1"/>
  <c r="V77" i="109" s="1"/>
  <c r="H16" i="86"/>
  <c r="F16" i="86" s="1"/>
  <c r="L28" i="102"/>
  <c r="H14" i="86"/>
  <c r="F14" i="86" s="1"/>
  <c r="L26" i="102"/>
  <c r="U37" i="102"/>
  <c r="I29" i="118"/>
  <c r="M12" i="2"/>
  <c r="K11" i="2"/>
  <c r="K50" i="2" s="1"/>
  <c r="I29" i="102"/>
  <c r="D30" i="127" s="1"/>
  <c r="F30" i="127" s="1"/>
  <c r="E17" i="86"/>
  <c r="C25" i="69"/>
  <c r="C24" i="69" s="1"/>
  <c r="C35" i="69"/>
  <c r="K18" i="102"/>
  <c r="D27" i="117"/>
  <c r="I19" i="118"/>
  <c r="E21" i="110"/>
  <c r="I19" i="102"/>
  <c r="U16" i="109"/>
  <c r="U63" i="109"/>
  <c r="V67" i="109"/>
  <c r="K18" i="118"/>
  <c r="U68" i="109"/>
  <c r="AH142" i="107" l="1"/>
  <c r="AH147" i="107"/>
  <c r="AH139" i="107"/>
  <c r="AH137" i="107"/>
  <c r="AH145" i="107"/>
  <c r="AH144" i="107"/>
  <c r="L12" i="2"/>
  <c r="M25" i="118"/>
  <c r="M29" i="118" s="1"/>
  <c r="M25" i="102"/>
  <c r="L25" i="102" s="1"/>
  <c r="S12" i="2"/>
  <c r="S11" i="2" s="1"/>
  <c r="N29" i="102"/>
  <c r="H17" i="86" s="1"/>
  <c r="N19" i="102"/>
  <c r="N18" i="102" s="1"/>
  <c r="N38" i="102" s="1"/>
  <c r="L33" i="118"/>
  <c r="F25" i="110"/>
  <c r="R33" i="2"/>
  <c r="R31" i="2"/>
  <c r="L27" i="102"/>
  <c r="R24" i="2"/>
  <c r="F15" i="86"/>
  <c r="L21" i="102"/>
  <c r="L20" i="102" s="1"/>
  <c r="P21" i="2"/>
  <c r="P18" i="2" s="1"/>
  <c r="U29" i="2"/>
  <c r="W29" i="2" s="1"/>
  <c r="U27" i="2"/>
  <c r="W27" i="2" s="1"/>
  <c r="U28" i="2"/>
  <c r="W28" i="2" s="1"/>
  <c r="R22" i="2"/>
  <c r="Q28" i="102"/>
  <c r="K16" i="86" s="1"/>
  <c r="AC25" i="2"/>
  <c r="AC24" i="2"/>
  <c r="Q26" i="102"/>
  <c r="Z26" i="102" s="1"/>
  <c r="U23" i="2"/>
  <c r="W23" i="2" s="1"/>
  <c r="U31" i="2"/>
  <c r="W31" i="2" s="1"/>
  <c r="Q21" i="102"/>
  <c r="Z21" i="102" s="1"/>
  <c r="AD29" i="2"/>
  <c r="Y13" i="2"/>
  <c r="U14" i="2"/>
  <c r="W12" i="109" s="1"/>
  <c r="U30" i="2"/>
  <c r="W28" i="109" s="1"/>
  <c r="W88" i="109" s="1"/>
  <c r="W89" i="109" s="1"/>
  <c r="U26" i="2"/>
  <c r="W26" i="2" s="1"/>
  <c r="Q33" i="102"/>
  <c r="Z33" i="102" s="1"/>
  <c r="Y21" i="2"/>
  <c r="Y18" i="2" s="1"/>
  <c r="Q25" i="102" s="1"/>
  <c r="Z25" i="102" s="1"/>
  <c r="U33" i="2"/>
  <c r="W31" i="109" s="1"/>
  <c r="H21" i="86"/>
  <c r="F21" i="86" s="1"/>
  <c r="U20" i="2"/>
  <c r="W20" i="2" s="1"/>
  <c r="Q27" i="102"/>
  <c r="K15" i="86" s="1"/>
  <c r="AD20" i="2"/>
  <c r="T28" i="102" s="1"/>
  <c r="AD22" i="2"/>
  <c r="T27" i="102" s="1"/>
  <c r="U22" i="2"/>
  <c r="W18" i="109" s="1"/>
  <c r="W57" i="109" s="1"/>
  <c r="N25" i="118"/>
  <c r="N29" i="118" s="1"/>
  <c r="AD25" i="2"/>
  <c r="AD31" i="2"/>
  <c r="AD27" i="2"/>
  <c r="AD14" i="2"/>
  <c r="T21" i="118" s="1"/>
  <c r="AD26" i="2"/>
  <c r="AD33" i="2"/>
  <c r="T33" i="118" s="1"/>
  <c r="AD23" i="2"/>
  <c r="T26" i="118" s="1"/>
  <c r="AD30" i="2"/>
  <c r="AD28" i="2"/>
  <c r="AD24" i="2"/>
  <c r="AH43" i="2"/>
  <c r="AQ30" i="102"/>
  <c r="AM30" i="102"/>
  <c r="V20" i="109"/>
  <c r="V63" i="109" s="1"/>
  <c r="AI43" i="2"/>
  <c r="U7" i="102"/>
  <c r="AC29" i="2"/>
  <c r="AC27" i="2"/>
  <c r="AC30" i="2"/>
  <c r="AC31" i="2"/>
  <c r="AC26" i="2"/>
  <c r="AC28" i="2"/>
  <c r="U25" i="2"/>
  <c r="W23" i="109" s="1"/>
  <c r="W76" i="109" s="1"/>
  <c r="W77" i="109" s="1"/>
  <c r="U24" i="2"/>
  <c r="W24" i="2" s="1"/>
  <c r="AC33" i="2"/>
  <c r="P33" i="118"/>
  <c r="Y33" i="118" s="1"/>
  <c r="P33" i="102"/>
  <c r="AC19" i="2"/>
  <c r="U19" i="2"/>
  <c r="AC22" i="2"/>
  <c r="P27" i="118"/>
  <c r="Y27" i="118" s="1"/>
  <c r="P27" i="102"/>
  <c r="X21" i="2"/>
  <c r="X18" i="2" s="1"/>
  <c r="AC20" i="2"/>
  <c r="P28" i="118"/>
  <c r="Y28" i="118" s="1"/>
  <c r="P28" i="102"/>
  <c r="AC14" i="2"/>
  <c r="P21" i="118"/>
  <c r="O21" i="118" s="1"/>
  <c r="P21" i="102"/>
  <c r="X13" i="2"/>
  <c r="AC23" i="2"/>
  <c r="P26" i="118"/>
  <c r="Y26" i="118" s="1"/>
  <c r="P26" i="102"/>
  <c r="V57" i="109"/>
  <c r="V58" i="109" s="1"/>
  <c r="V11" i="109"/>
  <c r="V111" i="109"/>
  <c r="Z27" i="118"/>
  <c r="V73" i="109"/>
  <c r="Z33" i="118"/>
  <c r="V60" i="109"/>
  <c r="V61" i="109" s="1"/>
  <c r="V54" i="109"/>
  <c r="V55" i="109" s="1"/>
  <c r="Z26" i="118"/>
  <c r="Z21" i="118"/>
  <c r="Q20" i="118"/>
  <c r="Z20" i="118" s="1"/>
  <c r="H8" i="86"/>
  <c r="F9" i="86"/>
  <c r="F8" i="86" s="1"/>
  <c r="F22" i="110"/>
  <c r="R13" i="2"/>
  <c r="Z28" i="118"/>
  <c r="V68" i="109"/>
  <c r="U64" i="109"/>
  <c r="I18" i="118"/>
  <c r="U44" i="109"/>
  <c r="U46" i="109"/>
  <c r="U51" i="109"/>
  <c r="U10" i="109"/>
  <c r="U101" i="109"/>
  <c r="U48" i="109"/>
  <c r="H27" i="117"/>
  <c r="D31" i="117"/>
  <c r="G27" i="117"/>
  <c r="G18" i="117" s="1"/>
  <c r="I18" i="117" s="1"/>
  <c r="D18" i="117"/>
  <c r="H18" i="117" s="1"/>
  <c r="K38" i="102"/>
  <c r="K41" i="102" s="1"/>
  <c r="E13" i="86"/>
  <c r="E7" i="86" s="1"/>
  <c r="C17" i="86"/>
  <c r="C13" i="86" s="1"/>
  <c r="C7" i="86" s="1"/>
  <c r="I18" i="102"/>
  <c r="K38" i="118"/>
  <c r="E20" i="110"/>
  <c r="Q40" i="2"/>
  <c r="L20" i="2"/>
  <c r="L13" i="2"/>
  <c r="AF41" i="2"/>
  <c r="AF40" i="2"/>
  <c r="L22" i="2"/>
  <c r="AA41" i="2"/>
  <c r="L37" i="2"/>
  <c r="L15" i="2"/>
  <c r="L23" i="2"/>
  <c r="L39" i="2"/>
  <c r="V39" i="2"/>
  <c r="AA40" i="2"/>
  <c r="Q37" i="2"/>
  <c r="L40" i="2"/>
  <c r="L24" i="2"/>
  <c r="M11" i="2"/>
  <c r="AA39" i="2"/>
  <c r="L41" i="2"/>
  <c r="AF39" i="2"/>
  <c r="V41" i="2"/>
  <c r="V40" i="2"/>
  <c r="Q39" i="2"/>
  <c r="L11" i="2"/>
  <c r="L16" i="2"/>
  <c r="L14" i="2"/>
  <c r="Q41" i="2"/>
  <c r="L33" i="2"/>
  <c r="L32" i="2"/>
  <c r="E19" i="101" s="1"/>
  <c r="L28" i="2"/>
  <c r="L27" i="2"/>
  <c r="L25" i="2"/>
  <c r="L31" i="2"/>
  <c r="L29" i="2"/>
  <c r="L30" i="2"/>
  <c r="L26" i="2"/>
  <c r="L19" i="2"/>
  <c r="L21" i="2"/>
  <c r="L18" i="2"/>
  <c r="O28" i="102" l="1"/>
  <c r="X28" i="102" s="1"/>
  <c r="R21" i="2"/>
  <c r="L29" i="118"/>
  <c r="M19" i="118"/>
  <c r="M18" i="118" s="1"/>
  <c r="M38" i="118" s="1"/>
  <c r="M6" i="118" s="1"/>
  <c r="M7" i="118" s="1"/>
  <c r="AH30" i="118" s="1"/>
  <c r="N40" i="102"/>
  <c r="N41" i="102"/>
  <c r="M29" i="102"/>
  <c r="M19" i="102"/>
  <c r="M18" i="102" s="1"/>
  <c r="M38" i="102" s="1"/>
  <c r="W33" i="2"/>
  <c r="Q20" i="102"/>
  <c r="Z20" i="102" s="1"/>
  <c r="Z28" i="102"/>
  <c r="W21" i="109"/>
  <c r="W73" i="109" s="1"/>
  <c r="W74" i="109" s="1"/>
  <c r="K21" i="86"/>
  <c r="W27" i="109"/>
  <c r="W70" i="109" s="1"/>
  <c r="W71" i="109" s="1"/>
  <c r="W30" i="2"/>
  <c r="V16" i="109"/>
  <c r="V46" i="109" s="1"/>
  <c r="W25" i="109"/>
  <c r="W82" i="109" s="1"/>
  <c r="W83" i="109" s="1"/>
  <c r="Z29" i="2"/>
  <c r="AB29" i="2" s="1"/>
  <c r="K14" i="86"/>
  <c r="K9" i="86"/>
  <c r="K8" i="86" s="1"/>
  <c r="O21" i="102"/>
  <c r="O20" i="102" s="1"/>
  <c r="X20" i="102" s="1"/>
  <c r="W26" i="109"/>
  <c r="W85" i="109" s="1"/>
  <c r="W86" i="109" s="1"/>
  <c r="Z26" i="2"/>
  <c r="AB26" i="2" s="1"/>
  <c r="Z24" i="2"/>
  <c r="X21" i="109" s="1"/>
  <c r="X73" i="109" s="1"/>
  <c r="X74" i="109" s="1"/>
  <c r="AH24" i="2"/>
  <c r="N19" i="118"/>
  <c r="N18" i="118" s="1"/>
  <c r="N38" i="118" s="1"/>
  <c r="N40" i="118" s="1"/>
  <c r="Q25" i="118"/>
  <c r="Q29" i="118" s="1"/>
  <c r="Z29" i="118" s="1"/>
  <c r="W29" i="109"/>
  <c r="W91" i="109" s="1"/>
  <c r="W92" i="109" s="1"/>
  <c r="Z25" i="2"/>
  <c r="AB25" i="2" s="1"/>
  <c r="Q29" i="102"/>
  <c r="Z29" i="102" s="1"/>
  <c r="O26" i="102"/>
  <c r="X26" i="102" s="1"/>
  <c r="W22" i="2"/>
  <c r="W19" i="109"/>
  <c r="W60" i="109" s="1"/>
  <c r="W61" i="109" s="1"/>
  <c r="W17" i="109"/>
  <c r="W54" i="109" s="1"/>
  <c r="W55" i="109" s="1"/>
  <c r="O33" i="102"/>
  <c r="X33" i="102" s="1"/>
  <c r="Z33" i="2"/>
  <c r="X31" i="109" s="1"/>
  <c r="O27" i="118"/>
  <c r="X27" i="118" s="1"/>
  <c r="Z23" i="2"/>
  <c r="AB23" i="2" s="1"/>
  <c r="W14" i="2"/>
  <c r="Z31" i="2"/>
  <c r="X29" i="109" s="1"/>
  <c r="Z27" i="102"/>
  <c r="U13" i="2"/>
  <c r="W13" i="2" s="1"/>
  <c r="T33" i="102"/>
  <c r="N21" i="86" s="1"/>
  <c r="O27" i="102"/>
  <c r="X27" i="102" s="1"/>
  <c r="Y12" i="2"/>
  <c r="Y11" i="2" s="1"/>
  <c r="W24" i="109"/>
  <c r="W79" i="109" s="1"/>
  <c r="W80" i="109" s="1"/>
  <c r="Z22" i="2"/>
  <c r="X18" i="109" s="1"/>
  <c r="X57" i="109" s="1"/>
  <c r="X58" i="109" s="1"/>
  <c r="T27" i="118"/>
  <c r="G25" i="110"/>
  <c r="T28" i="118"/>
  <c r="Z20" i="2"/>
  <c r="X19" i="109" s="1"/>
  <c r="L25" i="118"/>
  <c r="L19" i="118" s="1"/>
  <c r="L18" i="118" s="1"/>
  <c r="L38" i="118" s="1"/>
  <c r="L42" i="118" s="1"/>
  <c r="AD21" i="2"/>
  <c r="AD18" i="2" s="1"/>
  <c r="T25" i="102" s="1"/>
  <c r="Z27" i="2"/>
  <c r="AB27" i="2" s="1"/>
  <c r="T26" i="102"/>
  <c r="L19" i="102"/>
  <c r="L18" i="102" s="1"/>
  <c r="L38" i="102" s="1"/>
  <c r="L41" i="102" s="1"/>
  <c r="T21" i="102"/>
  <c r="T20" i="102" s="1"/>
  <c r="Z14" i="2"/>
  <c r="X12" i="109" s="1"/>
  <c r="AD13" i="2"/>
  <c r="AH30" i="2"/>
  <c r="U21" i="2"/>
  <c r="W21" i="2" s="1"/>
  <c r="Y141" i="125"/>
  <c r="Z141" i="125"/>
  <c r="AP30" i="102"/>
  <c r="Z30" i="2"/>
  <c r="X28" i="109" s="1"/>
  <c r="W25" i="2"/>
  <c r="O28" i="118"/>
  <c r="X28" i="118" s="1"/>
  <c r="W58" i="109"/>
  <c r="AI19" i="2"/>
  <c r="AI20" i="2"/>
  <c r="W28" i="102" s="1"/>
  <c r="AI28" i="2"/>
  <c r="AI29" i="2"/>
  <c r="AI14" i="2"/>
  <c r="AI13" i="2" s="1"/>
  <c r="AI30" i="2"/>
  <c r="AI24" i="2"/>
  <c r="AI25" i="2"/>
  <c r="AI26" i="2"/>
  <c r="AI33" i="2"/>
  <c r="W33" i="118" s="1"/>
  <c r="AI31" i="2"/>
  <c r="AI27" i="2"/>
  <c r="AI22" i="2"/>
  <c r="W27" i="118" s="1"/>
  <c r="AI23" i="2"/>
  <c r="W26" i="118" s="1"/>
  <c r="AH31" i="2"/>
  <c r="AH28" i="2"/>
  <c r="AH27" i="2"/>
  <c r="AH25" i="2"/>
  <c r="AH26" i="2"/>
  <c r="AH29" i="2"/>
  <c r="Z28" i="2"/>
  <c r="X26" i="109" s="1"/>
  <c r="O26" i="118"/>
  <c r="X26" i="118" s="1"/>
  <c r="O33" i="118"/>
  <c r="X33" i="118" s="1"/>
  <c r="P25" i="102"/>
  <c r="P25" i="118"/>
  <c r="Y26" i="102"/>
  <c r="J14" i="86"/>
  <c r="Y21" i="102"/>
  <c r="P20" i="102"/>
  <c r="J9" i="86"/>
  <c r="J8" i="86" s="1"/>
  <c r="AH19" i="2"/>
  <c r="Z19" i="2"/>
  <c r="Y21" i="118"/>
  <c r="P20" i="118"/>
  <c r="AH20" i="2"/>
  <c r="S28" i="118"/>
  <c r="S28" i="102"/>
  <c r="M16" i="86" s="1"/>
  <c r="AH22" i="2"/>
  <c r="S27" i="118"/>
  <c r="S27" i="102"/>
  <c r="M15" i="86" s="1"/>
  <c r="AC21" i="2"/>
  <c r="AC18" i="2" s="1"/>
  <c r="J21" i="86"/>
  <c r="I21" i="86" s="1"/>
  <c r="Y33" i="102"/>
  <c r="AH23" i="2"/>
  <c r="S26" i="118"/>
  <c r="R26" i="118" s="1"/>
  <c r="S26" i="102"/>
  <c r="M14" i="86" s="1"/>
  <c r="AH14" i="2"/>
  <c r="S21" i="118"/>
  <c r="S20" i="118" s="1"/>
  <c r="AC13" i="2"/>
  <c r="S21" i="102"/>
  <c r="W22" i="109"/>
  <c r="W19" i="2"/>
  <c r="X12" i="2"/>
  <c r="X11" i="2" s="1"/>
  <c r="Y28" i="102"/>
  <c r="J16" i="86"/>
  <c r="I16" i="86" s="1"/>
  <c r="J15" i="86"/>
  <c r="I15" i="86" s="1"/>
  <c r="Y27" i="102"/>
  <c r="AH33" i="2"/>
  <c r="S33" i="118"/>
  <c r="R33" i="118" s="1"/>
  <c r="S33" i="102"/>
  <c r="M21" i="86" s="1"/>
  <c r="X21" i="118"/>
  <c r="O20" i="118"/>
  <c r="X20" i="118" s="1"/>
  <c r="V112" i="109"/>
  <c r="R18" i="2"/>
  <c r="P12" i="2"/>
  <c r="F23" i="110"/>
  <c r="F21" i="110" s="1"/>
  <c r="F20" i="110" s="1"/>
  <c r="V98" i="109"/>
  <c r="V110" i="109"/>
  <c r="N16" i="86"/>
  <c r="N15" i="86"/>
  <c r="V74" i="109"/>
  <c r="T20" i="118"/>
  <c r="W111" i="109"/>
  <c r="W11" i="109"/>
  <c r="C25" i="86"/>
  <c r="C27" i="86"/>
  <c r="K40" i="102"/>
  <c r="U102" i="109"/>
  <c r="I38" i="102"/>
  <c r="I41" i="102" s="1"/>
  <c r="AB141" i="107"/>
  <c r="U47" i="109"/>
  <c r="AA141" i="107"/>
  <c r="U139" i="109"/>
  <c r="U138" i="109"/>
  <c r="U95" i="109"/>
  <c r="U94" i="109"/>
  <c r="U8" i="109"/>
  <c r="I38" i="118"/>
  <c r="C19" i="101"/>
  <c r="C8" i="101" s="1"/>
  <c r="E8" i="101"/>
  <c r="E25" i="101" s="1"/>
  <c r="C25" i="101" s="1"/>
  <c r="V64" i="109"/>
  <c r="H13" i="86"/>
  <c r="H7" i="86" s="1"/>
  <c r="H31" i="117"/>
  <c r="G31" i="117"/>
  <c r="U62" i="109"/>
  <c r="U75" i="109"/>
  <c r="U53" i="109"/>
  <c r="U59" i="109"/>
  <c r="U56" i="109"/>
  <c r="U52" i="109"/>
  <c r="U93" i="109"/>
  <c r="U81" i="109"/>
  <c r="U78" i="109"/>
  <c r="U87" i="109"/>
  <c r="U72" i="109"/>
  <c r="U90" i="109"/>
  <c r="U84" i="109"/>
  <c r="U69" i="109"/>
  <c r="U65" i="109"/>
  <c r="K40" i="118"/>
  <c r="K42" i="118"/>
  <c r="M42" i="118" l="1"/>
  <c r="M40" i="118"/>
  <c r="AH29" i="118"/>
  <c r="N6" i="118"/>
  <c r="N7" i="118" s="1"/>
  <c r="AI30" i="118" s="1"/>
  <c r="M40" i="102"/>
  <c r="M41" i="102"/>
  <c r="AE29" i="2"/>
  <c r="AG29" i="2" s="1"/>
  <c r="Q19" i="102"/>
  <c r="Q18" i="102" s="1"/>
  <c r="Q38" i="102" s="1"/>
  <c r="Z38" i="102" s="1"/>
  <c r="G17" i="86"/>
  <c r="L29" i="102"/>
  <c r="AB24" i="2"/>
  <c r="X17" i="109"/>
  <c r="X54" i="109" s="1"/>
  <c r="X55" i="109" s="1"/>
  <c r="V101" i="109"/>
  <c r="V102" i="109" s="1"/>
  <c r="V51" i="109"/>
  <c r="V65" i="109" s="1"/>
  <c r="V48" i="109"/>
  <c r="V44" i="109"/>
  <c r="V10" i="109"/>
  <c r="AA141" i="125" s="1"/>
  <c r="AE31" i="2"/>
  <c r="Y29" i="109" s="1"/>
  <c r="Y91" i="109" s="1"/>
  <c r="X27" i="109"/>
  <c r="X70" i="109" s="1"/>
  <c r="X24" i="109"/>
  <c r="X79" i="109" s="1"/>
  <c r="Q19" i="118"/>
  <c r="Q18" i="118" s="1"/>
  <c r="Q38" i="118" s="1"/>
  <c r="Z25" i="118"/>
  <c r="I14" i="86"/>
  <c r="AB30" i="2"/>
  <c r="X21" i="102"/>
  <c r="AE24" i="2"/>
  <c r="AG24" i="2" s="1"/>
  <c r="K17" i="86"/>
  <c r="K13" i="86" s="1"/>
  <c r="K7" i="86" s="1"/>
  <c r="G22" i="110"/>
  <c r="R21" i="102"/>
  <c r="R20" i="102" s="1"/>
  <c r="N42" i="118"/>
  <c r="X23" i="109"/>
  <c r="X76" i="109" s="1"/>
  <c r="X77" i="109" s="1"/>
  <c r="H25" i="110"/>
  <c r="W33" i="102"/>
  <c r="Q21" i="86" s="1"/>
  <c r="AB33" i="2"/>
  <c r="Z13" i="2"/>
  <c r="AB13" i="2" s="1"/>
  <c r="AB31" i="2"/>
  <c r="AE23" i="2"/>
  <c r="AG23" i="2" s="1"/>
  <c r="AB20" i="2"/>
  <c r="R27" i="118"/>
  <c r="L16" i="86"/>
  <c r="W28" i="118"/>
  <c r="W26" i="102"/>
  <c r="Q14" i="86" s="1"/>
  <c r="X25" i="109"/>
  <c r="X82" i="109" s="1"/>
  <c r="AB22" i="2"/>
  <c r="T19" i="102"/>
  <c r="T18" i="102" s="1"/>
  <c r="T38" i="102" s="1"/>
  <c r="T25" i="118"/>
  <c r="T29" i="118" s="1"/>
  <c r="AD12" i="2"/>
  <c r="AD11" i="2" s="1"/>
  <c r="N9" i="86"/>
  <c r="N8" i="86" s="1"/>
  <c r="AB14" i="2"/>
  <c r="R28" i="118"/>
  <c r="T29" i="102"/>
  <c r="N17" i="86" s="1"/>
  <c r="U18" i="2"/>
  <c r="W18" i="2" s="1"/>
  <c r="N14" i="86"/>
  <c r="L14" i="86" s="1"/>
  <c r="AE30" i="2"/>
  <c r="Y28" i="109" s="1"/>
  <c r="Y88" i="109" s="1"/>
  <c r="AE14" i="2"/>
  <c r="AG14" i="2" s="1"/>
  <c r="AB28" i="2"/>
  <c r="AE25" i="2"/>
  <c r="AG25" i="2" s="1"/>
  <c r="AE22" i="2"/>
  <c r="Y18" i="109" s="1"/>
  <c r="W21" i="102"/>
  <c r="W20" i="102" s="1"/>
  <c r="Z21" i="2"/>
  <c r="Z18" i="2" s="1"/>
  <c r="W27" i="102"/>
  <c r="Q15" i="86" s="1"/>
  <c r="W21" i="118"/>
  <c r="W20" i="118" s="1"/>
  <c r="AE26" i="2"/>
  <c r="Y24" i="109" s="1"/>
  <c r="Y79" i="109" s="1"/>
  <c r="L15" i="86"/>
  <c r="R21" i="118"/>
  <c r="R20" i="118" s="1"/>
  <c r="AE28" i="2"/>
  <c r="AG28" i="2" s="1"/>
  <c r="AI21" i="2"/>
  <c r="AI18" i="2" s="1"/>
  <c r="W25" i="102" s="1"/>
  <c r="R27" i="102"/>
  <c r="AE33" i="2"/>
  <c r="I25" i="110" s="1"/>
  <c r="AE20" i="2"/>
  <c r="Y19" i="109" s="1"/>
  <c r="Y60" i="109" s="1"/>
  <c r="AE27" i="2"/>
  <c r="AG27" i="2" s="1"/>
  <c r="R28" i="102"/>
  <c r="I9" i="86"/>
  <c r="I8" i="86" s="1"/>
  <c r="R33" i="102"/>
  <c r="L21" i="86"/>
  <c r="R26" i="102"/>
  <c r="S25" i="102"/>
  <c r="S25" i="118"/>
  <c r="S19" i="118" s="1"/>
  <c r="S18" i="118" s="1"/>
  <c r="S38" i="118" s="1"/>
  <c r="S6" i="118" s="1"/>
  <c r="AC12" i="2"/>
  <c r="AC11" i="2" s="1"/>
  <c r="AB19" i="2"/>
  <c r="X22" i="109"/>
  <c r="X67" i="109" s="1"/>
  <c r="Y20" i="102"/>
  <c r="P19" i="102"/>
  <c r="V26" i="102"/>
  <c r="P14" i="86" s="1"/>
  <c r="V26" i="118"/>
  <c r="U26" i="118" s="1"/>
  <c r="V28" i="118"/>
  <c r="V28" i="102"/>
  <c r="P16" i="86" s="1"/>
  <c r="W67" i="109"/>
  <c r="W68" i="109" s="1"/>
  <c r="W20" i="109"/>
  <c r="V21" i="118"/>
  <c r="V20" i="118" s="1"/>
  <c r="AH13" i="2"/>
  <c r="V21" i="102"/>
  <c r="V27" i="118"/>
  <c r="U27" i="118" s="1"/>
  <c r="V27" i="102"/>
  <c r="P15" i="86" s="1"/>
  <c r="AH21" i="2"/>
  <c r="AH18" i="2" s="1"/>
  <c r="Y20" i="118"/>
  <c r="P19" i="118"/>
  <c r="AE19" i="2"/>
  <c r="Y25" i="118"/>
  <c r="P29" i="118"/>
  <c r="O25" i="118"/>
  <c r="V33" i="118"/>
  <c r="U33" i="118" s="1"/>
  <c r="V33" i="102"/>
  <c r="P21" i="86" s="1"/>
  <c r="M9" i="86"/>
  <c r="M8" i="86" s="1"/>
  <c r="S20" i="102"/>
  <c r="Y25" i="102"/>
  <c r="P29" i="102"/>
  <c r="O25" i="102"/>
  <c r="W110" i="109"/>
  <c r="W113" i="109" s="1"/>
  <c r="W98" i="109"/>
  <c r="W99" i="109" s="1"/>
  <c r="X88" i="109"/>
  <c r="X60" i="109"/>
  <c r="X61" i="109" s="1"/>
  <c r="V116" i="109"/>
  <c r="V119" i="109"/>
  <c r="R12" i="2"/>
  <c r="P11" i="2"/>
  <c r="W112" i="109"/>
  <c r="V99" i="109"/>
  <c r="X85" i="109"/>
  <c r="X11" i="109"/>
  <c r="X111" i="109"/>
  <c r="Q16" i="86"/>
  <c r="V113" i="109"/>
  <c r="X91" i="109"/>
  <c r="I42" i="118"/>
  <c r="I40" i="118"/>
  <c r="U100" i="109"/>
  <c r="U107" i="109"/>
  <c r="U97" i="109"/>
  <c r="U96" i="109"/>
  <c r="U106" i="109"/>
  <c r="U9" i="109"/>
  <c r="U137" i="109"/>
  <c r="U128" i="109"/>
  <c r="U131" i="109"/>
  <c r="U134" i="109"/>
  <c r="U103" i="109"/>
  <c r="L7" i="118" l="1"/>
  <c r="AG29" i="118" s="1"/>
  <c r="AI29" i="118"/>
  <c r="Y27" i="109"/>
  <c r="Y70" i="109" s="1"/>
  <c r="Y71" i="109" s="1"/>
  <c r="Q40" i="102"/>
  <c r="Q41" i="102"/>
  <c r="Z40" i="102"/>
  <c r="Z41" i="102"/>
  <c r="T40" i="102"/>
  <c r="T41" i="102"/>
  <c r="Z18" i="102"/>
  <c r="Y21" i="109"/>
  <c r="Y73" i="109" s="1"/>
  <c r="Y74" i="109" s="1"/>
  <c r="AA74" i="109" s="1"/>
  <c r="Z19" i="102"/>
  <c r="G13" i="86"/>
  <c r="G7" i="86" s="1"/>
  <c r="F17" i="86"/>
  <c r="F13" i="86" s="1"/>
  <c r="F7" i="86" s="1"/>
  <c r="F25" i="86" s="1"/>
  <c r="V139" i="109"/>
  <c r="U12" i="2"/>
  <c r="W12" i="2" s="1"/>
  <c r="V69" i="109"/>
  <c r="V59" i="109"/>
  <c r="AC141" i="107"/>
  <c r="V138" i="109"/>
  <c r="V95" i="109"/>
  <c r="V103" i="109" s="1"/>
  <c r="V8" i="109"/>
  <c r="V137" i="109" s="1"/>
  <c r="V47" i="109"/>
  <c r="V94" i="109"/>
  <c r="Z19" i="118"/>
  <c r="V72" i="109"/>
  <c r="V53" i="109"/>
  <c r="V93" i="109"/>
  <c r="V90" i="109"/>
  <c r="V52" i="109"/>
  <c r="V84" i="109"/>
  <c r="V78" i="109"/>
  <c r="V62" i="109"/>
  <c r="V81" i="109"/>
  <c r="V75" i="109"/>
  <c r="V56" i="109"/>
  <c r="AG31" i="2"/>
  <c r="V87" i="109"/>
  <c r="J25" i="110"/>
  <c r="Z18" i="118"/>
  <c r="Y17" i="109"/>
  <c r="Y54" i="109" s="1"/>
  <c r="Y55" i="109" s="1"/>
  <c r="AA55" i="109" s="1"/>
  <c r="H22" i="110"/>
  <c r="T19" i="118"/>
  <c r="T18" i="118" s="1"/>
  <c r="T38" i="118" s="1"/>
  <c r="T42" i="118" s="1"/>
  <c r="U28" i="118"/>
  <c r="W25" i="118"/>
  <c r="W29" i="118" s="1"/>
  <c r="Y23" i="109"/>
  <c r="Y76" i="109" s="1"/>
  <c r="Y77" i="109" s="1"/>
  <c r="AA77" i="109" s="1"/>
  <c r="AG30" i="2"/>
  <c r="G23" i="110"/>
  <c r="G21" i="110" s="1"/>
  <c r="G20" i="110" s="1"/>
  <c r="AE13" i="2"/>
  <c r="AG13" i="2" s="1"/>
  <c r="AG22" i="2"/>
  <c r="L9" i="86"/>
  <c r="L8" i="86" s="1"/>
  <c r="Y12" i="109"/>
  <c r="Z50" i="109" s="1"/>
  <c r="Y25" i="109"/>
  <c r="AG26" i="2"/>
  <c r="Q9" i="86"/>
  <c r="Q8" i="86" s="1"/>
  <c r="U21" i="102"/>
  <c r="U20" i="102" s="1"/>
  <c r="AB21" i="2"/>
  <c r="AG33" i="2"/>
  <c r="Y31" i="109"/>
  <c r="Z31" i="109" s="1"/>
  <c r="Z28" i="109"/>
  <c r="AC28" i="109" s="1"/>
  <c r="Y89" i="109"/>
  <c r="Z29" i="109"/>
  <c r="AC29" i="109" s="1"/>
  <c r="Y26" i="109"/>
  <c r="O16" i="86"/>
  <c r="AE21" i="2"/>
  <c r="AG21" i="2" s="1"/>
  <c r="U27" i="102"/>
  <c r="Z24" i="109"/>
  <c r="AC24" i="109" s="1"/>
  <c r="W29" i="102"/>
  <c r="Q17" i="86" s="1"/>
  <c r="AG20" i="2"/>
  <c r="AI12" i="2"/>
  <c r="AI11" i="2" s="1"/>
  <c r="Y80" i="109"/>
  <c r="S7" i="118"/>
  <c r="T6" i="118"/>
  <c r="T7" i="118" s="1"/>
  <c r="U26" i="102"/>
  <c r="O14" i="86"/>
  <c r="W19" i="102"/>
  <c r="W18" i="102" s="1"/>
  <c r="W38" i="102" s="1"/>
  <c r="X68" i="109"/>
  <c r="S19" i="102"/>
  <c r="S18" i="102" s="1"/>
  <c r="S38" i="102" s="1"/>
  <c r="X20" i="109"/>
  <c r="X63" i="109" s="1"/>
  <c r="O21" i="86"/>
  <c r="U28" i="102"/>
  <c r="Y61" i="109"/>
  <c r="AA61" i="109" s="1"/>
  <c r="U33" i="102"/>
  <c r="U21" i="118"/>
  <c r="U20" i="118" s="1"/>
  <c r="O15" i="86"/>
  <c r="O19" i="102"/>
  <c r="X25" i="102"/>
  <c r="V20" i="102"/>
  <c r="P9" i="86"/>
  <c r="P8" i="86" s="1"/>
  <c r="Y19" i="102"/>
  <c r="P18" i="102"/>
  <c r="P38" i="102" s="1"/>
  <c r="P41" i="102" s="1"/>
  <c r="Y29" i="102"/>
  <c r="J17" i="86"/>
  <c r="O29" i="102"/>
  <c r="X29" i="102" s="1"/>
  <c r="O19" i="118"/>
  <c r="X25" i="118"/>
  <c r="AG19" i="2"/>
  <c r="Y22" i="109"/>
  <c r="AH12" i="2"/>
  <c r="AH11" i="2" s="1"/>
  <c r="Y29" i="118"/>
  <c r="O29" i="118"/>
  <c r="X29" i="118" s="1"/>
  <c r="V25" i="118"/>
  <c r="V25" i="102"/>
  <c r="S40" i="118"/>
  <c r="S42" i="118"/>
  <c r="S29" i="118"/>
  <c r="R29" i="118" s="1"/>
  <c r="R25" i="118"/>
  <c r="R19" i="118" s="1"/>
  <c r="R18" i="118" s="1"/>
  <c r="R38" i="118" s="1"/>
  <c r="R42" i="118" s="1"/>
  <c r="Y19" i="118"/>
  <c r="P18" i="118"/>
  <c r="W63" i="109"/>
  <c r="W64" i="109" s="1"/>
  <c r="W16" i="109"/>
  <c r="S29" i="102"/>
  <c r="R25" i="102"/>
  <c r="R19" i="102" s="1"/>
  <c r="R18" i="102" s="1"/>
  <c r="R38" i="102" s="1"/>
  <c r="R41" i="102" s="1"/>
  <c r="AB18" i="2"/>
  <c r="Z12" i="2"/>
  <c r="H23" i="110"/>
  <c r="Z19" i="109"/>
  <c r="X92" i="109"/>
  <c r="Z91" i="109"/>
  <c r="X112" i="109"/>
  <c r="Y92" i="109"/>
  <c r="Y57" i="109"/>
  <c r="Y58" i="109" s="1"/>
  <c r="AA58" i="109" s="1"/>
  <c r="Z18" i="109"/>
  <c r="X110" i="109"/>
  <c r="X98" i="109"/>
  <c r="X83" i="109"/>
  <c r="X86" i="109"/>
  <c r="W116" i="109"/>
  <c r="W119" i="109"/>
  <c r="X71" i="109"/>
  <c r="Q12" i="2"/>
  <c r="Q11" i="2"/>
  <c r="Q23" i="2"/>
  <c r="Q30" i="2"/>
  <c r="Q29" i="2"/>
  <c r="Q18" i="2"/>
  <c r="Q15" i="2"/>
  <c r="Q14" i="2"/>
  <c r="Q33" i="2"/>
  <c r="R11" i="2"/>
  <c r="Q31" i="2"/>
  <c r="Q28" i="2"/>
  <c r="Q20" i="2"/>
  <c r="Q34" i="2"/>
  <c r="Q16" i="2"/>
  <c r="Q32" i="2"/>
  <c r="Q27" i="2"/>
  <c r="Q21" i="2"/>
  <c r="Q24" i="2"/>
  <c r="Q13" i="2"/>
  <c r="Q22" i="2"/>
  <c r="Q25" i="2"/>
  <c r="Q26" i="2"/>
  <c r="Q19" i="2"/>
  <c r="Z79" i="109"/>
  <c r="X80" i="109"/>
  <c r="Z88" i="109"/>
  <c r="X89" i="109"/>
  <c r="Q40" i="118"/>
  <c r="Q42" i="118"/>
  <c r="Z38" i="118"/>
  <c r="N13" i="86"/>
  <c r="N7" i="86" s="1"/>
  <c r="U109" i="109"/>
  <c r="U108" i="109"/>
  <c r="AG30" i="118" l="1"/>
  <c r="Z70" i="109"/>
  <c r="Z21" i="109"/>
  <c r="AC21" i="109" s="1"/>
  <c r="Z73" i="109"/>
  <c r="H21" i="110"/>
  <c r="H20" i="110" s="1"/>
  <c r="Z27" i="109"/>
  <c r="AC27" i="109" s="1"/>
  <c r="S40" i="102"/>
  <c r="S41" i="102"/>
  <c r="W40" i="102"/>
  <c r="W41" i="102"/>
  <c r="U11" i="2"/>
  <c r="V96" i="109"/>
  <c r="V9" i="109"/>
  <c r="V100" i="109"/>
  <c r="V106" i="109"/>
  <c r="V107" i="109"/>
  <c r="V109" i="109" s="1"/>
  <c r="Z17" i="109"/>
  <c r="Z54" i="109" s="1"/>
  <c r="AC54" i="109" s="1"/>
  <c r="V131" i="109"/>
  <c r="V97" i="109"/>
  <c r="V128" i="109"/>
  <c r="V134" i="109"/>
  <c r="I22" i="110"/>
  <c r="J22" i="110" s="1"/>
  <c r="Z23" i="109"/>
  <c r="AC23" i="109" s="1"/>
  <c r="W19" i="118"/>
  <c r="W18" i="118" s="1"/>
  <c r="W38" i="118" s="1"/>
  <c r="W42" i="118" s="1"/>
  <c r="T40" i="118"/>
  <c r="Z12" i="109"/>
  <c r="AC12" i="109" s="1"/>
  <c r="AE18" i="2"/>
  <c r="AE12" i="2" s="1"/>
  <c r="Z76" i="109"/>
  <c r="AA89" i="109"/>
  <c r="Y111" i="109"/>
  <c r="Y112" i="109" s="1"/>
  <c r="Y11" i="109"/>
  <c r="Z11" i="109" s="1"/>
  <c r="AC11" i="109" s="1"/>
  <c r="Y82" i="109"/>
  <c r="Z25" i="109"/>
  <c r="AC25" i="109" s="1"/>
  <c r="AA71" i="109"/>
  <c r="Y85" i="109"/>
  <c r="Z26" i="109"/>
  <c r="AC26" i="109" s="1"/>
  <c r="AA80" i="109"/>
  <c r="R7" i="118"/>
  <c r="AO30" i="118"/>
  <c r="AO29" i="118"/>
  <c r="AN29" i="118"/>
  <c r="AN30" i="118"/>
  <c r="X16" i="109"/>
  <c r="X44" i="109" s="1"/>
  <c r="O9" i="86"/>
  <c r="O8" i="86" s="1"/>
  <c r="X64" i="109"/>
  <c r="V29" i="102"/>
  <c r="U25" i="102"/>
  <c r="U19" i="102" s="1"/>
  <c r="U18" i="102" s="1"/>
  <c r="U38" i="102" s="1"/>
  <c r="U41" i="102" s="1"/>
  <c r="Y18" i="118"/>
  <c r="P38" i="118"/>
  <c r="P6" i="118" s="1"/>
  <c r="V29" i="118"/>
  <c r="U29" i="118" s="1"/>
  <c r="U25" i="118"/>
  <c r="U19" i="118" s="1"/>
  <c r="U18" i="118" s="1"/>
  <c r="U38" i="118" s="1"/>
  <c r="U42" i="118" s="1"/>
  <c r="X19" i="118"/>
  <c r="O18" i="118"/>
  <c r="V19" i="102"/>
  <c r="V18" i="102" s="1"/>
  <c r="V38" i="102" s="1"/>
  <c r="M17" i="86"/>
  <c r="R29" i="102"/>
  <c r="Z22" i="109"/>
  <c r="AC22" i="109" s="1"/>
  <c r="Y67" i="109"/>
  <c r="Y20" i="109"/>
  <c r="Y18" i="102"/>
  <c r="W44" i="109"/>
  <c r="W48" i="109"/>
  <c r="W51" i="109"/>
  <c r="W101" i="109"/>
  <c r="W102" i="109" s="1"/>
  <c r="W46" i="109"/>
  <c r="W10" i="109"/>
  <c r="AB141" i="125" s="1"/>
  <c r="V19" i="118"/>
  <c r="V18" i="118" s="1"/>
  <c r="V38" i="118" s="1"/>
  <c r="V6" i="118" s="1"/>
  <c r="I17" i="86"/>
  <c r="I13" i="86" s="1"/>
  <c r="I7" i="86" s="1"/>
  <c r="I25" i="86" s="1"/>
  <c r="J13" i="86"/>
  <c r="J7" i="86" s="1"/>
  <c r="O18" i="102"/>
  <c r="X19" i="102"/>
  <c r="X119" i="109"/>
  <c r="X116" i="109"/>
  <c r="Z60" i="109"/>
  <c r="AC60" i="109" s="1"/>
  <c r="AC19" i="109"/>
  <c r="AA112" i="109"/>
  <c r="X113" i="109"/>
  <c r="Z11" i="2"/>
  <c r="AB12" i="2"/>
  <c r="X99" i="109"/>
  <c r="AC18" i="109"/>
  <c r="Z57" i="109"/>
  <c r="AC57" i="109" s="1"/>
  <c r="AA92" i="109"/>
  <c r="Z111" i="109"/>
  <c r="Q13" i="86"/>
  <c r="Q7" i="86" s="1"/>
  <c r="Z42" i="118"/>
  <c r="Z40" i="118"/>
  <c r="V18" i="2" l="1"/>
  <c r="AF15" i="2"/>
  <c r="AF16" i="2"/>
  <c r="V26" i="2"/>
  <c r="V15" i="2"/>
  <c r="Y98" i="109"/>
  <c r="Y99" i="109" s="1"/>
  <c r="AA99" i="109" s="1"/>
  <c r="AA33" i="2"/>
  <c r="AA19" i="2"/>
  <c r="AA14" i="2"/>
  <c r="V13" i="2"/>
  <c r="V14" i="2"/>
  <c r="W11" i="2"/>
  <c r="AA28" i="2"/>
  <c r="AF25" i="2"/>
  <c r="AA34" i="2"/>
  <c r="AF19" i="2"/>
  <c r="V29" i="2"/>
  <c r="AA23" i="2"/>
  <c r="AF24" i="2"/>
  <c r="AF31" i="2"/>
  <c r="AF20" i="2"/>
  <c r="AA12" i="2"/>
  <c r="AA27" i="2"/>
  <c r="AF37" i="2"/>
  <c r="V30" i="2"/>
  <c r="AA35" i="2"/>
  <c r="V31" i="2"/>
  <c r="V27" i="2"/>
  <c r="AA18" i="2"/>
  <c r="AC17" i="109"/>
  <c r="AF28" i="2"/>
  <c r="AA30" i="2"/>
  <c r="AF34" i="2"/>
  <c r="V19" i="2"/>
  <c r="AF14" i="2"/>
  <c r="AF13" i="2"/>
  <c r="AA29" i="2"/>
  <c r="V16" i="2"/>
  <c r="V24" i="2"/>
  <c r="AF27" i="2"/>
  <c r="V32" i="2"/>
  <c r="V20" i="2"/>
  <c r="AA25" i="2"/>
  <c r="V28" i="2"/>
  <c r="AA20" i="2"/>
  <c r="V12" i="2"/>
  <c r="AA31" i="2"/>
  <c r="AA37" i="2"/>
  <c r="AF30" i="2"/>
  <c r="V33" i="2"/>
  <c r="V40" i="102"/>
  <c r="V41" i="102"/>
  <c r="AF26" i="2"/>
  <c r="V25" i="2"/>
  <c r="V37" i="2"/>
  <c r="V35" i="2"/>
  <c r="AA21" i="2"/>
  <c r="AF29" i="2"/>
  <c r="AF32" i="2"/>
  <c r="AA13" i="2"/>
  <c r="AA32" i="2"/>
  <c r="V11" i="2"/>
  <c r="V21" i="2"/>
  <c r="AF33" i="2"/>
  <c r="V23" i="2"/>
  <c r="AF23" i="2"/>
  <c r="AA24" i="2"/>
  <c r="V22" i="2"/>
  <c r="AF22" i="2"/>
  <c r="AA26" i="2"/>
  <c r="AA16" i="2"/>
  <c r="AF35" i="2"/>
  <c r="AF21" i="2"/>
  <c r="AA22" i="2"/>
  <c r="V34" i="2"/>
  <c r="AA15" i="2"/>
  <c r="V108" i="109"/>
  <c r="AG18" i="2"/>
  <c r="W40" i="118"/>
  <c r="Z49" i="109"/>
  <c r="I23" i="110"/>
  <c r="J23" i="110" s="1"/>
  <c r="Y110" i="109"/>
  <c r="Z110" i="109" s="1"/>
  <c r="AF18" i="2"/>
  <c r="Y83" i="109"/>
  <c r="AA83" i="109" s="1"/>
  <c r="Z82" i="109"/>
  <c r="Y86" i="109"/>
  <c r="AA86" i="109" s="1"/>
  <c r="Z85" i="109"/>
  <c r="X10" i="109"/>
  <c r="AC141" i="125" s="1"/>
  <c r="AD141" i="125" s="1"/>
  <c r="X48" i="109"/>
  <c r="P7" i="118"/>
  <c r="Q6" i="118"/>
  <c r="Q7" i="118" s="1"/>
  <c r="V7" i="118"/>
  <c r="W6" i="118"/>
  <c r="W7" i="118" s="1"/>
  <c r="AM30" i="118"/>
  <c r="AM29" i="118"/>
  <c r="X46" i="109"/>
  <c r="X101" i="109"/>
  <c r="X102" i="109" s="1"/>
  <c r="X51" i="109"/>
  <c r="X72" i="109" s="1"/>
  <c r="Y38" i="102"/>
  <c r="P40" i="102"/>
  <c r="X18" i="118"/>
  <c r="O38" i="118"/>
  <c r="P40" i="118"/>
  <c r="P42" i="118"/>
  <c r="Y38" i="118"/>
  <c r="Y6" i="118" s="1"/>
  <c r="V42" i="118"/>
  <c r="V40" i="118"/>
  <c r="W65" i="109"/>
  <c r="W62" i="109"/>
  <c r="W72" i="109"/>
  <c r="W78" i="109"/>
  <c r="W59" i="109"/>
  <c r="W87" i="109"/>
  <c r="W81" i="109"/>
  <c r="W56" i="109"/>
  <c r="W53" i="109"/>
  <c r="W93" i="109"/>
  <c r="W90" i="109"/>
  <c r="W52" i="109"/>
  <c r="W75" i="109"/>
  <c r="W84" i="109"/>
  <c r="W69" i="109"/>
  <c r="O38" i="102"/>
  <c r="X18" i="102"/>
  <c r="W8" i="109"/>
  <c r="W138" i="109"/>
  <c r="W95" i="109"/>
  <c r="W94" i="109"/>
  <c r="W47" i="109"/>
  <c r="AD141" i="107"/>
  <c r="W139" i="109"/>
  <c r="Z20" i="109"/>
  <c r="Y63" i="109"/>
  <c r="Y64" i="109" s="1"/>
  <c r="AA64" i="109" s="1"/>
  <c r="Y16" i="109"/>
  <c r="M13" i="86"/>
  <c r="M7" i="86" s="1"/>
  <c r="L17" i="86"/>
  <c r="L13" i="86" s="1"/>
  <c r="L7" i="86" s="1"/>
  <c r="L25" i="86" s="1"/>
  <c r="Z67" i="109"/>
  <c r="Y68" i="109"/>
  <c r="AA68" i="109" s="1"/>
  <c r="P17" i="86"/>
  <c r="U29" i="102"/>
  <c r="AB11" i="2"/>
  <c r="AA11" i="2"/>
  <c r="AF12" i="2"/>
  <c r="AE11" i="2"/>
  <c r="AG12" i="2"/>
  <c r="Y7" i="118" l="1"/>
  <c r="Z6" i="118"/>
  <c r="Z7" i="118" s="1"/>
  <c r="Y113" i="109"/>
  <c r="Z98" i="109"/>
  <c r="X38" i="102"/>
  <c r="X41" i="102" s="1"/>
  <c r="O41" i="102"/>
  <c r="Y40" i="102"/>
  <c r="Y41" i="102"/>
  <c r="Y116" i="109"/>
  <c r="Y119" i="109"/>
  <c r="I21" i="110"/>
  <c r="I20" i="110" s="1"/>
  <c r="J20" i="110" s="1"/>
  <c r="X62" i="109"/>
  <c r="X90" i="109"/>
  <c r="X84" i="109"/>
  <c r="X59" i="109"/>
  <c r="X75" i="109"/>
  <c r="X65" i="109"/>
  <c r="X78" i="109"/>
  <c r="X138" i="109"/>
  <c r="AE141" i="107"/>
  <c r="AF141" i="107" s="1"/>
  <c r="X47" i="109"/>
  <c r="X8" i="109"/>
  <c r="X139" i="109"/>
  <c r="X95" i="109"/>
  <c r="X94" i="109"/>
  <c r="U7" i="118"/>
  <c r="AR30" i="118"/>
  <c r="AR29" i="118"/>
  <c r="AQ29" i="118"/>
  <c r="AQ30" i="118"/>
  <c r="O7" i="118"/>
  <c r="AL29" i="118"/>
  <c r="AL30" i="118"/>
  <c r="AK29" i="118"/>
  <c r="AK30" i="118"/>
  <c r="X53" i="109"/>
  <c r="X81" i="109"/>
  <c r="X69" i="109"/>
  <c r="X52" i="109"/>
  <c r="X56" i="109"/>
  <c r="X87" i="109"/>
  <c r="X93" i="109"/>
  <c r="W9" i="109"/>
  <c r="W128" i="109"/>
  <c r="W137" i="109"/>
  <c r="W131" i="109"/>
  <c r="W134" i="109"/>
  <c r="O42" i="118"/>
  <c r="X38" i="118"/>
  <c r="X42" i="118" s="1"/>
  <c r="AC20" i="109"/>
  <c r="Z63" i="109"/>
  <c r="AC63" i="109" s="1"/>
  <c r="Y42" i="118"/>
  <c r="Y40" i="118"/>
  <c r="P13" i="86"/>
  <c r="P7" i="86" s="1"/>
  <c r="O17" i="86"/>
  <c r="O13" i="86" s="1"/>
  <c r="O7" i="86" s="1"/>
  <c r="O25" i="86" s="1"/>
  <c r="W103" i="109"/>
  <c r="W97" i="109"/>
  <c r="W107" i="109"/>
  <c r="W100" i="109"/>
  <c r="W96" i="109"/>
  <c r="W106" i="109"/>
  <c r="Y101" i="109"/>
  <c r="Y10" i="109"/>
  <c r="Y44" i="109"/>
  <c r="Y46" i="109"/>
  <c r="Y48" i="109"/>
  <c r="Y51" i="109"/>
  <c r="Z16" i="109"/>
  <c r="AF11" i="2"/>
  <c r="AG11" i="2"/>
  <c r="Z116" i="109"/>
  <c r="Z119" i="109"/>
  <c r="Z113" i="109"/>
  <c r="X7" i="118" l="1"/>
  <c r="J21" i="110"/>
  <c r="X9" i="109"/>
  <c r="X128" i="109"/>
  <c r="X137" i="109"/>
  <c r="X131" i="109"/>
  <c r="X134" i="109"/>
  <c r="X96" i="109"/>
  <c r="X106" i="109"/>
  <c r="X103" i="109"/>
  <c r="X97" i="109"/>
  <c r="X107" i="109"/>
  <c r="X100" i="109"/>
  <c r="AJ30" i="118"/>
  <c r="AJ29" i="118"/>
  <c r="AP29" i="118"/>
  <c r="AP30" i="118"/>
  <c r="Y102" i="109"/>
  <c r="AA102" i="109" s="1"/>
  <c r="Z101" i="109"/>
  <c r="W109" i="109"/>
  <c r="W108" i="109"/>
  <c r="Z46" i="109"/>
  <c r="Z44" i="109"/>
  <c r="AC16" i="109"/>
  <c r="Z51" i="109"/>
  <c r="Z48" i="109"/>
  <c r="Y65" i="109"/>
  <c r="Y56" i="109"/>
  <c r="Y81" i="109"/>
  <c r="Y90" i="109"/>
  <c r="Y52" i="109"/>
  <c r="AA52" i="109" s="1"/>
  <c r="Y53" i="109"/>
  <c r="Y84" i="109"/>
  <c r="Y78" i="109"/>
  <c r="Y75" i="109"/>
  <c r="Y59" i="109"/>
  <c r="Y87" i="109"/>
  <c r="Y69" i="109"/>
  <c r="Y62" i="109"/>
  <c r="Y93" i="109"/>
  <c r="Y72" i="109"/>
  <c r="Z10" i="109"/>
  <c r="Y94" i="109"/>
  <c r="AA94" i="109" s="1"/>
  <c r="Y47" i="109"/>
  <c r="Y139" i="109"/>
  <c r="Z139" i="109" s="1"/>
  <c r="Y8" i="109"/>
  <c r="Y95" i="109"/>
  <c r="Y138" i="109"/>
  <c r="Z138" i="109" s="1"/>
  <c r="X108" i="109" l="1"/>
  <c r="X109" i="109"/>
  <c r="Y103" i="109"/>
  <c r="Z103" i="109" s="1"/>
  <c r="Y106" i="109"/>
  <c r="Y96" i="109"/>
  <c r="AA96" i="109" s="1"/>
  <c r="Y107" i="109"/>
  <c r="Y100" i="109"/>
  <c r="Z100" i="109" s="1"/>
  <c r="AC100" i="109" s="1"/>
  <c r="Y97" i="109"/>
  <c r="Z95" i="109"/>
  <c r="Y9" i="109"/>
  <c r="Y131" i="109"/>
  <c r="Z131" i="109" s="1"/>
  <c r="Y137" i="109"/>
  <c r="Z137" i="109" s="1"/>
  <c r="Y134" i="109"/>
  <c r="Z134" i="109" s="1"/>
  <c r="Y128" i="109"/>
  <c r="Z128" i="109" s="1"/>
  <c r="AC128" i="109" s="1"/>
  <c r="AB14" i="109"/>
  <c r="AB12" i="109"/>
  <c r="AB21" i="109"/>
  <c r="AB18" i="109"/>
  <c r="AB33" i="109"/>
  <c r="AB28" i="109"/>
  <c r="AB20" i="109"/>
  <c r="AB17" i="109"/>
  <c r="AB34" i="109"/>
  <c r="AB30" i="109"/>
  <c r="AB35" i="109"/>
  <c r="AB24" i="109"/>
  <c r="AB27" i="109"/>
  <c r="AB22" i="109"/>
  <c r="AB29" i="109"/>
  <c r="AB13" i="109"/>
  <c r="AC10" i="109"/>
  <c r="Z47" i="109"/>
  <c r="AB32" i="109"/>
  <c r="AB25" i="109"/>
  <c r="AB31" i="109"/>
  <c r="Z8" i="109"/>
  <c r="AB11" i="109"/>
  <c r="AB10" i="109"/>
  <c r="AB19" i="109"/>
  <c r="AB26" i="109"/>
  <c r="AB23" i="109"/>
  <c r="AB73" i="109"/>
  <c r="AB53" i="109"/>
  <c r="AB70" i="109"/>
  <c r="AB82" i="109"/>
  <c r="AB63" i="109"/>
  <c r="Z56" i="109"/>
  <c r="AB51" i="109"/>
  <c r="AB85" i="109"/>
  <c r="AB91" i="109"/>
  <c r="Z65" i="109"/>
  <c r="AC51" i="109"/>
  <c r="Z59" i="109"/>
  <c r="AB57" i="109"/>
  <c r="AB54" i="109"/>
  <c r="AB88" i="109"/>
  <c r="AB76" i="109"/>
  <c r="AB67" i="109"/>
  <c r="AB60" i="109"/>
  <c r="Z62" i="109"/>
  <c r="AB79" i="109"/>
  <c r="AB16" i="109"/>
  <c r="Z9" i="109" l="1"/>
  <c r="AA9" i="109"/>
  <c r="Y108" i="109"/>
  <c r="AA108" i="109" s="1"/>
  <c r="Y109" i="109"/>
  <c r="Z107" i="109"/>
  <c r="Z109" i="109" s="1"/>
  <c r="AB95" i="109"/>
  <c r="Z106" i="109"/>
  <c r="AB129" i="109"/>
  <c r="AC8" i="109"/>
  <c r="AB97" i="109"/>
  <c r="Z97" i="109"/>
</calcChain>
</file>

<file path=xl/comments1.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10.xml><?xml version="1.0" encoding="utf-8"?>
<comments xmlns="http://schemas.openxmlformats.org/spreadsheetml/2006/main">
  <authors>
    <author>quangbx</author>
    <author>Quangbxdth</author>
    <author>Quangbx</author>
    <author>Windows User</author>
    <author>quangbxdth</author>
  </authors>
  <commentList>
    <comment ref="K11" authorId="0" shapeId="0">
      <text>
        <r>
          <rPr>
            <b/>
            <sz val="10"/>
            <color indexed="81"/>
            <rFont val="Tahoma"/>
            <family val="2"/>
          </rPr>
          <t>quangbx:</t>
        </r>
        <r>
          <rPr>
            <sz val="10"/>
            <color indexed="81"/>
            <rFont val="Tahoma"/>
            <family val="2"/>
          </rPr>
          <t xml:space="preserve">
- Tw giao chi cân đối NSĐP: 13.307.296 trđ
Đã bao gồm tiền lương 1.490.000 đồng/tháng và bội thu 11.500 trđ và vay 61.200 trđ, nếu không kể bội thu thì chi NSĐP 13.234.596 trđ
- ĐP: 14.124.109 trđ, cao hơn số Tw giao số tiền: 816.813 trđ (14.124.109 trđ - 13.307.296 trđ), gồm:
+ thu chuyển nguồn CCTL năm trước chuyển sang: 816.873 trđ</t>
        </r>
      </text>
    </comment>
    <comment ref="K12" authorId="0" shapeId="0">
      <text>
        <r>
          <rPr>
            <b/>
            <sz val="10"/>
            <color indexed="81"/>
            <rFont val="Tahoma"/>
            <family val="2"/>
          </rPr>
          <t>quangbx:</t>
        </r>
        <r>
          <rPr>
            <sz val="10"/>
            <color indexed="81"/>
            <rFont val="Tahoma"/>
            <family val="2"/>
          </rPr>
          <t xml:space="preserve">
Tw giao chi cân đối NSĐP: 11.565.820 trđ
Đã bao gồm tiền lương 1.490.000 đồng/tháng và bội thu 11.500 trđ, nếu không kể bội thu thì chi cân đối NSĐP 11.554.320 trđ</t>
        </r>
      </text>
    </comment>
    <comment ref="K13" authorId="1" shapeId="0">
      <text>
        <r>
          <rPr>
            <b/>
            <sz val="9"/>
            <color indexed="81"/>
            <rFont val="Tahoma"/>
            <family val="2"/>
          </rPr>
          <t>Quangbxdth:</t>
        </r>
        <r>
          <rPr>
            <sz val="9"/>
            <color indexed="81"/>
            <rFont val="Tahoma"/>
            <family val="2"/>
          </rPr>
          <t xml:space="preserve">
TW hướng dẫn: 3.224.980 triệu đồng, trong đó: TSDĐ: 750.000 triệu đồng, XSKT: 1.500.000 triệu đồng, XDCBTT: 974.980 triệu đồng, trong đó: Bội chi từ nguồn bội thu theo kế hoạch phải thu phải trả năm 2021 cho  NHPT: 11.500 triệu đồng
CL: 156.505 triệu đồng
(Công văn số 6842/BKHDT-TH ngày 16/10/2020 của Bộ Kế hoạch &amp; Đầu tư V/v phân bổ Kế hoạch đầu tư vốn NSNN năm 2021)</t>
        </r>
      </text>
    </comment>
    <comment ref="C14" authorId="2" shapeId="0">
      <text>
        <r>
          <rPr>
            <b/>
            <sz val="9"/>
            <color indexed="81"/>
            <rFont val="Tahoma"/>
            <family val="2"/>
          </rPr>
          <t>Quangbx:</t>
        </r>
        <r>
          <rPr>
            <sz val="9"/>
            <color indexed="81"/>
            <rFont val="Tahoma"/>
            <family val="2"/>
          </rPr>
          <t xml:space="preserve">
-- Tw hướng dẫn: 1.067.085 trđ, trong đó chưa kể phần trả nợ gốc </t>
        </r>
        <r>
          <rPr>
            <sz val="9"/>
            <color indexed="53"/>
            <rFont val="Tahoma"/>
            <family val="2"/>
          </rPr>
          <t>64,4</t>
        </r>
        <r>
          <rPr>
            <sz val="9"/>
            <color indexed="81"/>
            <rFont val="Tahoma"/>
            <family val="2"/>
          </rPr>
          <t xml:space="preserve"> tỷ đồng</t>
        </r>
      </text>
    </comment>
    <comment ref="K14" authorId="2" shapeId="0">
      <text>
        <r>
          <rPr>
            <b/>
            <sz val="9"/>
            <color indexed="81"/>
            <rFont val="Tahoma"/>
            <family val="2"/>
          </rPr>
          <t>Quangbx:</t>
        </r>
        <r>
          <rPr>
            <sz val="9"/>
            <color indexed="81"/>
            <rFont val="Tahoma"/>
            <family val="2"/>
          </rPr>
          <t xml:space="preserve">
-- Tw hướng dẫn:  974.980 trđ, trong đó  phần trả nợ gốc 11</t>
        </r>
        <r>
          <rPr>
            <sz val="9"/>
            <color indexed="53"/>
            <rFont val="Tahoma"/>
            <family val="2"/>
          </rPr>
          <t>,500</t>
        </r>
        <r>
          <rPr>
            <sz val="9"/>
            <color indexed="81"/>
            <rFont val="Tahoma"/>
            <family val="2"/>
          </rPr>
          <t xml:space="preserve"> tỷ đồng
CL: 145.005 trđ</t>
        </r>
      </text>
    </comment>
    <comment ref="K18" authorId="1" shapeId="0">
      <text>
        <r>
          <rPr>
            <b/>
            <sz val="9"/>
            <color indexed="81"/>
            <rFont val="Tahoma"/>
            <family val="2"/>
          </rPr>
          <t>Quangbxdth:</t>
        </r>
        <r>
          <rPr>
            <sz val="9"/>
            <color indexed="81"/>
            <rFont val="Tahoma"/>
            <family val="2"/>
          </rPr>
          <t xml:space="preserve">
Tw hướng dẫn: 8.094.524 trđ</t>
        </r>
      </text>
    </comment>
    <comment ref="C20" authorId="2" shapeId="0">
      <text>
        <r>
          <rPr>
            <b/>
            <sz val="9"/>
            <color indexed="81"/>
            <rFont val="Tahoma"/>
            <family val="2"/>
          </rPr>
          <t>Quangbx:</t>
        </r>
        <r>
          <rPr>
            <sz val="9"/>
            <color indexed="81"/>
            <rFont val="Tahoma"/>
            <family val="2"/>
          </rPr>
          <t xml:space="preserve">
Tw hướng dẫn: 99.374 trđ
(CL: 44.095 trđ)</t>
        </r>
      </text>
    </comment>
    <comment ref="K20" authorId="2" shapeId="0">
      <text>
        <r>
          <rPr>
            <b/>
            <sz val="9"/>
            <color indexed="81"/>
            <rFont val="Tahoma"/>
            <family val="2"/>
          </rPr>
          <t>Quangbx:</t>
        </r>
        <r>
          <rPr>
            <sz val="9"/>
            <color indexed="81"/>
            <rFont val="Tahoma"/>
            <family val="2"/>
          </rPr>
          <t xml:space="preserve">
Tw hướng dẫn: 98.085 trđ
(CL: 45.385 trđ)</t>
        </r>
      </text>
    </comment>
    <comment ref="C22" authorId="3" shapeId="0">
      <text>
        <r>
          <rPr>
            <b/>
            <sz val="9"/>
            <color indexed="81"/>
            <rFont val="Tahoma"/>
            <family val="2"/>
          </rPr>
          <t>quangbx:</t>
        </r>
        <r>
          <rPr>
            <sz val="9"/>
            <color indexed="81"/>
            <rFont val="Tahoma"/>
            <family val="2"/>
          </rPr>
          <t xml:space="preserve">
Tw hướng dẫn: 27.381 trđ</t>
        </r>
      </text>
    </comment>
    <comment ref="K22" authorId="3" shapeId="0">
      <text>
        <r>
          <rPr>
            <b/>
            <sz val="9"/>
            <color indexed="81"/>
            <rFont val="Tahoma"/>
            <family val="2"/>
          </rPr>
          <t>quangbx:</t>
        </r>
        <r>
          <rPr>
            <sz val="9"/>
            <color indexed="81"/>
            <rFont val="Tahoma"/>
            <family val="2"/>
          </rPr>
          <t xml:space="preserve">
Tw hướng dẫn: 27.026 trđ, CL 3.974 trđ</t>
        </r>
      </text>
    </comment>
    <comment ref="K23" authorId="4" shapeId="0">
      <text>
        <r>
          <rPr>
            <b/>
            <sz val="9"/>
            <color indexed="81"/>
            <rFont val="Tahoma"/>
            <family val="2"/>
          </rPr>
          <t>quangbxdth:</t>
        </r>
        <r>
          <rPr>
            <sz val="9"/>
            <color indexed="81"/>
            <rFont val="Tahoma"/>
            <family val="2"/>
          </rPr>
          <t xml:space="preserve">
TW hướng dẫn: 3.605.724 trđ (ngảy 20/10/2020), giảm so với dự toán 2020: 37.661 trđ
</t>
        </r>
      </text>
    </comment>
    <comment ref="K32" authorId="0" shapeId="0">
      <text>
        <r>
          <rPr>
            <b/>
            <sz val="8"/>
            <color indexed="81"/>
            <rFont val="Tahoma"/>
            <family val="2"/>
          </rPr>
          <t>quangbx:</t>
        </r>
        <r>
          <rPr>
            <sz val="8"/>
            <color indexed="81"/>
            <rFont val="Tahoma"/>
            <family val="2"/>
          </rPr>
          <t xml:space="preserve">
TW hướng dẫn: 1.400 trđ</t>
        </r>
      </text>
    </comment>
    <comment ref="C33" authorId="0" shapeId="0">
      <text>
        <r>
          <rPr>
            <b/>
            <sz val="8"/>
            <color indexed="81"/>
            <rFont val="Tahoma"/>
            <family val="2"/>
          </rPr>
          <t>quangbx:</t>
        </r>
        <r>
          <rPr>
            <sz val="8"/>
            <color indexed="81"/>
            <rFont val="Tahoma"/>
            <family val="2"/>
          </rPr>
          <t xml:space="preserve">
TW hướng dẫn: 232.040 trđ
TW hướng dẫn: 233.960 trđ (ngày 21/10/2019)</t>
        </r>
      </text>
    </comment>
    <comment ref="K33" authorId="0" shapeId="0">
      <text>
        <r>
          <rPr>
            <b/>
            <sz val="8"/>
            <color indexed="81"/>
            <rFont val="Tahoma"/>
            <family val="2"/>
          </rPr>
          <t>quangbx:</t>
        </r>
        <r>
          <rPr>
            <sz val="8"/>
            <color indexed="81"/>
            <rFont val="Tahoma"/>
            <family val="2"/>
          </rPr>
          <t xml:space="preserve">
TW hướng dẫn: 231.316 trđ, CL 2.644 trđ
</t>
        </r>
      </text>
    </comment>
    <comment ref="K35" authorId="1" shapeId="0">
      <text>
        <r>
          <rPr>
            <b/>
            <sz val="9"/>
            <color indexed="81"/>
            <rFont val="Tahoma"/>
            <family val="2"/>
          </rPr>
          <t>Quangbxdth:</t>
        </r>
        <r>
          <rPr>
            <sz val="9"/>
            <color indexed="81"/>
            <rFont val="Tahoma"/>
            <family val="2"/>
          </rPr>
          <t xml:space="preserve">
tạo nguồn và tích lũy cho giai đoạn 2021-2025</t>
        </r>
      </text>
    </comment>
    <comment ref="C36" authorId="4" shapeId="0">
      <text>
        <r>
          <rPr>
            <b/>
            <sz val="9"/>
            <color indexed="81"/>
            <rFont val="Tahoma"/>
            <family val="2"/>
          </rPr>
          <t>quangbxdth:</t>
        </r>
        <r>
          <rPr>
            <sz val="9"/>
            <color indexed="81"/>
            <rFont val="Tahoma"/>
            <family val="2"/>
          </rPr>
          <t xml:space="preserve">
+15 tỷ đồng x 2%=300 trđ</t>
        </r>
      </text>
    </comment>
    <comment ref="K36" authorId="4" shapeId="0">
      <text>
        <r>
          <rPr>
            <b/>
            <sz val="9"/>
            <color indexed="81"/>
            <rFont val="Tahoma"/>
            <family val="2"/>
          </rPr>
          <t>quangbxdth:</t>
        </r>
        <r>
          <rPr>
            <sz val="9"/>
            <color indexed="81"/>
            <rFont val="Tahoma"/>
            <family val="2"/>
          </rPr>
          <t xml:space="preserve">
TW hướng dẫn: 2.100 trđ</t>
        </r>
      </text>
    </comment>
    <comment ref="D39" authorId="2" shapeId="0">
      <text>
        <r>
          <rPr>
            <b/>
            <sz val="8"/>
            <color indexed="81"/>
            <rFont val="Tahoma"/>
            <family val="2"/>
          </rPr>
          <t>Quangbx:
Tổng cộng: 8,000 trđ</t>
        </r>
        <r>
          <rPr>
            <sz val="8"/>
            <color indexed="81"/>
            <rFont val="Tahoma"/>
            <family val="2"/>
          </rPr>
          <t xml:space="preserve">
+Nâng cấp đô thi: 5,000 trđ
+Hỗ trợ kinh phí đảm bảo chế độ mới do NSĐP không đảm bảo nguồn: 3,000 trđ</t>
        </r>
      </text>
    </comment>
    <comment ref="K39" authorId="0" shapeId="0">
      <text>
        <r>
          <rPr>
            <b/>
            <sz val="8"/>
            <color indexed="81"/>
            <rFont val="Tahoma"/>
            <family val="2"/>
          </rPr>
          <t>quangbx:</t>
        </r>
        <r>
          <rPr>
            <sz val="8"/>
            <color indexed="81"/>
            <rFont val="Tahoma"/>
            <family val="2"/>
          </rPr>
          <t xml:space="preserve">
B</t>
        </r>
        <r>
          <rPr>
            <sz val="10"/>
            <color indexed="81"/>
            <rFont val="Tahoma"/>
            <family val="2"/>
          </rPr>
          <t xml:space="preserve">ao gồm:
 + Chi đầu tư từ nguồn vốn ngoài nước 450.213 triệu đồng
 + Chi đầu tư vốn trong nước: 128.900 trđ </t>
        </r>
      </text>
    </comment>
  </commentList>
</comments>
</file>

<file path=xl/comments11.xml><?xml version="1.0" encoding="utf-8"?>
<comments xmlns="http://schemas.openxmlformats.org/spreadsheetml/2006/main">
  <authors>
    <author>quangbxdth</author>
    <author>Administrator</author>
    <author>Quangbxdth</author>
  </authors>
  <commentList>
    <comment ref="K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N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Q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T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W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K15"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AA17" authorId="1" shapeId="0">
      <text>
        <r>
          <rPr>
            <b/>
            <sz val="8"/>
            <color indexed="81"/>
            <rFont val="Tahoma"/>
            <family val="2"/>
          </rPr>
          <t>Administrator:</t>
        </r>
        <r>
          <rPr>
            <sz val="8"/>
            <color indexed="81"/>
            <rFont val="Tahoma"/>
            <family val="2"/>
          </rPr>
          <t xml:space="preserve">
50% tăng thu so với dự toán HĐND giao</t>
        </r>
      </text>
    </comment>
    <comment ref="F38" authorId="2" shapeId="0">
      <text>
        <r>
          <rPr>
            <b/>
            <sz val="9"/>
            <color indexed="81"/>
            <rFont val="Tahoma"/>
            <family val="2"/>
          </rPr>
          <t>Quangbxdth:</t>
        </r>
        <r>
          <rPr>
            <sz val="9"/>
            <color indexed="81"/>
            <rFont val="Tahoma"/>
            <family val="2"/>
          </rPr>
          <t xml:space="preserve">
Giải pháp điều hành NSĐP do hụt thu không kể thu tiền sử dụng đất, thu xổ số kiến thiết: 688.340 triệu đồng, dự kiến gồm:
-Huy động từ nguồn dự phòng NSĐP:
-Huy động từ nguồn 70% Quỹ dự trữ tài chính còn lại:
-Huy động kết dư NSĐP năm 2019:
-Huy động tăng thu NSĐP (phần 30% còn lại) năm 2019:
-Sử dụng tiền sử dụng đất, XSKT vượt dự toán để đảm bảo nhiệm vụ chi đầu tư XDCB tập trung: 308.704 triệu đồng.
-Dự kiến sử dụng nguồn CCTL dư (sẽ trình cấp có thẩm quyền xem xét, cho ý kiến trước khi thực hiện): 379.636 triệu đồng.</t>
        </r>
      </text>
    </comment>
  </commentList>
</comments>
</file>

<file path=xl/comments12.xml><?xml version="1.0" encoding="utf-8"?>
<comments xmlns="http://schemas.openxmlformats.org/spreadsheetml/2006/main">
  <authors>
    <author>Administrator</author>
    <author>Quangbxdth</author>
  </authors>
  <commentList>
    <comment ref="AA17" authorId="0" shapeId="0">
      <text>
        <r>
          <rPr>
            <b/>
            <sz val="8"/>
            <color indexed="81"/>
            <rFont val="Tahoma"/>
            <family val="2"/>
          </rPr>
          <t>Administrator:</t>
        </r>
        <r>
          <rPr>
            <sz val="8"/>
            <color indexed="81"/>
            <rFont val="Tahoma"/>
            <family val="2"/>
          </rPr>
          <t xml:space="preserve">
50% tăng thu so với dự toán HĐND giao</t>
        </r>
      </text>
    </comment>
    <comment ref="F38" authorId="1" shapeId="0">
      <text>
        <r>
          <rPr>
            <b/>
            <sz val="9"/>
            <color indexed="81"/>
            <rFont val="Tahoma"/>
            <family val="2"/>
          </rPr>
          <t>Quangbxdth:</t>
        </r>
        <r>
          <rPr>
            <sz val="9"/>
            <color indexed="81"/>
            <rFont val="Tahoma"/>
            <family val="2"/>
          </rPr>
          <t xml:space="preserve">
Giải pháp điều hành NSĐP do hụt thu không kể thu tiền sử dụng đất, thu xổ số kiến thiết: 688.340 triệu đồng, dự kiến gồm:
-Huy động từ nguồn dự phòng NSĐP:
-Huy động từ nguồn 70% Quỹ dự trữ tài chính còn lại:
-Huy động kết dư NSĐP năm 2019:
-Huy động tăng thu NSĐP (phần 30% còn lại) năm 2019:
-Sử dụng tiền sử dụng đất, XSKT vượt dự toán để đảm bảo nhiệm vụ chi đầu tư XDCB tập trung: 308.704 triệu đồng.
-Dự kiến sử dụng nguồn CCTL dư (sẽ trình cấp có thẩm quyền xem xét, cho ý kiến trước khi thực hiện): 379.636 triệu đồng.</t>
        </r>
      </text>
    </comment>
  </commentList>
</comments>
</file>

<file path=xl/comments13.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family val="2"/>
          </rPr>
          <t>Quangbxdth:</t>
        </r>
        <r>
          <rPr>
            <sz val="9"/>
            <color indexed="81"/>
            <rFont val="Tahoma"/>
            <family val="2"/>
          </rPr>
          <t xml:space="preserve">
Tổng chi SNKT: 483 tỷ đông</t>
        </r>
      </text>
    </comment>
    <comment ref="F9" authorId="0" shapeId="0">
      <text>
        <r>
          <rPr>
            <b/>
            <sz val="9"/>
            <color indexed="81"/>
            <rFont val="Tahoma"/>
            <family val="2"/>
          </rPr>
          <t>Quangbxdth:</t>
        </r>
        <r>
          <rPr>
            <sz val="9"/>
            <color indexed="81"/>
            <rFont val="Tahoma"/>
            <family val="2"/>
          </rPr>
          <t xml:space="preserve">
Tổng chi SNMT: 62 tỷ đồng</t>
        </r>
      </text>
    </comment>
    <comment ref="G9" authorId="0" shapeId="0">
      <text>
        <r>
          <rPr>
            <b/>
            <sz val="9"/>
            <color indexed="81"/>
            <rFont val="Tahoma"/>
            <family val="2"/>
          </rPr>
          <t>Quangbxdth:</t>
        </r>
        <r>
          <rPr>
            <sz val="9"/>
            <color indexed="81"/>
            <rFont val="Tahoma"/>
            <family val="2"/>
          </rPr>
          <t xml:space="preserve">
Tổng chi SNKHCN: 31 tỷ đồng</t>
        </r>
      </text>
    </comment>
    <comment ref="H9" authorId="0" shapeId="0">
      <text>
        <r>
          <rPr>
            <b/>
            <sz val="9"/>
            <color indexed="81"/>
            <rFont val="Tahoma"/>
            <family val="2"/>
          </rPr>
          <t>Quangbxdth:</t>
        </r>
        <r>
          <rPr>
            <sz val="9"/>
            <color indexed="81"/>
            <rFont val="Tahoma"/>
            <family val="2"/>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family val="2"/>
          </rPr>
          <t>Quangbxdth:</t>
        </r>
        <r>
          <rPr>
            <sz val="9"/>
            <color indexed="81"/>
            <rFont val="Tahoma"/>
            <family val="2"/>
          </rPr>
          <t xml:space="preserve">
Tổng chi SNYT: 770 tỷ đồng</t>
        </r>
      </text>
    </comment>
    <comment ref="J9" authorId="0" shapeId="0">
      <text>
        <r>
          <rPr>
            <b/>
            <sz val="9"/>
            <color indexed="81"/>
            <rFont val="Tahoma"/>
            <family val="2"/>
          </rPr>
          <t>Quangbxdth:</t>
        </r>
        <r>
          <rPr>
            <sz val="9"/>
            <color indexed="81"/>
            <rFont val="Tahoma"/>
            <family val="2"/>
          </rPr>
          <t xml:space="preserve">
Tổng chi SNVHTT: 40 tỷ đồng</t>
        </r>
      </text>
    </comment>
    <comment ref="K9" authorId="0" shapeId="0">
      <text>
        <r>
          <rPr>
            <b/>
            <sz val="9"/>
            <color indexed="81"/>
            <rFont val="Tahoma"/>
            <family val="2"/>
          </rPr>
          <t>Quangbxdth:</t>
        </r>
        <r>
          <rPr>
            <sz val="9"/>
            <color indexed="81"/>
            <rFont val="Tahoma"/>
            <family val="2"/>
          </rPr>
          <t xml:space="preserve">
Tổng chi SNPTTH: 7 tỷ đồng</t>
        </r>
      </text>
    </comment>
    <comment ref="L9" authorId="0" shapeId="0">
      <text>
        <r>
          <rPr>
            <b/>
            <sz val="9"/>
            <color indexed="81"/>
            <rFont val="Tahoma"/>
            <family val="2"/>
          </rPr>
          <t>Quangbxdth:</t>
        </r>
        <r>
          <rPr>
            <sz val="9"/>
            <color indexed="81"/>
            <rFont val="Tahoma"/>
            <family val="2"/>
          </rPr>
          <t xml:space="preserve">
Tổng chi SNTDTT: 22 tỷ đồng</t>
        </r>
      </text>
    </comment>
    <comment ref="M9" authorId="0" shapeId="0">
      <text>
        <r>
          <rPr>
            <b/>
            <sz val="9"/>
            <color indexed="81"/>
            <rFont val="Tahoma"/>
            <family val="2"/>
          </rPr>
          <t>Quangbxdth:</t>
        </r>
        <r>
          <rPr>
            <sz val="9"/>
            <color indexed="81"/>
            <rFont val="Tahoma"/>
            <family val="2"/>
          </rPr>
          <t xml:space="preserve">
Tổng chi SNĐBXH: 75 tỷ đồng</t>
        </r>
      </text>
    </comment>
    <comment ref="N9" authorId="0" shapeId="0">
      <text>
        <r>
          <rPr>
            <b/>
            <sz val="9"/>
            <color indexed="81"/>
            <rFont val="Tahoma"/>
            <family val="2"/>
          </rPr>
          <t>Quangbxdth:</t>
        </r>
        <r>
          <rPr>
            <sz val="9"/>
            <color indexed="81"/>
            <rFont val="Tahoma"/>
            <family val="2"/>
          </rPr>
          <t xml:space="preserve">
Tổng chi QLHC: 450 tỷ đồng</t>
        </r>
      </text>
    </comment>
    <comment ref="O9" authorId="0" shapeId="0">
      <text>
        <r>
          <rPr>
            <b/>
            <sz val="9"/>
            <color indexed="81"/>
            <rFont val="Tahoma"/>
            <family val="2"/>
          </rPr>
          <t>Quangbxdth:</t>
        </r>
        <r>
          <rPr>
            <sz val="9"/>
            <color indexed="81"/>
            <rFont val="Tahoma"/>
            <family val="2"/>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family val="2"/>
          </rPr>
          <t>Quangbxdth:</t>
        </r>
        <r>
          <rPr>
            <sz val="9"/>
            <color indexed="81"/>
            <rFont val="Tahoma"/>
            <family val="2"/>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family val="2"/>
          </rPr>
          <t>Quangbxdth:</t>
        </r>
        <r>
          <rPr>
            <sz val="9"/>
            <color indexed="81"/>
            <rFont val="Tahoma"/>
            <family val="2"/>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family val="2"/>
          </rPr>
          <t>Quangbxdth:</t>
        </r>
        <r>
          <rPr>
            <sz val="9"/>
            <color indexed="81"/>
            <rFont val="Tahoma"/>
            <family val="2"/>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family val="2"/>
          </rPr>
          <t>Quangbxdth:</t>
        </r>
        <r>
          <rPr>
            <sz val="9"/>
            <color indexed="81"/>
            <rFont val="Tahoma"/>
            <family val="2"/>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family val="2"/>
          </rPr>
          <t>Quangbxdth:</t>
        </r>
        <r>
          <rPr>
            <sz val="9"/>
            <color indexed="81"/>
            <rFont val="Tahoma"/>
            <family val="2"/>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14.xml><?xml version="1.0" encoding="utf-8"?>
<comments xmlns="http://schemas.openxmlformats.org/spreadsheetml/2006/main">
  <authors>
    <author>quangbx</author>
  </authors>
  <commentList>
    <comment ref="C6"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15.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16.xml><?xml version="1.0" encoding="utf-8"?>
<comments xmlns="http://schemas.openxmlformats.org/spreadsheetml/2006/main">
  <authors>
    <author>Quangbx</author>
    <author>Quangbxdth</author>
  </authors>
  <commentList>
    <comment ref="BW29" authorId="0" shapeId="0">
      <text>
        <r>
          <rPr>
            <b/>
            <sz val="9"/>
            <color indexed="81"/>
            <rFont val="Tahoma"/>
            <family val="2"/>
          </rPr>
          <t>Quangbx:</t>
        </r>
        <r>
          <rPr>
            <sz val="9"/>
            <color indexed="81"/>
            <rFont val="Tahoma"/>
            <family val="2"/>
          </rPr>
          <t xml:space="preserve">
</t>
        </r>
        <r>
          <rPr>
            <b/>
            <sz val="9"/>
            <color indexed="81"/>
            <rFont val="Tahoma"/>
            <family val="2"/>
          </rPr>
          <t>I/</t>
        </r>
        <r>
          <rPr>
            <sz val="9"/>
            <color indexed="81"/>
            <rFont val="Tahoma"/>
            <family val="2"/>
          </rPr>
          <t xml:space="preserve"> Nhà sách Nguyễn Văn Cừ: UBND tỉnh đã có chủ trương giao Sở VHTT
thanh lý hợp đồng thuê tài sản với DNTN Thành Nghĩa để thu hồi bán đấu giá đầu
tư Rạp chiếu phim.
Vị trí: tiếp giáp đường Nguyễn Huệ, phường 2.
Diện tích: 1.229 m 2 .
Thu tiền thuê đất theo hình thức trả tiền 01 lần: ước khoảng 80 đến 100 tỷ đồng.
II</t>
        </r>
        <r>
          <rPr>
            <b/>
            <sz val="9"/>
            <color indexed="81"/>
            <rFont val="Tahoma"/>
            <family val="2"/>
          </rPr>
          <t>/DANH MỤC CƠ SƠ NHÀ ĐẤT ĐÃ GIAO TRUNG TÂM PHÁT TRIỂN QUỸ 
NHÀ ĐẤT TỈNH DỰ KIẾN BÁN CUỐI NĂM 2018 VÀ TRONG NĂM 2019: khoảng 87 tỷ đồng đến 100 tỷ đồng</t>
        </r>
        <r>
          <rPr>
            <sz val="9"/>
            <color indexed="81"/>
            <rFont val="Tahoma"/>
            <family val="2"/>
          </rPr>
          <t xml:space="preserve">
1/Sở Tài chính (nhà tập thể)
2/Nhà tập thể Bệnh viện Đa khoa Đồng Tháp
3/Trung tâm Y tế Dự phòng
4/Trung tâm Chăm sóc sức khỏe sinh sản 
5/Nhà ông Nguyễn Ngọc Ấn
6/Phòng khám Đa khoa
7/Trung tâm Công nghệ Thông tin
8/Nhà tập thể Sở Kế hoạch và Đầu tư
9/Trụ sở ngân hàng Quân đội thuê
10/Chi nhánh Ngân hàng Đầu tư và phát triển Đồng Tháp
11/Khu đất Đại đội thông tin cũ
</t>
        </r>
      </text>
    </comment>
    <comment ref="CC29" authorId="0" shapeId="0">
      <text>
        <r>
          <rPr>
            <b/>
            <sz val="9"/>
            <color indexed="81"/>
            <rFont val="Tahoma"/>
            <family val="2"/>
          </rPr>
          <t>Quangbx:</t>
        </r>
        <r>
          <rPr>
            <sz val="9"/>
            <color indexed="81"/>
            <rFont val="Tahoma"/>
            <family val="2"/>
          </rPr>
          <t xml:space="preserve">
</t>
        </r>
        <r>
          <rPr>
            <b/>
            <sz val="9"/>
            <color indexed="81"/>
            <rFont val="Tahoma"/>
            <family val="2"/>
          </rPr>
          <t>I/</t>
        </r>
        <r>
          <rPr>
            <sz val="9"/>
            <color indexed="81"/>
            <rFont val="Tahoma"/>
            <family val="2"/>
          </rPr>
          <t xml:space="preserve"> Nhà sách Nguyễn Văn Cừ: UBND tỉnh đã có chủ trương giao Sở VHTT
thanh lý hợp đồng thuê tài sản với DNTN Thành Nghĩa để thu hồi bán đấu giá đầu
tư Rạp chiếu phim.
Vị trí: tiếp giáp đường Nguyễn Huệ, phường 2.
Diện tích: 1.229 m 2 .
Thu tiền thuê đất theo hình thức trả tiền 01 lần: ước khoảng 80 đến 100 tỷ đồng.
II</t>
        </r>
        <r>
          <rPr>
            <b/>
            <sz val="9"/>
            <color indexed="81"/>
            <rFont val="Tahoma"/>
            <family val="2"/>
          </rPr>
          <t>/DANH MỤC CƠ SƠ NHÀ ĐẤT ĐÃ GIAO TRUNG TÂM PHÁT TRIỂN QUỸ 
NHÀ ĐẤT TỈNH DỰ KIẾN BÁN CUỐI NĂM 2018 VÀ TRONG NĂM 2019: khoảng 87 tỷ đồng đến 100 tỷ đồng</t>
        </r>
        <r>
          <rPr>
            <sz val="9"/>
            <color indexed="81"/>
            <rFont val="Tahoma"/>
            <family val="2"/>
          </rPr>
          <t xml:space="preserve">
1/Sở Tài chính (nhà tập thể)
2/Nhà tập thể Bệnh viện Đa khoa Đồng Tháp
3/Trung tâm Y tế Dự phòng
4/Trung tâm Chăm sóc sức khỏe sinh sản 
5/Nhà ông Nguyễn Ngọc Ấn
6/Phòng khám Đa khoa
7/Trung tâm Công nghệ Thông tin
8/Nhà tập thể Sở Kế hoạch và Đầu tư
9/Trụ sở ngân hàng Quân đội thuê
10/Chi nhánh Ngân hàng Đầu tư và phát triển Đồng Tháp
11/Khu đất Đại đội thông tin cũ
</t>
        </r>
      </text>
    </comment>
    <comment ref="CU29" authorId="0" shapeId="0">
      <text>
        <r>
          <rPr>
            <b/>
            <sz val="9"/>
            <color indexed="81"/>
            <rFont val="Tahoma"/>
            <family val="2"/>
          </rPr>
          <t>Quangbx:</t>
        </r>
        <r>
          <rPr>
            <sz val="9"/>
            <color indexed="81"/>
            <rFont val="Tahoma"/>
            <family val="2"/>
          </rPr>
          <t xml:space="preserve">
- Khu tái định cư TT MỸ An (100 nền): 30 tỷ x 50%=15 tỷ đồng</t>
        </r>
      </text>
    </comment>
    <comment ref="DA29" authorId="0" shapeId="0">
      <text>
        <r>
          <rPr>
            <b/>
            <sz val="9"/>
            <color indexed="81"/>
            <rFont val="Tahoma"/>
            <family val="2"/>
          </rPr>
          <t>Quangbx:</t>
        </r>
        <r>
          <rPr>
            <sz val="9"/>
            <color indexed="81"/>
            <rFont val="Tahoma"/>
            <family val="2"/>
          </rPr>
          <t xml:space="preserve">
- Khu tái định cư TT MỸ An (100 nền): 30 tỷ x 50%=15 tỷ đồng</t>
        </r>
      </text>
    </comment>
    <comment ref="DG29" authorId="0" shapeId="0">
      <text>
        <r>
          <rPr>
            <b/>
            <sz val="9"/>
            <color indexed="81"/>
            <rFont val="Tahoma"/>
            <family val="2"/>
          </rPr>
          <t>Quangbx:</t>
        </r>
        <r>
          <rPr>
            <sz val="9"/>
            <color indexed="81"/>
            <rFont val="Tahoma"/>
            <family val="2"/>
          </rPr>
          <t xml:space="preserve">
Khu tái định cư xã Tân Mỹ (50 nền): 10 tỷ x 50%= 5 tỷ đồng </t>
        </r>
      </text>
    </comment>
    <comment ref="DM29" authorId="0" shapeId="0">
      <text>
        <r>
          <rPr>
            <b/>
            <sz val="9"/>
            <color indexed="81"/>
            <rFont val="Tahoma"/>
            <family val="2"/>
          </rPr>
          <t>Quangbx:</t>
        </r>
        <r>
          <rPr>
            <sz val="9"/>
            <color indexed="81"/>
            <rFont val="Tahoma"/>
            <family val="2"/>
          </rPr>
          <t xml:space="preserve">
Khu tái định cư xã Tân Mỹ (50 nền): 10 tỷ x 50%= 5 tỷ đồng </t>
        </r>
      </text>
    </comment>
    <comment ref="U34" authorId="1" shapeId="0">
      <text>
        <r>
          <rPr>
            <b/>
            <sz val="9"/>
            <color indexed="81"/>
            <rFont val="Tahoma"/>
            <family val="2"/>
          </rPr>
          <t>Quangbxdth:</t>
        </r>
        <r>
          <rPr>
            <sz val="9"/>
            <color indexed="81"/>
            <rFont val="Tahoma"/>
            <family val="2"/>
          </rPr>
          <t xml:space="preserve">
Năm 2019: 23.743 trđ, trong đó: Huyện: 22.766 trđ; Xã: 977 trđ</t>
        </r>
      </text>
    </comment>
  </commentList>
</comments>
</file>

<file path=xl/comments17.xml><?xml version="1.0" encoding="utf-8"?>
<comments xmlns="http://schemas.openxmlformats.org/spreadsheetml/2006/main">
  <authors>
    <author>Quangbxdth</author>
    <author>Windows User</author>
    <author>quangbx</author>
  </authors>
  <commentList>
    <comment ref="N16" authorId="0" shapeId="0">
      <text>
        <r>
          <rPr>
            <b/>
            <sz val="9"/>
            <color indexed="81"/>
            <rFont val="Tahoma"/>
            <family val="2"/>
          </rPr>
          <t>Quangbxdth:</t>
        </r>
        <r>
          <rPr>
            <sz val="9"/>
            <color indexed="81"/>
            <rFont val="Tahoma"/>
            <family val="2"/>
          </rPr>
          <t xml:space="preserve">
</t>
        </r>
      </text>
    </comment>
    <comment ref="CH22" authorId="1" shapeId="0">
      <text>
        <r>
          <rPr>
            <b/>
            <sz val="12"/>
            <color indexed="81"/>
            <rFont val="Times New Roman"/>
            <family val="1"/>
          </rPr>
          <t>- Quyết định công nhận Trung tâm xã Tân Thành là đô thị loại 5 ngày 22/01/2020 (Quyết định số 79)</t>
        </r>
        <r>
          <rPr>
            <sz val="9"/>
            <color indexed="81"/>
            <rFont val="Tahoma"/>
            <family val="2"/>
          </rPr>
          <t xml:space="preserve">
</t>
        </r>
      </text>
    </comment>
    <comment ref="B26" authorId="2" shapeId="0">
      <text>
        <r>
          <rPr>
            <b/>
            <sz val="8"/>
            <color indexed="81"/>
            <rFont val="Tahoma"/>
            <family val="2"/>
          </rPr>
          <t>quangbx:</t>
        </r>
        <r>
          <rPr>
            <sz val="8"/>
            <color indexed="81"/>
            <rFont val="Tahoma"/>
            <family val="2"/>
          </rPr>
          <t xml:space="preserve">
Không kể chi từ nguồn NST bổ sung có mục tiêu: XSKT, vốn XDCBTT của tỉnh, vốn NSTW bổ sung có mục tiêu</t>
        </r>
      </text>
    </comment>
    <comment ref="BC32" authorId="0" shapeId="0">
      <text>
        <r>
          <rPr>
            <b/>
            <sz val="9"/>
            <color indexed="81"/>
            <rFont val="Tahoma"/>
            <family val="2"/>
          </rPr>
          <t>Quangbxdth:</t>
        </r>
        <r>
          <rPr>
            <sz val="9"/>
            <color indexed="81"/>
            <rFont val="Tahoma"/>
            <family val="2"/>
          </rPr>
          <t xml:space="preserve">
Tâm nhắn tin zalo ngay 16/10/2020: Anh Quang, thường trực ubnd thành phố thống nhất đề nghị Sở Tài chính điều chỉnh giảm chỉ tiêu sn giáo dục sang chi hoạt động sự nghiệp khác là 30 tỷ. Đề nghị Anh xem xét. </t>
        </r>
      </text>
    </comment>
    <comment ref="CA32" authorId="0" shapeId="0">
      <text>
        <r>
          <rPr>
            <b/>
            <sz val="9"/>
            <color indexed="81"/>
            <rFont val="Tahoma"/>
            <family val="2"/>
          </rPr>
          <t>Quangbxdth:</t>
        </r>
        <r>
          <rPr>
            <sz val="9"/>
            <color indexed="81"/>
            <rFont val="Tahoma"/>
            <family val="2"/>
          </rPr>
          <t xml:space="preserve">
</t>
        </r>
        <r>
          <rPr>
            <b/>
            <sz val="9"/>
            <color indexed="81"/>
            <rFont val="Tahoma"/>
            <family val="2"/>
          </rPr>
          <t>Nhanh nhắn tin zalo ngày 12-10-2020:</t>
        </r>
        <r>
          <rPr>
            <sz val="9"/>
            <color indexed="81"/>
            <rFont val="Tahoma"/>
            <family val="2"/>
          </rPr>
          <t xml:space="preserve">
Do tình hình nguồn thu ngân sách năm 2021 giảm so với năm 2020 qua thảo luận với Sở Tài chính. Năm 2020 dự toán chi thường xuyên của huyện là 562.927 triệu, năm 2021 là 520.981 triệu, giảm 41.946 triệu đồng. Dự toán chi sự nghiệp giáo dục năm 2020 là 291.861 triệu, trong đó bố trí kinh phí sửa chữa trường lớp, mua sắm bàn ghế,  trang bị trường chuẩn và đồ dùng theo thông tư 02 là 12.630 triệu. Do nguồn thu năm 2021 giảm, để đảm bảo bố trí kinh phí cho các khoản chi thường xuyên khác huyện dự kiến bố trí kp sửa chữa trường lớp khoảng 5.000 triệu, giảm so với năm 2020 khoảng 7.630 triệu. Sau khi cân đối các khoản chi thường xuyên khác, sự nghiệp giáo dục hụt khoảng 5 tỷ đồng. Đề nghị Sở Tài chính xem xét giảm chi sự nghiệp giáo dục năm 2021 khoảng 5 tỷ, còn khoảng 287 tỷ để huyện cân đối các khoản chi thường xuyên khác, nếu thừa thì huyện sẽ ưu tiên bố trí bổ sung cho sự nghiệp giáo dục. Tổng nguồn thu, chi không thay đổi. Rất mong được sự xem xét</t>
        </r>
      </text>
    </comment>
    <comment ref="AD36" authorId="0" shapeId="0">
      <text>
        <r>
          <rPr>
            <b/>
            <sz val="9"/>
            <color indexed="81"/>
            <rFont val="Tahoma"/>
            <family val="2"/>
          </rPr>
          <t>Quangbxdth:</t>
        </r>
        <r>
          <rPr>
            <sz val="9"/>
            <color indexed="81"/>
            <rFont val="Tahoma"/>
            <family val="2"/>
          </rPr>
          <t xml:space="preserve">
Giảm</t>
        </r>
      </text>
    </comment>
    <comment ref="BB36" authorId="0" shapeId="0">
      <text>
        <r>
          <rPr>
            <b/>
            <sz val="9"/>
            <color indexed="81"/>
            <rFont val="Tahoma"/>
            <family val="2"/>
          </rPr>
          <t>Quangbxdth:</t>
        </r>
        <r>
          <rPr>
            <sz val="9"/>
            <color indexed="81"/>
            <rFont val="Tahoma"/>
            <family val="2"/>
          </rPr>
          <t xml:space="preserve">
Thừa /thiếu (+/-) bổ sung trong năm; chuyển nguồn chế độ chính sách: +767 trđ
+ Bù trừ nguồn CCTL còn dư: - 45.215 trđ
+ Giảm bổ sung chế độ chính sách: +11.904 trđ;
+ Giảm bổ sung 2 trđ cho định biên xã: +1.316 trđ;
+ Trung tâm dịch vụ nông nghiệp: +400 trđ
</t>
        </r>
      </text>
    </comment>
    <comment ref="CP36" authorId="0" shapeId="0">
      <text>
        <r>
          <rPr>
            <b/>
            <sz val="9"/>
            <color indexed="81"/>
            <rFont val="Tahoma"/>
            <family val="2"/>
          </rPr>
          <t xml:space="preserve">Quangbxdth:
</t>
        </r>
        <r>
          <rPr>
            <sz val="9"/>
            <color indexed="81"/>
            <rFont val="Tahoma"/>
            <family val="2"/>
          </rPr>
          <t xml:space="preserve">
+ Giảm bổ sung chế độ chính sách: 10.956 trđ;
+ Giảm bổ sung đầu chu kỳ: 5.155 trđ;
+ Giảm bổ sung 2 trđ cho định biên xã: 794 trđ;
+ Trung tâm dịch vụ nông nghiệp: 400 trđ
</t>
        </r>
      </text>
    </comment>
  </commentList>
</comments>
</file>

<file path=xl/comments18.xml><?xml version="1.0" encoding="utf-8"?>
<comments xmlns="http://schemas.openxmlformats.org/spreadsheetml/2006/main">
  <authors>
    <author>Quangbxdth</author>
    <author>Windows User</author>
    <author>quangbxdth</author>
  </authors>
  <commentList>
    <comment ref="J21" authorId="0" shapeId="0">
      <text>
        <r>
          <rPr>
            <b/>
            <sz val="9"/>
            <color indexed="81"/>
            <rFont val="Tahoma"/>
            <family val="2"/>
          </rPr>
          <t>Quangbxdth:</t>
        </r>
        <r>
          <rPr>
            <sz val="9"/>
            <color indexed="81"/>
            <rFont val="Tahoma"/>
            <family val="2"/>
          </rPr>
          <t xml:space="preserve">
Bù trừ nguồn CCTL còn dư: 45.215 trđ</t>
        </r>
      </text>
    </comment>
    <comment ref="O21" authorId="0" shapeId="0">
      <text>
        <r>
          <rPr>
            <b/>
            <sz val="9"/>
            <color indexed="81"/>
            <rFont val="Tahoma"/>
            <family val="2"/>
          </rPr>
          <t>Quangbxdth:</t>
        </r>
        <r>
          <rPr>
            <sz val="9"/>
            <color indexed="81"/>
            <rFont val="Tahoma"/>
            <family val="2"/>
          </rPr>
          <t xml:space="preserve">
Bù trừ nguồn CCTL còn dư: 13.360 trđ</t>
        </r>
      </text>
    </comment>
    <comment ref="K22" authorId="1" shapeId="0">
      <text>
        <r>
          <rPr>
            <b/>
            <sz val="9"/>
            <color indexed="81"/>
            <rFont val="Tahoma"/>
            <family val="2"/>
          </rPr>
          <t>Windows User:</t>
        </r>
        <r>
          <rPr>
            <sz val="9"/>
            <color indexed="81"/>
            <rFont val="Tahoma"/>
            <family val="2"/>
          </rPr>
          <t xml:space="preserve">
= Nguồn thu học phí (cộng thêm năm 2020 so với năm đầu: 549 triệu đồng)</t>
        </r>
      </text>
    </comment>
    <comment ref="E31" authorId="1" shapeId="0">
      <text>
        <r>
          <rPr>
            <b/>
            <sz val="9"/>
            <color indexed="81"/>
            <rFont val="Tahoma"/>
            <family val="2"/>
          </rPr>
          <t>Windows User:</t>
        </r>
        <r>
          <rPr>
            <sz val="9"/>
            <color indexed="81"/>
            <rFont val="Tahoma"/>
            <family val="2"/>
          </rPr>
          <t xml:space="preserve">
Bằng cấp KCT 329 triệu đồng</t>
        </r>
      </text>
    </comment>
    <comment ref="C32" authorId="1" shapeId="0">
      <text>
        <r>
          <rPr>
            <b/>
            <sz val="9"/>
            <color indexed="81"/>
            <rFont val="Tahoma"/>
            <family val="2"/>
          </rPr>
          <t>Windows User:</t>
        </r>
        <r>
          <rPr>
            <sz val="9"/>
            <color indexed="81"/>
            <rFont val="Tahoma"/>
            <family val="2"/>
          </rPr>
          <t xml:space="preserve">
Thực hiện theo lương vùng</t>
        </r>
      </text>
    </comment>
    <comment ref="J33" authorId="0" shapeId="0">
      <text>
        <r>
          <rPr>
            <b/>
            <sz val="9"/>
            <color indexed="81"/>
            <rFont val="Tahoma"/>
            <family val="2"/>
          </rPr>
          <t>Quangbxdth:</t>
        </r>
        <r>
          <rPr>
            <sz val="9"/>
            <color indexed="81"/>
            <rFont val="Tahoma"/>
            <family val="2"/>
          </rPr>
          <t xml:space="preserve">
Thừa /thiếu (+/-) bổ sung trong năm; chuyển nguồn chế độ chính sách: +767 trđ
+ Bù trừ nguồn CCTL còn dư: - 45.215 trđ
+ Giảm bổ sung chế độ chính sách: -11.904 trđ;
+ Giảm bổ sung 2 trđ cho định biên xã: -1.316 trđ;
+ Trung tâm dịch vụ nông nghiệp: -400 trđ
</t>
        </r>
      </text>
    </comment>
    <comment ref="G34" authorId="2" shapeId="0">
      <text>
        <r>
          <rPr>
            <b/>
            <sz val="9"/>
            <color indexed="81"/>
            <rFont val="Tahoma"/>
            <family val="2"/>
          </rPr>
          <t>quangbxdth:</t>
        </r>
        <r>
          <rPr>
            <sz val="9"/>
            <color indexed="81"/>
            <rFont val="Tahoma"/>
            <family val="2"/>
          </rPr>
          <t xml:space="preserve">
30 năm thành lập huyện</t>
        </r>
      </text>
    </comment>
  </commentList>
</comments>
</file>

<file path=xl/comments19.xml><?xml version="1.0" encoding="utf-8"?>
<comments xmlns="http://schemas.openxmlformats.org/spreadsheetml/2006/main">
  <authors>
    <author>Windows User</author>
    <author>quangbx</author>
  </authors>
  <commentList>
    <comment ref="CH22" authorId="0" shapeId="0">
      <text>
        <r>
          <rPr>
            <b/>
            <sz val="12"/>
            <color indexed="81"/>
            <rFont val="Times New Roman"/>
            <family val="1"/>
          </rPr>
          <t>- Quyết định công nhận Trung tâm xã Tân Thành là đô thị loại 5 ngày 22/01/2020 (Quyết định số 79)</t>
        </r>
        <r>
          <rPr>
            <sz val="9"/>
            <color indexed="81"/>
            <rFont val="Tahoma"/>
            <family val="2"/>
          </rPr>
          <t xml:space="preserve">
</t>
        </r>
      </text>
    </comment>
    <comment ref="B26" authorId="1" shapeId="0">
      <text>
        <r>
          <rPr>
            <b/>
            <sz val="8"/>
            <color indexed="81"/>
            <rFont val="Tahoma"/>
            <family val="2"/>
          </rPr>
          <t>quangbx:</t>
        </r>
        <r>
          <rPr>
            <sz val="8"/>
            <color indexed="81"/>
            <rFont val="Tahoma"/>
            <family val="2"/>
          </rPr>
          <t xml:space="preserve">
Không kể chi từ nguồn NST bổ sung có mục tiêu: XSKT, vốn XDCBTT của tỉnh, vốn NSTW bổ sung có mục tiêu</t>
        </r>
      </text>
    </comment>
  </commentList>
</comments>
</file>

<file path=xl/comments2.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20.xml><?xml version="1.0" encoding="utf-8"?>
<comments xmlns="http://schemas.openxmlformats.org/spreadsheetml/2006/main">
  <authors>
    <author>Windows User</author>
    <author>Admin</author>
  </authors>
  <commentList>
    <comment ref="IF11" authorId="0" shapeId="0">
      <text>
        <r>
          <rPr>
            <b/>
            <sz val="12"/>
            <color indexed="81"/>
            <rFont val="Times New Roman"/>
            <family val="1"/>
          </rPr>
          <t>Windows User:</t>
        </r>
        <r>
          <rPr>
            <sz val="12"/>
            <color indexed="81"/>
            <rFont val="Times New Roman"/>
            <family val="1"/>
          </rPr>
          <t xml:space="preserve">
Nguồn CCTL của thành phố 525 triệu đồng</t>
        </r>
      </text>
    </comment>
    <comment ref="IR11" authorId="0" shapeId="0">
      <text>
        <r>
          <rPr>
            <b/>
            <sz val="9"/>
            <color indexed="81"/>
            <rFont val="Times New Roman"/>
            <family val="1"/>
          </rPr>
          <t>Nguồn CCTL của TP. Sa Đéc</t>
        </r>
      </text>
    </comment>
    <comment ref="IS11" authorId="0" shapeId="0">
      <text>
        <r>
          <rPr>
            <b/>
            <sz val="9"/>
            <color indexed="81"/>
            <rFont val="Tahoma"/>
            <family val="2"/>
          </rPr>
          <t>Windows User:</t>
        </r>
        <r>
          <rPr>
            <sz val="9"/>
            <color indexed="81"/>
            <rFont val="Tahoma"/>
            <family val="2"/>
          </rPr>
          <t xml:space="preserve">
- Lấy nguồn CCTL còn thừa của NS thành phố</t>
        </r>
      </text>
    </comment>
    <comment ref="IR12" authorId="0" shapeId="0">
      <text>
        <r>
          <rPr>
            <b/>
            <sz val="9"/>
            <color indexed="81"/>
            <rFont val="Times New Roman"/>
            <family val="1"/>
          </rPr>
          <t>Nguồn CCTL của TP. Sa Đéc</t>
        </r>
      </text>
    </comment>
    <comment ref="DR13" authorId="1" shapeId="0">
      <text>
        <r>
          <rPr>
            <b/>
            <sz val="9"/>
            <color indexed="81"/>
            <rFont val="Tahoma"/>
            <family val="2"/>
          </rPr>
          <t>Admin:</t>
        </r>
        <r>
          <rPr>
            <sz val="9"/>
            <color indexed="81"/>
            <rFont val="Tahoma"/>
            <family val="2"/>
          </rPr>
          <t xml:space="preserve">
875, 882</t>
        </r>
      </text>
    </comment>
    <comment ref="IR13" authorId="0" shapeId="0">
      <text>
        <r>
          <rPr>
            <b/>
            <sz val="9"/>
            <color indexed="81"/>
            <rFont val="Times New Roman"/>
            <family val="1"/>
          </rPr>
          <t>Nguồn CCTL của TP. Sa Đéc</t>
        </r>
      </text>
    </comment>
    <comment ref="IR14" authorId="0" shapeId="0">
      <text>
        <r>
          <rPr>
            <b/>
            <sz val="9"/>
            <color indexed="81"/>
            <rFont val="Times New Roman"/>
            <family val="1"/>
          </rPr>
          <t>Nguồn CCTL của TP. Sa Đéc</t>
        </r>
      </text>
    </comment>
    <comment ref="BA16" authorId="0" shapeId="0">
      <text>
        <r>
          <rPr>
            <sz val="12"/>
            <color indexed="81"/>
            <rFont val="Times New Roman"/>
            <family val="1"/>
          </rPr>
          <t>Sử dụng nguổn 102 = 116 triệu đồng</t>
        </r>
      </text>
    </comment>
    <comment ref="BV16" authorId="0" shapeId="0">
      <text>
        <r>
          <rPr>
            <b/>
            <sz val="12"/>
            <color indexed="81"/>
            <rFont val="Times New Roman"/>
            <family val="1"/>
          </rPr>
          <t>Windows User:</t>
        </r>
        <r>
          <rPr>
            <sz val="12"/>
            <color indexed="81"/>
            <rFont val="Times New Roman"/>
            <family val="1"/>
          </rPr>
          <t xml:space="preserve">
Lấy số còn thừa của chế độ 102: 1.028 triệu đồng</t>
        </r>
      </text>
    </comment>
    <comment ref="CF16" authorId="0" shapeId="0">
      <text>
        <r>
          <rPr>
            <sz val="12"/>
            <color indexed="81"/>
            <rFont val="Times New Roman"/>
            <family val="1"/>
          </rPr>
          <t>Lấy số còn thừa của chế độ 102: 1.028 triệu đồng</t>
        </r>
      </text>
    </comment>
    <comment ref="DZ16" authorId="0" shapeId="0">
      <text>
        <r>
          <rPr>
            <sz val="12"/>
            <color indexed="81"/>
            <rFont val="Times New Roman"/>
            <family val="1"/>
          </rPr>
          <t>- Phần còn lại năm 2019 lấy nguồn CCTL của TP Cao Lãnh</t>
        </r>
        <r>
          <rPr>
            <sz val="9"/>
            <color indexed="81"/>
            <rFont val="Tahoma"/>
            <family val="2"/>
          </rPr>
          <t xml:space="preserve">
</t>
        </r>
      </text>
    </comment>
    <comment ref="EE16" authorId="0" shapeId="0">
      <text>
        <r>
          <rPr>
            <b/>
            <sz val="9"/>
            <color indexed="81"/>
            <rFont val="Tahoma"/>
            <family val="2"/>
          </rPr>
          <t>Windows User:</t>
        </r>
        <r>
          <rPr>
            <sz val="9"/>
            <color indexed="81"/>
            <rFont val="Tahoma"/>
            <family val="2"/>
          </rPr>
          <t xml:space="preserve">
</t>
        </r>
        <r>
          <rPr>
            <sz val="12"/>
            <color indexed="81"/>
            <rFont val="Times New Roman"/>
            <family val="1"/>
          </rPr>
          <t>Nguồn CCTL của Thành phố</t>
        </r>
      </text>
    </comment>
    <comment ref="ER16" authorId="0" shapeId="0">
      <text>
        <r>
          <rPr>
            <b/>
            <sz val="9"/>
            <color indexed="81"/>
            <rFont val="Tahoma"/>
            <family val="2"/>
          </rPr>
          <t>Windows User:</t>
        </r>
        <r>
          <rPr>
            <sz val="9"/>
            <color indexed="81"/>
            <rFont val="Tahoma"/>
            <family val="2"/>
          </rPr>
          <t xml:space="preserve">
Sử dụng CCTL còn thừa của Ngân sách thành phố</t>
        </r>
      </text>
    </comment>
    <comment ref="IF16" authorId="0" shapeId="0">
      <text>
        <r>
          <rPr>
            <b/>
            <sz val="12"/>
            <color indexed="81"/>
            <rFont val="Times New Roman"/>
            <family val="1"/>
          </rPr>
          <t>Windows User:</t>
        </r>
        <r>
          <rPr>
            <sz val="12"/>
            <color indexed="81"/>
            <rFont val="Times New Roman"/>
            <family val="1"/>
          </rPr>
          <t xml:space="preserve">
Nguồn CCTL của thành phố 14.652 triệu đồng.</t>
        </r>
      </text>
    </comment>
    <comment ref="IR16" authorId="0" shapeId="0">
      <text>
        <r>
          <rPr>
            <b/>
            <sz val="9"/>
            <color indexed="81"/>
            <rFont val="Times New Roman"/>
            <family val="1"/>
          </rPr>
          <t>Nguồn CCTL của TP. Sa Đéc</t>
        </r>
      </text>
    </comment>
    <comment ref="IS16" authorId="0" shapeId="0">
      <text>
        <r>
          <rPr>
            <b/>
            <sz val="9"/>
            <color indexed="81"/>
            <rFont val="Tahoma"/>
            <family val="2"/>
          </rPr>
          <t>Windows User:</t>
        </r>
        <r>
          <rPr>
            <sz val="9"/>
            <color indexed="81"/>
            <rFont val="Tahoma"/>
            <family val="2"/>
          </rPr>
          <t xml:space="preserve">
Lấy nguồn CCTL còn thừa của ngân sách thành phố chi</t>
        </r>
      </text>
    </comment>
    <comment ref="IR17" authorId="0" shapeId="0">
      <text>
        <r>
          <rPr>
            <b/>
            <sz val="9"/>
            <color indexed="81"/>
            <rFont val="Times New Roman"/>
            <family val="1"/>
          </rPr>
          <t>Nguồn CCTL của TP. Sa Đéc</t>
        </r>
      </text>
    </comment>
    <comment ref="IR18" authorId="0" shapeId="0">
      <text>
        <r>
          <rPr>
            <b/>
            <sz val="9"/>
            <color indexed="81"/>
            <rFont val="Times New Roman"/>
            <family val="1"/>
          </rPr>
          <t>Nguồn CCTL của TP. Sa Đéc</t>
        </r>
      </text>
    </comment>
  </commentList>
</comments>
</file>

<file path=xl/comments21.xml><?xml version="1.0" encoding="utf-8"?>
<comments xmlns="http://schemas.openxmlformats.org/spreadsheetml/2006/main">
  <authors>
    <author>quangbxdth</author>
    <author>Quangbx</author>
  </authors>
  <commentList>
    <comment ref="C14" authorId="0" shapeId="0">
      <text>
        <r>
          <rPr>
            <b/>
            <sz val="9"/>
            <color indexed="81"/>
            <rFont val="Tahoma"/>
            <family val="2"/>
          </rPr>
          <t>quangbxdth:</t>
        </r>
        <r>
          <rPr>
            <sz val="9"/>
            <color indexed="81"/>
            <rFont val="Tahoma"/>
            <family val="2"/>
          </rPr>
          <t xml:space="preserve">
</t>
        </r>
        <r>
          <rPr>
            <sz val="10"/>
            <color indexed="81"/>
            <rFont val="Tahoma"/>
            <family val="2"/>
          </rPr>
          <t>1- Còn dư chuyển sang năm 2020: 968.864 triệu đồng
2. Sử dung: 885.508 triệu đồng, gồm:
- Sử dụng cho năm 2021: 278.759 triệu đồng
- Sử dụng bù nguồn chi tạo nguồn CCTL của TPCL, TPSĐ: 606.749 trđ
3.  Còn lại: 83.356 triệu đồng, số này dự kiến bù hụt thu NSĐP năm 2020</t>
        </r>
      </text>
    </comment>
    <comment ref="C19" authorId="1" shapeId="0">
      <text>
        <r>
          <rPr>
            <b/>
            <sz val="9"/>
            <color indexed="81"/>
            <rFont val="Tahoma"/>
            <family val="2"/>
          </rPr>
          <t>Quangbx:</t>
        </r>
        <r>
          <rPr>
            <sz val="9"/>
            <color indexed="81"/>
            <rFont val="Tahoma"/>
            <family val="2"/>
          </rPr>
          <t xml:space="preserve">
Trong đó KHCN: 18 tỷ đồng </t>
        </r>
      </text>
    </comment>
    <comment ref="C21" authorId="1" shapeId="0">
      <text>
        <r>
          <rPr>
            <b/>
            <sz val="9"/>
            <color indexed="81"/>
            <rFont val="Tahoma"/>
            <family val="2"/>
          </rPr>
          <t>Quangbx:</t>
        </r>
        <r>
          <rPr>
            <sz val="9"/>
            <color indexed="81"/>
            <rFont val="Tahoma"/>
            <family val="2"/>
          </rPr>
          <t xml:space="preserve">
-GD&amp;ĐT: 434,06 tỷ đồng
-YT: 70,4 tỷ đồng</t>
        </r>
      </text>
    </comment>
  </commentList>
</comments>
</file>

<file path=xl/comments22.xml><?xml version="1.0" encoding="utf-8"?>
<comments xmlns="http://schemas.openxmlformats.org/spreadsheetml/2006/main">
  <authors>
    <author>quangbxdth</author>
    <author>quangbx</author>
  </authors>
  <commentList>
    <comment ref="D13" authorId="0" shapeId="0">
      <text>
        <r>
          <rPr>
            <b/>
            <sz val="9"/>
            <color indexed="81"/>
            <rFont val="Tahoma"/>
            <family val="2"/>
          </rPr>
          <t>quangbxdth:</t>
        </r>
        <r>
          <rPr>
            <sz val="9"/>
            <color indexed="81"/>
            <rFont val="Tahoma"/>
            <family val="2"/>
          </rPr>
          <t xml:space="preserve">
Bổ sung vốn điều lệ Quỹ Phát triển đất</t>
        </r>
      </text>
    </comment>
    <comment ref="D38" authorId="1"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23.xml><?xml version="1.0" encoding="utf-8"?>
<comments xmlns="http://schemas.openxmlformats.org/spreadsheetml/2006/main">
  <authors>
    <author>quangbx</author>
  </authors>
  <commentList>
    <comment ref="C6"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24.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25.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family val="2"/>
          </rPr>
          <t>Quangbxdth:</t>
        </r>
        <r>
          <rPr>
            <sz val="9"/>
            <color indexed="81"/>
            <rFont val="Tahoma"/>
            <family val="2"/>
          </rPr>
          <t xml:space="preserve">
Tổng chi SNKT: 483 tỷ đông</t>
        </r>
      </text>
    </comment>
    <comment ref="F9" authorId="0" shapeId="0">
      <text>
        <r>
          <rPr>
            <b/>
            <sz val="9"/>
            <color indexed="81"/>
            <rFont val="Tahoma"/>
            <family val="2"/>
          </rPr>
          <t>Quangbxdth:</t>
        </r>
        <r>
          <rPr>
            <sz val="9"/>
            <color indexed="81"/>
            <rFont val="Tahoma"/>
            <family val="2"/>
          </rPr>
          <t xml:space="preserve">
Tổng chi SNMT: 62 tỷ đồng</t>
        </r>
      </text>
    </comment>
    <comment ref="G9" authorId="0" shapeId="0">
      <text>
        <r>
          <rPr>
            <b/>
            <sz val="9"/>
            <color indexed="81"/>
            <rFont val="Tahoma"/>
            <family val="2"/>
          </rPr>
          <t>Quangbxdth:</t>
        </r>
        <r>
          <rPr>
            <sz val="9"/>
            <color indexed="81"/>
            <rFont val="Tahoma"/>
            <family val="2"/>
          </rPr>
          <t xml:space="preserve">
Tổng chi SNKHCN: 31 tỷ đồng</t>
        </r>
      </text>
    </comment>
    <comment ref="H9" authorId="0" shapeId="0">
      <text>
        <r>
          <rPr>
            <b/>
            <sz val="9"/>
            <color indexed="81"/>
            <rFont val="Tahoma"/>
            <family val="2"/>
          </rPr>
          <t>Quangbxdth:</t>
        </r>
        <r>
          <rPr>
            <sz val="9"/>
            <color indexed="81"/>
            <rFont val="Tahoma"/>
            <family val="2"/>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family val="2"/>
          </rPr>
          <t>Quangbxdth:</t>
        </r>
        <r>
          <rPr>
            <sz val="9"/>
            <color indexed="81"/>
            <rFont val="Tahoma"/>
            <family val="2"/>
          </rPr>
          <t xml:space="preserve">
Tổng chi SNYT: 770 tỷ đồng</t>
        </r>
      </text>
    </comment>
    <comment ref="J9" authorId="0" shapeId="0">
      <text>
        <r>
          <rPr>
            <b/>
            <sz val="9"/>
            <color indexed="81"/>
            <rFont val="Tahoma"/>
            <family val="2"/>
          </rPr>
          <t>Quangbxdth:</t>
        </r>
        <r>
          <rPr>
            <sz val="9"/>
            <color indexed="81"/>
            <rFont val="Tahoma"/>
            <family val="2"/>
          </rPr>
          <t xml:space="preserve">
Tổng chi SNVHTT: 40 tỷ đồng</t>
        </r>
      </text>
    </comment>
    <comment ref="K9" authorId="0" shapeId="0">
      <text>
        <r>
          <rPr>
            <b/>
            <sz val="9"/>
            <color indexed="81"/>
            <rFont val="Tahoma"/>
            <family val="2"/>
          </rPr>
          <t>Quangbxdth:</t>
        </r>
        <r>
          <rPr>
            <sz val="9"/>
            <color indexed="81"/>
            <rFont val="Tahoma"/>
            <family val="2"/>
          </rPr>
          <t xml:space="preserve">
Tổng chi SNPTTH: 7 tỷ đồng</t>
        </r>
      </text>
    </comment>
    <comment ref="L9" authorId="0" shapeId="0">
      <text>
        <r>
          <rPr>
            <b/>
            <sz val="9"/>
            <color indexed="81"/>
            <rFont val="Tahoma"/>
            <family val="2"/>
          </rPr>
          <t>Quangbxdth:</t>
        </r>
        <r>
          <rPr>
            <sz val="9"/>
            <color indexed="81"/>
            <rFont val="Tahoma"/>
            <family val="2"/>
          </rPr>
          <t xml:space="preserve">
Tổng chi SNTDTT: 22 tỷ đồng</t>
        </r>
      </text>
    </comment>
    <comment ref="M9" authorId="0" shapeId="0">
      <text>
        <r>
          <rPr>
            <b/>
            <sz val="9"/>
            <color indexed="81"/>
            <rFont val="Tahoma"/>
            <family val="2"/>
          </rPr>
          <t>Quangbxdth:</t>
        </r>
        <r>
          <rPr>
            <sz val="9"/>
            <color indexed="81"/>
            <rFont val="Tahoma"/>
            <family val="2"/>
          </rPr>
          <t xml:space="preserve">
Tổng chi SNĐBXH: 75 tỷ đồng</t>
        </r>
      </text>
    </comment>
    <comment ref="N9" authorId="0" shapeId="0">
      <text>
        <r>
          <rPr>
            <b/>
            <sz val="9"/>
            <color indexed="81"/>
            <rFont val="Tahoma"/>
            <family val="2"/>
          </rPr>
          <t>Quangbxdth:</t>
        </r>
        <r>
          <rPr>
            <sz val="9"/>
            <color indexed="81"/>
            <rFont val="Tahoma"/>
            <family val="2"/>
          </rPr>
          <t xml:space="preserve">
Tổng chi QLHC: 450 tỷ đồng</t>
        </r>
      </text>
    </comment>
    <comment ref="O9" authorId="0" shapeId="0">
      <text>
        <r>
          <rPr>
            <b/>
            <sz val="9"/>
            <color indexed="81"/>
            <rFont val="Tahoma"/>
            <family val="2"/>
          </rPr>
          <t>Quangbxdth:</t>
        </r>
        <r>
          <rPr>
            <sz val="9"/>
            <color indexed="81"/>
            <rFont val="Tahoma"/>
            <family val="2"/>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family val="2"/>
          </rPr>
          <t>Quangbxdth:</t>
        </r>
        <r>
          <rPr>
            <sz val="9"/>
            <color indexed="81"/>
            <rFont val="Tahoma"/>
            <family val="2"/>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family val="2"/>
          </rPr>
          <t>Quangbxdth:</t>
        </r>
        <r>
          <rPr>
            <sz val="9"/>
            <color indexed="81"/>
            <rFont val="Tahoma"/>
            <family val="2"/>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family val="2"/>
          </rPr>
          <t>Quangbxdth:</t>
        </r>
        <r>
          <rPr>
            <sz val="9"/>
            <color indexed="81"/>
            <rFont val="Tahoma"/>
            <family val="2"/>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family val="2"/>
          </rPr>
          <t>Quangbxdth:</t>
        </r>
        <r>
          <rPr>
            <sz val="9"/>
            <color indexed="81"/>
            <rFont val="Tahoma"/>
            <family val="2"/>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family val="2"/>
          </rPr>
          <t>Quangbxdth:</t>
        </r>
        <r>
          <rPr>
            <sz val="9"/>
            <color indexed="81"/>
            <rFont val="Tahoma"/>
            <family val="2"/>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26.xml><?xml version="1.0" encoding="utf-8"?>
<comments xmlns="http://schemas.openxmlformats.org/spreadsheetml/2006/main">
  <authors>
    <author>quangbxdth</author>
    <author>quangbx</author>
  </authors>
  <commentList>
    <comment ref="D13" authorId="0" shapeId="0">
      <text>
        <r>
          <rPr>
            <b/>
            <sz val="9"/>
            <color indexed="81"/>
            <rFont val="Tahoma"/>
            <family val="2"/>
          </rPr>
          <t>quangbxdth:</t>
        </r>
        <r>
          <rPr>
            <sz val="9"/>
            <color indexed="81"/>
            <rFont val="Tahoma"/>
            <family val="2"/>
          </rPr>
          <t xml:space="preserve">
Bổ sung vốn điều lệ Quỹ Đầu tư Phát triển</t>
        </r>
      </text>
    </comment>
    <comment ref="D46" authorId="1"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27.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28.xml><?xml version="1.0" encoding="utf-8"?>
<comments xmlns="http://schemas.openxmlformats.org/spreadsheetml/2006/main">
  <authors>
    <author>Quangbxdth</author>
    <author>Windows User</author>
    <author>quangbx</author>
  </authors>
  <commentList>
    <comment ref="C11"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12"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4"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4" authorId="1" shapeId="0">
      <text>
        <r>
          <rPr>
            <b/>
            <sz val="9"/>
            <color indexed="81"/>
            <rFont val="Tahoma"/>
            <family val="2"/>
          </rPr>
          <t>Windows User:</t>
        </r>
        <r>
          <rPr>
            <sz val="9"/>
            <color indexed="81"/>
            <rFont val="Tahoma"/>
            <family val="2"/>
          </rPr>
          <t xml:space="preserve">
TRẢ THEO KẾ HOẠCH CỦA HỢP ĐỒNG</t>
        </r>
      </text>
    </comment>
    <comment ref="B25"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5"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6"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6" authorId="1" shapeId="0">
      <text>
        <r>
          <rPr>
            <b/>
            <sz val="9"/>
            <color indexed="81"/>
            <rFont val="Tahoma"/>
            <family val="2"/>
          </rPr>
          <t>Windows User:</t>
        </r>
        <r>
          <rPr>
            <sz val="9"/>
            <color indexed="81"/>
            <rFont val="Tahoma"/>
            <family val="2"/>
          </rPr>
          <t xml:space="preserve">
trả theo kế hoạch hợp đồng</t>
        </r>
      </text>
    </comment>
    <comment ref="B29"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9" authorId="0"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29.xml><?xml version="1.0" encoding="utf-8"?>
<comments xmlns="http://schemas.openxmlformats.org/spreadsheetml/2006/main">
  <authors>
    <author>quangbx</author>
  </authors>
  <commentList>
    <comment ref="D46" authorId="0"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3.xml><?xml version="1.0" encoding="utf-8"?>
<comments xmlns="http://schemas.openxmlformats.org/spreadsheetml/2006/main">
  <authors>
    <author>Windows User</author>
  </authors>
  <commentList>
    <comment ref="B39" authorId="0" shapeId="0">
      <text>
        <r>
          <rPr>
            <b/>
            <sz val="9"/>
            <color indexed="81"/>
            <rFont val="Tahoma"/>
            <family val="2"/>
          </rPr>
          <t>Windows User:</t>
        </r>
        <r>
          <rPr>
            <sz val="9"/>
            <color indexed="81"/>
            <rFont val="Tahoma"/>
            <family val="2"/>
          </rPr>
          <t xml:space="preserve">
Tất cả lấy theo số của Phương</t>
        </r>
      </text>
    </comment>
    <comment ref="D45" authorId="0" shapeId="0">
      <text>
        <r>
          <rPr>
            <b/>
            <sz val="9"/>
            <color indexed="81"/>
            <rFont val="Tahoma"/>
            <family val="2"/>
          </rPr>
          <t>Windows User:</t>
        </r>
        <r>
          <rPr>
            <sz val="9"/>
            <color indexed="81"/>
            <rFont val="Tahoma"/>
            <family val="2"/>
          </rPr>
          <t xml:space="preserve">
KH Phương</t>
        </r>
      </text>
    </comment>
  </commentList>
</comments>
</file>

<file path=xl/comments30.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family val="2"/>
          </rPr>
          <t>Quangbxdth:</t>
        </r>
        <r>
          <rPr>
            <sz val="9"/>
            <color indexed="81"/>
            <rFont val="Tahoma"/>
            <family val="2"/>
          </rPr>
          <t xml:space="preserve">
Tổng chi SNKT: 483 tỷ đông</t>
        </r>
      </text>
    </comment>
    <comment ref="F9" authorId="0" shapeId="0">
      <text>
        <r>
          <rPr>
            <b/>
            <sz val="9"/>
            <color indexed="81"/>
            <rFont val="Tahoma"/>
            <family val="2"/>
          </rPr>
          <t>Quangbxdth:</t>
        </r>
        <r>
          <rPr>
            <sz val="9"/>
            <color indexed="81"/>
            <rFont val="Tahoma"/>
            <family val="2"/>
          </rPr>
          <t xml:space="preserve">
Tổng chi SNMT: 62 tỷ đồng</t>
        </r>
      </text>
    </comment>
    <comment ref="G9" authorId="0" shapeId="0">
      <text>
        <r>
          <rPr>
            <b/>
            <sz val="9"/>
            <color indexed="81"/>
            <rFont val="Tahoma"/>
            <family val="2"/>
          </rPr>
          <t>Quangbxdth:</t>
        </r>
        <r>
          <rPr>
            <sz val="9"/>
            <color indexed="81"/>
            <rFont val="Tahoma"/>
            <family val="2"/>
          </rPr>
          <t xml:space="preserve">
Tổng chi SNKHCN: 31 tỷ đồng</t>
        </r>
      </text>
    </comment>
    <comment ref="H9" authorId="0" shapeId="0">
      <text>
        <r>
          <rPr>
            <b/>
            <sz val="9"/>
            <color indexed="81"/>
            <rFont val="Tahoma"/>
            <family val="2"/>
          </rPr>
          <t>Quangbxdth:</t>
        </r>
        <r>
          <rPr>
            <sz val="9"/>
            <color indexed="81"/>
            <rFont val="Tahoma"/>
            <family val="2"/>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family val="2"/>
          </rPr>
          <t>Quangbxdth:</t>
        </r>
        <r>
          <rPr>
            <sz val="9"/>
            <color indexed="81"/>
            <rFont val="Tahoma"/>
            <family val="2"/>
          </rPr>
          <t xml:space="preserve">
Tổng chi SNYT: 770 tỷ đồng</t>
        </r>
      </text>
    </comment>
    <comment ref="J9" authorId="0" shapeId="0">
      <text>
        <r>
          <rPr>
            <b/>
            <sz val="9"/>
            <color indexed="81"/>
            <rFont val="Tahoma"/>
            <family val="2"/>
          </rPr>
          <t>Quangbxdth:</t>
        </r>
        <r>
          <rPr>
            <sz val="9"/>
            <color indexed="81"/>
            <rFont val="Tahoma"/>
            <family val="2"/>
          </rPr>
          <t xml:space="preserve">
Tổng chi SNVHTT: 40 tỷ đồng</t>
        </r>
      </text>
    </comment>
    <comment ref="K9" authorId="0" shapeId="0">
      <text>
        <r>
          <rPr>
            <b/>
            <sz val="9"/>
            <color indexed="81"/>
            <rFont val="Tahoma"/>
            <family val="2"/>
          </rPr>
          <t>Quangbxdth:</t>
        </r>
        <r>
          <rPr>
            <sz val="9"/>
            <color indexed="81"/>
            <rFont val="Tahoma"/>
            <family val="2"/>
          </rPr>
          <t xml:space="preserve">
Tổng chi SNPTTH: 7 tỷ đồng</t>
        </r>
      </text>
    </comment>
    <comment ref="L9" authorId="0" shapeId="0">
      <text>
        <r>
          <rPr>
            <b/>
            <sz val="9"/>
            <color indexed="81"/>
            <rFont val="Tahoma"/>
            <family val="2"/>
          </rPr>
          <t>Quangbxdth:</t>
        </r>
        <r>
          <rPr>
            <sz val="9"/>
            <color indexed="81"/>
            <rFont val="Tahoma"/>
            <family val="2"/>
          </rPr>
          <t xml:space="preserve">
Tổng chi SNTDTT: 22 tỷ đồng</t>
        </r>
      </text>
    </comment>
    <comment ref="M9" authorId="0" shapeId="0">
      <text>
        <r>
          <rPr>
            <b/>
            <sz val="9"/>
            <color indexed="81"/>
            <rFont val="Tahoma"/>
            <family val="2"/>
          </rPr>
          <t>Quangbxdth:</t>
        </r>
        <r>
          <rPr>
            <sz val="9"/>
            <color indexed="81"/>
            <rFont val="Tahoma"/>
            <family val="2"/>
          </rPr>
          <t xml:space="preserve">
Tổng chi SNĐBXH: 75 tỷ đồng</t>
        </r>
      </text>
    </comment>
    <comment ref="N9" authorId="0" shapeId="0">
      <text>
        <r>
          <rPr>
            <b/>
            <sz val="9"/>
            <color indexed="81"/>
            <rFont val="Tahoma"/>
            <family val="2"/>
          </rPr>
          <t>Quangbxdth:</t>
        </r>
        <r>
          <rPr>
            <sz val="9"/>
            <color indexed="81"/>
            <rFont val="Tahoma"/>
            <family val="2"/>
          </rPr>
          <t xml:space="preserve">
Tổng chi QLHC: 450 tỷ đồng</t>
        </r>
      </text>
    </comment>
    <comment ref="O9" authorId="0" shapeId="0">
      <text>
        <r>
          <rPr>
            <b/>
            <sz val="9"/>
            <color indexed="81"/>
            <rFont val="Tahoma"/>
            <family val="2"/>
          </rPr>
          <t>Quangbxdth:</t>
        </r>
        <r>
          <rPr>
            <sz val="9"/>
            <color indexed="81"/>
            <rFont val="Tahoma"/>
            <family val="2"/>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family val="2"/>
          </rPr>
          <t>Quangbxdth:</t>
        </r>
        <r>
          <rPr>
            <sz val="9"/>
            <color indexed="81"/>
            <rFont val="Tahoma"/>
            <family val="2"/>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family val="2"/>
          </rPr>
          <t>Quangbxdth:</t>
        </r>
        <r>
          <rPr>
            <sz val="9"/>
            <color indexed="81"/>
            <rFont val="Tahoma"/>
            <family val="2"/>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family val="2"/>
          </rPr>
          <t>Quangbxdth:</t>
        </r>
        <r>
          <rPr>
            <sz val="9"/>
            <color indexed="81"/>
            <rFont val="Tahoma"/>
            <family val="2"/>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family val="2"/>
          </rPr>
          <t>Quangbxdth:</t>
        </r>
        <r>
          <rPr>
            <sz val="9"/>
            <color indexed="81"/>
            <rFont val="Tahoma"/>
            <family val="2"/>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family val="2"/>
          </rPr>
          <t>Quangbxdth:</t>
        </r>
        <r>
          <rPr>
            <sz val="9"/>
            <color indexed="81"/>
            <rFont val="Tahoma"/>
            <family val="2"/>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31.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32.xml><?xml version="1.0" encoding="utf-8"?>
<comments xmlns="http://schemas.openxmlformats.org/spreadsheetml/2006/main">
  <authors>
    <author>Quangbxdth</author>
  </authors>
  <commentList>
    <comment ref="B7"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1"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33.xml><?xml version="1.0" encoding="utf-8"?>
<comments xmlns="http://schemas.openxmlformats.org/spreadsheetml/2006/main">
  <authors>
    <author>Quangbxdth</author>
    <author>Windows User</author>
    <author>quangbx</author>
  </authors>
  <commentList>
    <comment ref="C11"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12"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4"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4" authorId="1" shapeId="0">
      <text>
        <r>
          <rPr>
            <b/>
            <sz val="9"/>
            <color indexed="81"/>
            <rFont val="Tahoma"/>
            <family val="2"/>
          </rPr>
          <t>Windows User:</t>
        </r>
        <r>
          <rPr>
            <sz val="9"/>
            <color indexed="81"/>
            <rFont val="Tahoma"/>
            <family val="2"/>
          </rPr>
          <t xml:space="preserve">
TRẢ THEO KẾ HOẠCH CỦA HỢP ĐỒNG</t>
        </r>
      </text>
    </comment>
    <comment ref="B25"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5"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6"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6" authorId="1" shapeId="0">
      <text>
        <r>
          <rPr>
            <b/>
            <sz val="9"/>
            <color indexed="81"/>
            <rFont val="Tahoma"/>
            <family val="2"/>
          </rPr>
          <t>Windows User:</t>
        </r>
        <r>
          <rPr>
            <sz val="9"/>
            <color indexed="81"/>
            <rFont val="Tahoma"/>
            <family val="2"/>
          </rPr>
          <t xml:space="preserve">
trả theo kế hoạch hợp đồng</t>
        </r>
      </text>
    </comment>
    <comment ref="B29"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9" authorId="0"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34.xml><?xml version="1.0" encoding="utf-8"?>
<comments xmlns="http://schemas.openxmlformats.org/spreadsheetml/2006/main">
  <authors>
    <author>Quangbxdth</author>
    <author>Windows User</author>
    <author>quangbx</author>
  </authors>
  <commentList>
    <comment ref="C8"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9"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1"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1" authorId="1" shapeId="0">
      <text>
        <r>
          <rPr>
            <b/>
            <sz val="9"/>
            <color indexed="81"/>
            <rFont val="Tahoma"/>
            <family val="2"/>
          </rPr>
          <t>Windows User:</t>
        </r>
        <r>
          <rPr>
            <sz val="9"/>
            <color indexed="81"/>
            <rFont val="Tahoma"/>
            <family val="2"/>
          </rPr>
          <t xml:space="preserve">
TRẢ THEO KẾ HOẠCH CỦA HỢP ĐỒNG</t>
        </r>
      </text>
    </comment>
    <comment ref="B22"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2"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3"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3" authorId="1" shapeId="0">
      <text>
        <r>
          <rPr>
            <b/>
            <sz val="9"/>
            <color indexed="81"/>
            <rFont val="Tahoma"/>
            <family val="2"/>
          </rPr>
          <t>Windows User:</t>
        </r>
        <r>
          <rPr>
            <sz val="9"/>
            <color indexed="81"/>
            <rFont val="Tahoma"/>
            <family val="2"/>
          </rPr>
          <t xml:space="preserve">
trả theo kế hoạch hợp đồng</t>
        </r>
      </text>
    </comment>
    <comment ref="B26"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6" authorId="0"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xml><?xml version="1.0" encoding="utf-8"?>
<comments xmlns="http://schemas.openxmlformats.org/spreadsheetml/2006/main">
  <authors>
    <author>Windows User</author>
  </authors>
  <commentList>
    <comment ref="B54" authorId="0" shapeId="0">
      <text>
        <r>
          <rPr>
            <b/>
            <sz val="9"/>
            <color indexed="81"/>
            <rFont val="Tahoma"/>
            <family val="2"/>
          </rPr>
          <t>Windows User:</t>
        </r>
        <r>
          <rPr>
            <sz val="9"/>
            <color indexed="81"/>
            <rFont val="Tahoma"/>
            <family val="2"/>
          </rPr>
          <t xml:space="preserve">
Tất cả lấy theo số của Phương</t>
        </r>
      </text>
    </comment>
    <comment ref="D55" authorId="0" shapeId="0">
      <text>
        <r>
          <rPr>
            <b/>
            <sz val="9"/>
            <color indexed="81"/>
            <rFont val="Tahoma"/>
            <family val="2"/>
          </rPr>
          <t>Windows User:</t>
        </r>
        <r>
          <rPr>
            <sz val="9"/>
            <color indexed="81"/>
            <rFont val="Tahoma"/>
            <family val="2"/>
          </rPr>
          <t xml:space="preserve">
KH Phương</t>
        </r>
      </text>
    </comment>
  </commentList>
</comments>
</file>

<file path=xl/comments5.xml><?xml version="1.0" encoding="utf-8"?>
<comments xmlns="http://schemas.openxmlformats.org/spreadsheetml/2006/main">
  <authors>
    <author>Author</author>
  </authors>
  <commentList>
    <comment ref="C7" authorId="0" shapeId="0">
      <text>
        <r>
          <rPr>
            <b/>
            <sz val="9"/>
            <color indexed="81"/>
            <rFont val="Tahoma"/>
            <family val="2"/>
          </rPr>
          <t>Author:</t>
        </r>
        <r>
          <rPr>
            <sz val="9"/>
            <color indexed="81"/>
            <rFont val="Tahoma"/>
            <family val="2"/>
          </rPr>
          <t xml:space="preserve">
chuyển sót của SỞ giáo dục và đào tạo
</t>
        </r>
      </text>
    </comment>
  </commentList>
</comments>
</file>

<file path=xl/comments6.xml><?xml version="1.0" encoding="utf-8"?>
<comments xmlns="http://schemas.openxmlformats.org/spreadsheetml/2006/main">
  <authors>
    <author>Windows User</author>
  </authors>
  <commentList>
    <comment ref="B53" authorId="0" shapeId="0">
      <text>
        <r>
          <rPr>
            <b/>
            <sz val="9"/>
            <color indexed="81"/>
            <rFont val="Tahoma"/>
            <family val="2"/>
          </rPr>
          <t>Windows User:</t>
        </r>
        <r>
          <rPr>
            <sz val="9"/>
            <color indexed="81"/>
            <rFont val="Tahoma"/>
            <family val="2"/>
          </rPr>
          <t xml:space="preserve">
Tất cả lấy theo số của Phương</t>
        </r>
      </text>
    </comment>
    <comment ref="D54" authorId="0" shapeId="0">
      <text>
        <r>
          <rPr>
            <b/>
            <sz val="9"/>
            <color indexed="81"/>
            <rFont val="Tahoma"/>
            <family val="2"/>
          </rPr>
          <t>Windows User:</t>
        </r>
        <r>
          <rPr>
            <sz val="9"/>
            <color indexed="81"/>
            <rFont val="Tahoma"/>
            <family val="2"/>
          </rPr>
          <t xml:space="preserve">
KH Phương</t>
        </r>
      </text>
    </comment>
  </commentList>
</comments>
</file>

<file path=xl/comments7.xml><?xml version="1.0" encoding="utf-8"?>
<comments xmlns="http://schemas.openxmlformats.org/spreadsheetml/2006/main">
  <authors>
    <author>quangbx</author>
    <author>XuanQuang</author>
  </authors>
  <commentList>
    <comment ref="C19" authorId="0" shapeId="0">
      <text>
        <r>
          <rPr>
            <b/>
            <sz val="8"/>
            <color indexed="81"/>
            <rFont val="Tahoma"/>
            <family val="2"/>
          </rPr>
          <t>quangbx:</t>
        </r>
        <r>
          <rPr>
            <sz val="8"/>
            <color indexed="81"/>
            <rFont val="Tahoma"/>
            <family val="2"/>
          </rPr>
          <t xml:space="preserve">
Không kể đò, chợ</t>
        </r>
      </text>
    </comment>
    <comment ref="D19" authorId="0" shapeId="0">
      <text>
        <r>
          <rPr>
            <b/>
            <sz val="8"/>
            <color indexed="81"/>
            <rFont val="Tahoma"/>
            <family val="2"/>
          </rPr>
          <t>quangbx:</t>
        </r>
        <r>
          <rPr>
            <sz val="8"/>
            <color indexed="81"/>
            <rFont val="Tahoma"/>
            <family val="2"/>
          </rPr>
          <t xml:space="preserve">
Không kể đò, chợ</t>
        </r>
      </text>
    </comment>
    <comment ref="E19" authorId="0" shapeId="0">
      <text>
        <r>
          <rPr>
            <b/>
            <sz val="8"/>
            <color indexed="81"/>
            <rFont val="Tahoma"/>
            <family val="2"/>
          </rPr>
          <t>quangbx:</t>
        </r>
        <r>
          <rPr>
            <sz val="8"/>
            <color indexed="81"/>
            <rFont val="Tahoma"/>
            <family val="2"/>
          </rPr>
          <t xml:space="preserve">
Không kể đò, chợ</t>
        </r>
      </text>
    </comment>
    <comment ref="F19" authorId="0" shapeId="0">
      <text>
        <r>
          <rPr>
            <b/>
            <sz val="8"/>
            <color indexed="81"/>
            <rFont val="Tahoma"/>
            <family val="2"/>
          </rPr>
          <t>quangbx:</t>
        </r>
        <r>
          <rPr>
            <sz val="8"/>
            <color indexed="81"/>
            <rFont val="Tahoma"/>
            <family val="2"/>
          </rPr>
          <t xml:space="preserve">
Không kể đò, chợ</t>
        </r>
      </text>
    </comment>
    <comment ref="G19" authorId="0" shapeId="0">
      <text>
        <r>
          <rPr>
            <b/>
            <sz val="8"/>
            <color indexed="81"/>
            <rFont val="Tahoma"/>
            <family val="2"/>
          </rPr>
          <t>quangbx:</t>
        </r>
        <r>
          <rPr>
            <sz val="8"/>
            <color indexed="81"/>
            <rFont val="Tahoma"/>
            <family val="2"/>
          </rPr>
          <t xml:space="preserve">
TW: 20.511 trđ</t>
        </r>
      </text>
    </comment>
    <comment ref="G20" authorId="0" shapeId="0">
      <text>
        <r>
          <rPr>
            <b/>
            <sz val="8"/>
            <color indexed="81"/>
            <rFont val="Tahoma"/>
            <family val="2"/>
          </rPr>
          <t>quangbx:</t>
        </r>
        <r>
          <rPr>
            <sz val="8"/>
            <color indexed="81"/>
            <rFont val="Tahoma"/>
            <family val="2"/>
          </rPr>
          <t xml:space="preserve">
NST: 5.773 trđ</t>
        </r>
      </text>
    </comment>
    <comment ref="I27" authorId="1" shapeId="0">
      <text>
        <r>
          <rPr>
            <b/>
            <sz val="8"/>
            <color indexed="81"/>
            <rFont val="Tahoma"/>
            <family val="2"/>
          </rPr>
          <t>XuanQuang:</t>
        </r>
        <r>
          <rPr>
            <sz val="8"/>
            <color indexed="81"/>
            <rFont val="Tahoma"/>
            <family val="2"/>
          </rPr>
          <t xml:space="preserve">
Báo cáo BTC không có XSKT</t>
        </r>
      </text>
    </comment>
    <comment ref="L27" authorId="1" shapeId="0">
      <text>
        <r>
          <rPr>
            <b/>
            <sz val="8"/>
            <color indexed="81"/>
            <rFont val="Tahoma"/>
            <family val="2"/>
          </rPr>
          <t>XuanQuang:</t>
        </r>
        <r>
          <rPr>
            <sz val="8"/>
            <color indexed="81"/>
            <rFont val="Tahoma"/>
            <family val="2"/>
          </rPr>
          <t xml:space="preserve">
Báo cáo BTC không có XSKT</t>
        </r>
      </text>
    </comment>
    <comment ref="M27" authorId="1" shapeId="0">
      <text>
        <r>
          <rPr>
            <b/>
            <sz val="8"/>
            <color indexed="81"/>
            <rFont val="Tahoma"/>
            <family val="2"/>
          </rPr>
          <t>XuanQuang:</t>
        </r>
        <r>
          <rPr>
            <sz val="8"/>
            <color indexed="81"/>
            <rFont val="Tahoma"/>
            <family val="2"/>
          </rPr>
          <t xml:space="preserve">
Báo cáo BTC không có XSKT</t>
        </r>
      </text>
    </comment>
    <comment ref="N27" authorId="1" shapeId="0">
      <text>
        <r>
          <rPr>
            <b/>
            <sz val="8"/>
            <color indexed="81"/>
            <rFont val="Tahoma"/>
            <family val="2"/>
          </rPr>
          <t>XuanQuang:</t>
        </r>
        <r>
          <rPr>
            <sz val="8"/>
            <color indexed="81"/>
            <rFont val="Tahoma"/>
            <family val="2"/>
          </rPr>
          <t xml:space="preserve">
Báo cáo BTC không có XSKT</t>
        </r>
      </text>
    </comment>
    <comment ref="M37" authorId="1" shapeId="0">
      <text>
        <r>
          <rPr>
            <b/>
            <sz val="8"/>
            <color indexed="81"/>
            <rFont val="Tahoma"/>
            <family val="2"/>
          </rPr>
          <t>XuanQuang:</t>
        </r>
        <r>
          <rPr>
            <sz val="8"/>
            <color indexed="81"/>
            <rFont val="Tahoma"/>
            <family val="2"/>
          </rPr>
          <t xml:space="preserve">
Bằng năm 2009+ 50% của tăng thu DT 2010 so với thực hiện năm 2009</t>
        </r>
      </text>
    </comment>
    <comment ref="N37" authorId="1" shapeId="0">
      <text>
        <r>
          <rPr>
            <b/>
            <sz val="8"/>
            <color indexed="81"/>
            <rFont val="Tahoma"/>
            <family val="2"/>
          </rPr>
          <t>XuanQuang:</t>
        </r>
        <r>
          <rPr>
            <sz val="8"/>
            <color indexed="81"/>
            <rFont val="Tahoma"/>
            <family val="2"/>
          </rPr>
          <t xml:space="preserve">
Bằng năm 2009+ 50% của tăng thu DT 2010 so với thực hiện năm 2009</t>
        </r>
      </text>
    </comment>
  </commentList>
</comments>
</file>

<file path=xl/comments8.xml><?xml version="1.0" encoding="utf-8"?>
<comments xmlns="http://schemas.openxmlformats.org/spreadsheetml/2006/main">
  <authors>
    <author>quangbx</author>
  </authors>
  <commentList>
    <comment ref="J3" authorId="0" shapeId="0">
      <text>
        <r>
          <rPr>
            <b/>
            <sz val="9"/>
            <color indexed="81"/>
            <rFont val="Tahoma"/>
            <family val="2"/>
          </rPr>
          <t>quangbx:</t>
        </r>
        <r>
          <rPr>
            <sz val="9"/>
            <color indexed="81"/>
            <rFont val="Tahoma"/>
            <family val="2"/>
          </rPr>
          <t xml:space="preserve">
Theo Thông báo 10829/TB-BTC ngày 9/9/2020 của BTC Về số kiểm tra thu chi NSNN năm 2021 và dự kiến số thu chi NSNN năm 2022-2023
</t>
        </r>
        <r>
          <rPr>
            <b/>
            <sz val="9"/>
            <color indexed="81"/>
            <rFont val="Tahoma"/>
            <family val="2"/>
          </rPr>
          <t xml:space="preserve">Năm 2021: </t>
        </r>
        <r>
          <rPr>
            <sz val="9"/>
            <color indexed="81"/>
            <rFont val="Tahoma"/>
            <family val="2"/>
          </rPr>
          <t xml:space="preserve">
-Số thu nội địa không kể tiền sử dụng đất, thu XSKT: 5.910.000 trđ
-số bổ sung CĐNS: 4.883.126 trđ
-Số chi  cân đối NSĐP: 9.263.416 trđ, trong đó chi thường xuyên: 8.089.829 trđ; chi bổ sung có mục tiêu từ nguồn NSTW bổ sung cho ĐP (vốn sự nghiệp): 304.978 trđ
</t>
        </r>
        <r>
          <rPr>
            <b/>
            <sz val="9"/>
            <color indexed="81"/>
            <rFont val="Tahoma"/>
            <family val="2"/>
          </rPr>
          <t xml:space="preserve">Năm 2022: </t>
        </r>
        <r>
          <rPr>
            <sz val="9"/>
            <color indexed="81"/>
            <rFont val="Tahoma"/>
            <family val="2"/>
          </rPr>
          <t xml:space="preserve">
-Số thu nội địa không kể tiền sử dụng đất, thu XSKT: 6.346.000 trđ
-số bổ sung CĐNS:  trđ
-Số chi  cân đối NSĐP: 9.263.416 trđ, trong đó chi thường xuyên:  trđ; chi bổ sung có mục tiêu từ nguồn NSTW bổ sung cho ĐP (vốn sự nghiệp):  trđ
</t>
        </r>
        <r>
          <rPr>
            <b/>
            <sz val="9"/>
            <color indexed="81"/>
            <rFont val="Tahoma"/>
            <family val="2"/>
          </rPr>
          <t xml:space="preserve">Năm 2023: </t>
        </r>
        <r>
          <rPr>
            <sz val="9"/>
            <color indexed="81"/>
            <rFont val="Tahoma"/>
            <family val="2"/>
          </rPr>
          <t xml:space="preserve">
-Số thu nội địa không kể tiền sử dụng đất, thu XSKT: 6.923.000 trđ
-số bổ sung CĐNS:  trđ
-Số chi  cân đối NSĐP: 9.263.416 trđ, trong đó chi thường xuyên:  trđ; chi bổ sung có mục tiêu từ nguồn NSTW bổ sung cho ĐP (vốn sự nghiệp):  trđ
</t>
        </r>
      </text>
    </comment>
  </commentList>
</comments>
</file>

<file path=xl/comments9.xml><?xml version="1.0" encoding="utf-8"?>
<comments xmlns="http://schemas.openxmlformats.org/spreadsheetml/2006/main">
  <authors>
    <author>quangbxdth</author>
    <author>Quangbxdth</author>
    <author>quangbx</author>
  </authors>
  <commentList>
    <comment ref="T14" authorId="0" shapeId="0">
      <text>
        <r>
          <rPr>
            <b/>
            <sz val="9"/>
            <color indexed="81"/>
            <rFont val="Tahoma"/>
            <family val="2"/>
          </rPr>
          <t>quangbxdth:</t>
        </r>
        <r>
          <rPr>
            <sz val="9"/>
            <color indexed="81"/>
            <rFont val="Tahoma"/>
            <family val="2"/>
          </rPr>
          <t xml:space="preserve">
Số kiểm tra của BTC: 7.437.000 trđ (tăng 10% so với năm 2020)</t>
        </r>
      </text>
    </comment>
    <comment ref="Z14" authorId="0" shapeId="0">
      <text>
        <r>
          <rPr>
            <b/>
            <sz val="9"/>
            <color indexed="81"/>
            <rFont val="Tahoma"/>
            <family val="2"/>
          </rPr>
          <t>quangbxdth:</t>
        </r>
        <r>
          <rPr>
            <sz val="9"/>
            <color indexed="81"/>
            <rFont val="Tahoma"/>
            <family val="2"/>
          </rPr>
          <t xml:space="preserve">
Số kiểm tra của BTC: 8.182.000 trđ (tăng 10% so với năm 2021)</t>
        </r>
      </text>
    </comment>
    <comment ref="P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V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B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H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N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C43" authorId="1" shapeId="0">
      <text>
        <r>
          <rPr>
            <b/>
            <sz val="9"/>
            <color indexed="81"/>
            <rFont val="Tahoma"/>
            <family val="2"/>
          </rPr>
          <t>Quangbxdth:</t>
        </r>
        <r>
          <rPr>
            <sz val="9"/>
            <color indexed="81"/>
            <rFont val="Tahoma"/>
            <family val="2"/>
          </rPr>
          <t xml:space="preserve">
NSTW: 45.000 trđ</t>
        </r>
      </text>
    </comment>
    <comment ref="F43" authorId="2" shapeId="0">
      <text>
        <r>
          <rPr>
            <b/>
            <sz val="8"/>
            <color indexed="81"/>
            <rFont val="Tahoma"/>
            <family val="2"/>
          </rPr>
          <t>quangbx:</t>
        </r>
        <r>
          <rPr>
            <sz val="8"/>
            <color indexed="81"/>
            <rFont val="Tahoma"/>
            <family val="2"/>
          </rPr>
          <t xml:space="preserve">
6.600 trđ</t>
        </r>
      </text>
    </comment>
    <comment ref="G43" authorId="2" shapeId="0">
      <text>
        <r>
          <rPr>
            <b/>
            <sz val="8"/>
            <color indexed="81"/>
            <rFont val="Tahoma"/>
            <family val="2"/>
          </rPr>
          <t>quangbx:</t>
        </r>
        <r>
          <rPr>
            <sz val="8"/>
            <color indexed="81"/>
            <rFont val="Tahoma"/>
            <family val="2"/>
          </rPr>
          <t xml:space="preserve">
59.500 trđ</t>
        </r>
      </text>
    </comment>
    <comment ref="H43" authorId="1" shapeId="0">
      <text>
        <r>
          <rPr>
            <b/>
            <sz val="10"/>
            <color indexed="81"/>
            <rFont val="Tahoma"/>
            <family val="2"/>
          </rPr>
          <t>Quangbxdth:</t>
        </r>
        <r>
          <rPr>
            <sz val="10"/>
            <color indexed="81"/>
            <rFont val="Tahoma"/>
            <family val="2"/>
          </rPr>
          <t xml:space="preserve">
Tr.đó:+ Phí BVMT đối với khai thác khoáng sản: 45.000 trđ</t>
        </r>
      </text>
    </comment>
    <comment ref="N43" authorId="1" shapeId="0">
      <text>
        <r>
          <rPr>
            <b/>
            <sz val="10"/>
            <color indexed="81"/>
            <rFont val="Tahoma"/>
            <family val="2"/>
          </rPr>
          <t>Quangbxdth:</t>
        </r>
        <r>
          <rPr>
            <sz val="10"/>
            <color indexed="81"/>
            <rFont val="Tahoma"/>
            <family val="2"/>
          </rPr>
          <t xml:space="preserve">
Tr.đó:+ Phí BVMT đối với khai thác khoáng sản: 46.000 trđ</t>
        </r>
      </text>
    </comment>
    <comment ref="P43" authorId="1" shapeId="0">
      <text>
        <r>
          <rPr>
            <b/>
            <sz val="9"/>
            <color indexed="81"/>
            <rFont val="Tahoma"/>
            <family val="2"/>
          </rPr>
          <t>Quangbxdth:</t>
        </r>
        <r>
          <rPr>
            <sz val="9"/>
            <color indexed="81"/>
            <rFont val="Tahoma"/>
            <family val="2"/>
          </rPr>
          <t xml:space="preserve">
Lệ phí cấp căn cước công dân: 15,9 tỷ đồng</t>
        </r>
      </text>
    </comment>
    <comment ref="Z43" authorId="0"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C44" authorId="0" shapeId="0">
      <text>
        <r>
          <rPr>
            <b/>
            <sz val="9"/>
            <color indexed="81"/>
            <rFont val="Tahoma"/>
            <family val="2"/>
          </rPr>
          <t>quangbxdth:</t>
        </r>
        <r>
          <rPr>
            <sz val="9"/>
            <color indexed="81"/>
            <rFont val="Tahoma"/>
            <family val="2"/>
          </rPr>
          <t xml:space="preserve">
TW giao: 573 tỷ đồng (ngày 29/11/2019-QĐ 1704/QĐ-TTg và QĐ 2503/QĐ-BTC)
ĐP giao: 600 tỷ đồng</t>
        </r>
      </text>
    </comment>
    <comment ref="C47" authorId="1" shapeId="0">
      <text>
        <r>
          <rPr>
            <b/>
            <sz val="9"/>
            <color indexed="81"/>
            <rFont val="Tahoma"/>
            <family val="2"/>
          </rPr>
          <t>Quangbxdth:</t>
        </r>
        <r>
          <rPr>
            <sz val="9"/>
            <color indexed="81"/>
            <rFont val="Tahoma"/>
            <family val="2"/>
          </rPr>
          <t xml:space="preserve">
Tr.đó: - Thu phạt vi phạm ATGT: 50.000 trđ</t>
        </r>
      </text>
    </comment>
    <comment ref="D47" authorId="0" shapeId="0">
      <text>
        <r>
          <rPr>
            <b/>
            <sz val="9"/>
            <color indexed="81"/>
            <rFont val="Tahoma"/>
            <family val="2"/>
          </rPr>
          <t>quangbxdth:</t>
        </r>
        <r>
          <rPr>
            <sz val="9"/>
            <color indexed="81"/>
            <rFont val="Tahoma"/>
            <family val="2"/>
          </rPr>
          <t xml:space="preserve">
Trong đó : phạt ATGT: 50 tỷ đồng</t>
        </r>
      </text>
    </comment>
    <comment ref="F47" authorId="2" shapeId="0">
      <text>
        <r>
          <rPr>
            <b/>
            <sz val="8"/>
            <color indexed="81"/>
            <rFont val="Tahoma"/>
            <family val="2"/>
          </rPr>
          <t>quangbx:</t>
        </r>
        <r>
          <rPr>
            <sz val="8"/>
            <color indexed="81"/>
            <rFont val="Tahoma"/>
            <family val="2"/>
          </rPr>
          <t xml:space="preserve">
6.600 trđ</t>
        </r>
      </text>
    </comment>
    <comment ref="N47" authorId="1" shapeId="0">
      <text>
        <r>
          <rPr>
            <b/>
            <sz val="9"/>
            <color indexed="81"/>
            <rFont val="Tahoma"/>
            <family val="2"/>
          </rPr>
          <t>Quangbxdth:</t>
        </r>
        <r>
          <rPr>
            <sz val="9"/>
            <color indexed="81"/>
            <rFont val="Tahoma"/>
            <family val="2"/>
          </rPr>
          <t xml:space="preserve">
Tr.đó: - Thu phạt vi phạm ATGT: 47.000 trđ</t>
        </r>
      </text>
    </comment>
    <comment ref="P47" authorId="0" shapeId="0">
      <text>
        <r>
          <rPr>
            <b/>
            <sz val="9"/>
            <color indexed="81"/>
            <rFont val="Tahoma"/>
            <family val="2"/>
          </rPr>
          <t>quangbxdth:</t>
        </r>
        <r>
          <rPr>
            <sz val="9"/>
            <color indexed="81"/>
            <rFont val="Tahoma"/>
            <family val="2"/>
          </rPr>
          <t xml:space="preserve">
Trong đó : phạt ATGT: </t>
        </r>
      </text>
    </comment>
    <comment ref="C51" authorId="0"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N56" authorId="0" shapeId="0">
      <text>
        <r>
          <rPr>
            <b/>
            <sz val="9"/>
            <color indexed="81"/>
            <rFont val="Tahoma"/>
            <family val="2"/>
          </rPr>
          <t>quangbxdth:</t>
        </r>
        <r>
          <rPr>
            <sz val="9"/>
            <color indexed="81"/>
            <rFont val="Tahoma"/>
            <family val="2"/>
          </rPr>
          <t xml:space="preserve">
+4.693.126 trđ (năm 2017)
+ 94.000 trd (# năm 2019)
</t>
        </r>
      </text>
    </comment>
    <comment ref="T56" authorId="0" shapeId="0">
      <text>
        <r>
          <rPr>
            <b/>
            <sz val="9"/>
            <color indexed="81"/>
            <rFont val="Tahoma"/>
            <family val="2"/>
          </rPr>
          <t>quangbxdth:</t>
        </r>
        <r>
          <rPr>
            <sz val="9"/>
            <color indexed="81"/>
            <rFont val="Tahoma"/>
            <family val="2"/>
          </rPr>
          <t xml:space="preserve">
+4.693.126 trđ (năm 2017)
+ 94.000 trd (# năm 2019)
</t>
        </r>
      </text>
    </comment>
    <comment ref="Z56" authorId="0" shapeId="0">
      <text>
        <r>
          <rPr>
            <b/>
            <sz val="9"/>
            <color indexed="81"/>
            <rFont val="Tahoma"/>
            <family val="2"/>
          </rPr>
          <t>quangbxdth:</t>
        </r>
        <r>
          <rPr>
            <sz val="9"/>
            <color indexed="81"/>
            <rFont val="Tahoma"/>
            <family val="2"/>
          </rPr>
          <t xml:space="preserve">
+4.693.126 trđ (năm 2017)
+ 94.000 trd (# năm 2019)
</t>
        </r>
      </text>
    </comment>
    <comment ref="AF56" authorId="0" shapeId="0">
      <text>
        <r>
          <rPr>
            <b/>
            <sz val="9"/>
            <color indexed="81"/>
            <rFont val="Tahoma"/>
            <family val="2"/>
          </rPr>
          <t>quangbxdth:</t>
        </r>
        <r>
          <rPr>
            <sz val="9"/>
            <color indexed="81"/>
            <rFont val="Tahoma"/>
            <family val="2"/>
          </rPr>
          <t xml:space="preserve">
+4.693.126 trđ (năm 2017)
+ 94.000 trd (# năm 2019)
</t>
        </r>
      </text>
    </comment>
    <comment ref="AL56" authorId="0" shapeId="0">
      <text>
        <r>
          <rPr>
            <b/>
            <sz val="9"/>
            <color indexed="81"/>
            <rFont val="Tahoma"/>
            <family val="2"/>
          </rPr>
          <t>quangbxdth:</t>
        </r>
        <r>
          <rPr>
            <sz val="9"/>
            <color indexed="81"/>
            <rFont val="Tahoma"/>
            <family val="2"/>
          </rPr>
          <t xml:space="preserve">
+4.693.126 trđ (năm 2017)
+ 94.000 trd (# năm 2019)
</t>
        </r>
      </text>
    </comment>
    <comment ref="C61" authorId="0" shapeId="0">
      <text>
        <r>
          <rPr>
            <b/>
            <sz val="9"/>
            <color indexed="81"/>
            <rFont val="Tahoma"/>
            <family val="2"/>
          </rPr>
          <t>quangbxdth:</t>
        </r>
        <r>
          <rPr>
            <sz val="9"/>
            <color indexed="81"/>
            <rFont val="Tahoma"/>
            <family val="2"/>
          </rPr>
          <t xml:space="preserve">
</t>
        </r>
        <r>
          <rPr>
            <b/>
            <sz val="9"/>
            <color indexed="81"/>
            <rFont val="Tahoma"/>
            <family val="2"/>
          </rPr>
          <t>Năm 2020:</t>
        </r>
        <r>
          <rPr>
            <sz val="9"/>
            <color indexed="81"/>
            <rFont val="Tahoma"/>
            <family val="2"/>
          </rPr>
          <t xml:space="preserve">
Dự kiến NSTW bổ sung năm 2020 để thực hiện TLCS 1,490 trđ/tháng: 6.825 triệu đồng (ngày 19/8/2019)
A/Nguồn:
1/ 50% tăng thu dự toán thu nội địa không kể đất, XSKT: 511.060 trđ (1.022.120 trđ x 50%)
2/ Nguồn TW bổ sung thực TL 1,139trđ/tháng: 200.353 trđ
Cộng: 310.707 trđ (511.060 trđ - 200.353 trđ) 
B/ Nhu cầu:
Nhu cầu TL cơ sở 1,490.000 đ/tháng năm 2020: 337.657 trđ
C/Chênh lệch giữa nguồn và nhu cầu:
310.707 trđ - 337.657 trđ = -26.950 trđ
</t>
        </r>
        <r>
          <rPr>
            <b/>
            <sz val="9"/>
            <color indexed="81"/>
            <rFont val="Tahoma"/>
            <family val="2"/>
          </rPr>
          <t>Năm 2019:</t>
        </r>
        <r>
          <rPr>
            <sz val="9"/>
            <color indexed="81"/>
            <rFont val="Tahoma"/>
            <family val="2"/>
          </rPr>
          <t xml:space="preserve">
1/ Nhu cầu TL cơ sở 1,390.000 đ/tháng năm 2019: 298.832 trđ
2/ Nguồn: 213.526 trđ, gồm:
- 50% tăng thu dự toán 2019 so với dự toán thu 2018 TW giao(không kể tiền sử dụng đất, xskt): 168.450 trđ
- Học phí, viện phí: 35.614 trđ
- 10% tiết kiệm chi TX năm 2018: 9.462 trđ
3/ Chênh lệch giữa nguồn và nhu cầu:
= 213.526 trđ - 298,932 trđ= -85.306 trđ
</t>
        </r>
        <r>
          <rPr>
            <b/>
            <sz val="9"/>
            <color indexed="81"/>
            <rFont val="Tahoma"/>
            <family val="2"/>
          </rPr>
          <t>=&gt;NSTW bổ sung năm 2019: 85.306 trđ</t>
        </r>
        <r>
          <rPr>
            <sz val="9"/>
            <color indexed="81"/>
            <rFont val="Tahoma"/>
            <family val="2"/>
          </rPr>
          <t xml:space="preserve">
50% tăng thu còn lại 168.450 trđ, Vụ NSNN-BTC hướng dẫn trừ vào nguồn NSTW bổ sung thực hiện TL cơ sở 1.300.000 đ/tháng năm 2018: 94.455 trđ
=&gt; 50% tăng thu còn lại sau khi bù trừ nguồn NSTW bổ sung TL còn lại
= 168.450 trđ - 94.455 trđ =</t>
        </r>
        <r>
          <rPr>
            <b/>
            <sz val="9"/>
            <color indexed="81"/>
            <rFont val="Tahoma"/>
            <family val="2"/>
          </rPr>
          <t xml:space="preserve"> 73.995 trđ </t>
        </r>
        <r>
          <rPr>
            <sz val="9"/>
            <color indexed="81"/>
            <rFont val="Tahoma"/>
            <family val="2"/>
          </rPr>
          <t xml:space="preserve">để bố trí tăng chi thường xuyên (67.043 trđ), tăng chi dự phòng ngân sách (7.052 trđ), 1.022317
=96.000 trđ = 4.787.126 trđ * 2%
</t>
        </r>
        <r>
          <rPr>
            <sz val="12"/>
            <color indexed="81"/>
            <rFont val="Tahoma"/>
            <family val="2"/>
          </rPr>
          <t xml:space="preserve">Năm 2020 anh đc bổ sung 26.950 thực hiện lương 1,49. Năm nay ko tăng lương cơ sở nên số đó giữ nguyên, bổ sung thêm 50% giảm thu dt 2021 so 2020 191.130, trừ bớt đi tiết kiệm từ NQ 18,19 15.145
</t>
        </r>
      </text>
    </comment>
    <comment ref="N61" authorId="0" shapeId="0">
      <text>
        <r>
          <rPr>
            <b/>
            <sz val="9"/>
            <color indexed="81"/>
            <rFont val="Tahoma"/>
            <family val="2"/>
          </rPr>
          <t>quangbxdth:</t>
        </r>
        <r>
          <rPr>
            <sz val="9"/>
            <color indexed="81"/>
            <rFont val="Tahoma"/>
            <family val="2"/>
          </rPr>
          <t xml:space="preserve">
</t>
        </r>
        <r>
          <rPr>
            <b/>
            <sz val="9"/>
            <color indexed="81"/>
            <rFont val="Tahoma"/>
            <family val="2"/>
          </rPr>
          <t>Năm 2020:</t>
        </r>
        <r>
          <rPr>
            <sz val="9"/>
            <color indexed="81"/>
            <rFont val="Tahoma"/>
            <family val="2"/>
          </rPr>
          <t xml:space="preserve">
Dự kiến NSTW bổ sung năm 2020 để thực hiện TLCS 1,490 trđ/tháng: 6.825 triệu đồng (ngày 19/8/2019)
A/Nguồn:
1/ 50% tăng thu dự toán thu nội địa không kể đất, XSKT: 511.060 trđ (1.022.120 trđ x 50%)
2/ Nguồn TW bổ sung thực TL 1,139trđ/tháng: 200.353 trđ
Cộng: 310.707 trđ (511.060 trđ - 200.353 trđ) 
B/ Nhu cầu:
Nhu cầu TL cơ sở 1,490.000 đ/tháng năm 2020: 337.657 trđ
C/Chênh lệch giữa nguồn và nhu cầu:
310.707 trđ - 337.657 trđ = -26.950 trđ
</t>
        </r>
        <r>
          <rPr>
            <b/>
            <sz val="9"/>
            <color indexed="81"/>
            <rFont val="Tahoma"/>
            <family val="2"/>
          </rPr>
          <t>Năm 2019:</t>
        </r>
        <r>
          <rPr>
            <sz val="9"/>
            <color indexed="81"/>
            <rFont val="Tahoma"/>
            <family val="2"/>
          </rPr>
          <t xml:space="preserve">
1/ Nhu cầu TL cơ sở 1,390.000 đ/tháng năm 2019: 298.832 trđ
2/ Nguồn: 213.526 trđ, gồm:
- 50% tăng thu dự toán 2019 so với dự toán thu 2018 TW giao(không kể tiền sử dụng đất, xskt): 168.450 trđ
- Học phí, viện phí: 35.614 trđ
- 10% tiết kiệm chi TX năm 2018: 9.462 trđ
3/ Chênh lệch giữa nguồn và nhu cầu:
= 213.526 trđ - 298,932 trđ= -85.306 trđ
</t>
        </r>
        <r>
          <rPr>
            <b/>
            <sz val="9"/>
            <color indexed="81"/>
            <rFont val="Tahoma"/>
            <family val="2"/>
          </rPr>
          <t>=&gt;NSTW bổ sung năm 2019: 85.306 trđ</t>
        </r>
        <r>
          <rPr>
            <sz val="9"/>
            <color indexed="81"/>
            <rFont val="Tahoma"/>
            <family val="2"/>
          </rPr>
          <t xml:space="preserve">
50% tăng thu còn lại 168.450 trđ, Vụ NSNN-BTC hướng dẫn trừ vào nguồn NSTW bổ sung thực hiện TL cơ sở 1.300.000 đ/tháng năm 2018: 94.455 trđ
=&gt; 50% tăng thu còn lại sau khi bù trừ nguồn NSTW bổ sung TL còn lại
= 168.450 trđ - 94.455 trđ =</t>
        </r>
        <r>
          <rPr>
            <b/>
            <sz val="9"/>
            <color indexed="81"/>
            <rFont val="Tahoma"/>
            <family val="2"/>
          </rPr>
          <t xml:space="preserve"> 73.995 trđ </t>
        </r>
        <r>
          <rPr>
            <sz val="9"/>
            <color indexed="81"/>
            <rFont val="Tahoma"/>
            <family val="2"/>
          </rPr>
          <t xml:space="preserve">để bố trí tăng chi thường xuyên (67.043 trđ), tăng chi dự phòng ngân sách (7.052 trđ), 1.022317
=96.000 trđ = 4.787.126 trđ * 2%
</t>
        </r>
        <r>
          <rPr>
            <sz val="12"/>
            <color indexed="81"/>
            <rFont val="Tahoma"/>
            <family val="2"/>
          </rPr>
          <t xml:space="preserve">Năm 2020 anh đc bổ sung 26.950 thực hiện lương 1,49. Năm nay ko tăng lương cơ sở nên số đó giữ nguyên, bổ sung thêm 50% giảm thu dt 2021 so 2020 191.130, trừ bớt đi tiết kiệm từ NQ 18,19 15.145
</t>
        </r>
      </text>
    </comment>
    <comment ref="R61" authorId="0" shapeId="0">
      <text>
        <r>
          <rPr>
            <b/>
            <sz val="9"/>
            <color indexed="81"/>
            <rFont val="Tahoma"/>
            <family val="2"/>
          </rPr>
          <t>quangbxdth:</t>
        </r>
        <r>
          <rPr>
            <sz val="9"/>
            <color indexed="81"/>
            <rFont val="Tahoma"/>
            <family val="2"/>
          </rPr>
          <t xml:space="preserve">
- Bổ sung thực hiện CCTL 1,49 trđ/tháng: 26.950 trđ
- 2% bổ sung tăng thêm của năm 2020: 96.000 trđ (4.787.126 trđ x 2%)</t>
        </r>
      </text>
    </comment>
    <comment ref="F62" authorId="0" shapeId="0">
      <text>
        <r>
          <rPr>
            <b/>
            <sz val="9"/>
            <color indexed="81"/>
            <rFont val="Tahoma"/>
            <family val="2"/>
          </rPr>
          <t>quangbxdth:</t>
        </r>
        <r>
          <rPr>
            <sz val="9"/>
            <color indexed="81"/>
            <rFont val="Tahoma"/>
            <family val="2"/>
          </rPr>
          <t xml:space="preserve">
Nguôn CCTL  của cấp Tỉnh chuyển sang 2019: 194.121 tỷ đồng</t>
        </r>
      </text>
    </comment>
    <comment ref="R62" authorId="0" shapeId="0">
      <text>
        <r>
          <rPr>
            <b/>
            <sz val="9"/>
            <color indexed="81"/>
            <rFont val="Tahoma"/>
            <family val="2"/>
          </rPr>
          <t>quangbxdth:</t>
        </r>
        <r>
          <rPr>
            <sz val="9"/>
            <color indexed="81"/>
            <rFont val="Tahoma"/>
            <family val="2"/>
          </rPr>
          <t xml:space="preserve">
</t>
        </r>
        <r>
          <rPr>
            <sz val="10"/>
            <color indexed="81"/>
            <rFont val="Tahoma"/>
            <family val="2"/>
          </rPr>
          <t>1- Còn dư chuyển sang năm 2020: 968.864 triệu đồng
2. Sử dung: 885.508 triệu đồng, gồm:
- Sử dụng cho năm 2021: 278.759 triệu đồng
- Sử dụng bù nguồn chi tạo nguồn CCTL của TPCL, TPSĐ: 606.749 trđ
3.  Còn lại: 83.356 triệu đồng, số này dự kiến bù hụt thu NSĐP năm 2020</t>
        </r>
      </text>
    </comment>
    <comment ref="C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63"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sharedStrings.xml><?xml version="1.0" encoding="utf-8"?>
<sst xmlns="http://schemas.openxmlformats.org/spreadsheetml/2006/main" count="6442" uniqueCount="1696">
  <si>
    <t>ĐVT : Triệu đồng</t>
  </si>
  <si>
    <t>Số TT</t>
  </si>
  <si>
    <t xml:space="preserve">Nội dung chi </t>
  </si>
  <si>
    <t xml:space="preserve">Hồng    Ngự </t>
  </si>
  <si>
    <t xml:space="preserve">Tân    Hồng </t>
  </si>
  <si>
    <t xml:space="preserve">Tam Nông </t>
  </si>
  <si>
    <t xml:space="preserve">Thanh Bình </t>
  </si>
  <si>
    <t xml:space="preserve">TP Cao Lãnh </t>
  </si>
  <si>
    <t xml:space="preserve">H. Cao Lãnh </t>
  </si>
  <si>
    <t xml:space="preserve">Tháp Mười </t>
  </si>
  <si>
    <t>Lấp      Vò</t>
  </si>
  <si>
    <t xml:space="preserve">Lai     Vung </t>
  </si>
  <si>
    <t xml:space="preserve">Châu Thành </t>
  </si>
  <si>
    <t xml:space="preserve">Vốn tập trung trong nước </t>
  </si>
  <si>
    <t xml:space="preserve">Vốn từ nguồn thu tiền sử dụng đất </t>
  </si>
  <si>
    <t xml:space="preserve">Chi thường xuyên </t>
  </si>
  <si>
    <t>Sự nghiệp giáo dục, đào tạo</t>
  </si>
  <si>
    <t>Chi từ nguồn NS cấp Tỉnh bổ sung có mục tiêu</t>
  </si>
  <si>
    <t xml:space="preserve">Tổng cộng </t>
  </si>
  <si>
    <t>Thu điều tiết theo phân cấp</t>
  </si>
  <si>
    <t>Thu bổ sung từ NS cấp Tỉnh</t>
  </si>
  <si>
    <t>Bao gồm</t>
  </si>
  <si>
    <t>Bổ sung mục tiêu</t>
  </si>
  <si>
    <t xml:space="preserve">Hồng Ngự </t>
  </si>
  <si>
    <t xml:space="preserve">Tân Hồng </t>
  </si>
  <si>
    <t>Tháp Mười</t>
  </si>
  <si>
    <t>Lấp Vò</t>
  </si>
  <si>
    <t xml:space="preserve">Lai Vung </t>
  </si>
  <si>
    <t>Cộng</t>
  </si>
  <si>
    <t>Chi đầu tư từ nguồn vốn XDCB TT của Tỉnh</t>
  </si>
  <si>
    <t>Chi đầu tư từ nguồn thu XSKT</t>
  </si>
  <si>
    <t>Hội Liên lạc với người Việt Nam ở nước ngoài</t>
  </si>
  <si>
    <t xml:space="preserve">UỶ BAN NHÂN DÂN                  CỘNG HÒA XÃ HỘI CHỦ NGHĨA VIỆT NAM
TỈNH ĐỒNG THÁP                                   Độc lập - Tự do - Hạnh phúc
</t>
  </si>
  <si>
    <t>Chỉ tiêu</t>
  </si>
  <si>
    <t>Gồm</t>
  </si>
  <si>
    <t>Kinh phí 
sự nghiệp</t>
  </si>
  <si>
    <t>Một số mục tiêu, nhiệm vụ khác</t>
  </si>
  <si>
    <t>Kinh phí sự nghiệp</t>
  </si>
  <si>
    <t>Tổng số (A+B)</t>
  </si>
  <si>
    <t>Đơn vị tính: %</t>
  </si>
  <si>
    <t>Số
TT</t>
  </si>
  <si>
    <t>Chi tiết các khoản thu (6)</t>
  </si>
  <si>
    <t>Thu từ khu vực kinh tế ngoài quốc doanh</t>
  </si>
  <si>
    <t>Lệ phí trước bạ (2 )</t>
  </si>
  <si>
    <t>Thuế sử dụng đất nông nghiệp</t>
  </si>
  <si>
    <t>Thu tại xã, phường, thị trấn</t>
  </si>
  <si>
    <t>Thuế GTGT</t>
  </si>
  <si>
    <t>Thuế TNDN</t>
  </si>
  <si>
    <t>Thuế TTĐB</t>
  </si>
  <si>
    <t>Thu khác NQD</t>
  </si>
  <si>
    <t>Huyện Hồng Ngự</t>
  </si>
  <si>
    <t>Huyện Tân Hồng</t>
  </si>
  <si>
    <t>Huyện Tam Nông</t>
  </si>
  <si>
    <t>Huyện Thanh Bình</t>
  </si>
  <si>
    <t>Thành phố Cao Lãnh</t>
  </si>
  <si>
    <t>Huyện Cao Lãnh</t>
  </si>
  <si>
    <t>Huyện Tháp Mười</t>
  </si>
  <si>
    <t>Huyện Lấp Vò</t>
  </si>
  <si>
    <t>Huyện Lai Vung</t>
  </si>
  <si>
    <t>Huyện Châu Thành</t>
  </si>
  <si>
    <t xml:space="preserve">Ghi chú: </t>
  </si>
  <si>
    <t>(2): không kể lệ phí trước bạ nhà, đất</t>
  </si>
  <si>
    <t>(3): không kể phí, lệ phí do các ngành thuộc TW, cấp Tỉnh và cấp xã thu</t>
  </si>
  <si>
    <t xml:space="preserve">TỶ LỆ PHẦN TRĂM ( % ) PHÂN CHIA CÁC KHOẢN THU </t>
  </si>
  <si>
    <t xml:space="preserve">Đơn vị tính: % </t>
  </si>
  <si>
    <t>Tên xã, phường, thị trấn</t>
  </si>
  <si>
    <t>Lệ phí trước bạ nhà, đất</t>
  </si>
  <si>
    <t>Các khoản thu tại xã, phường, thị trấn</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</si>
  <si>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</si>
  <si>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</si>
  <si>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</si>
  <si>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</si>
  <si>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</si>
  <si>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</si>
  <si>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</si>
  <si>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</si>
  <si>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</si>
  <si>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</si>
  <si>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t>Phường An Thạnh</t>
  </si>
  <si>
    <t>Phường An Lộc</t>
  </si>
  <si>
    <t xml:space="preserve">Bình Thạnh </t>
  </si>
  <si>
    <t>Tân Hội</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</si>
  <si>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</si>
  <si>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</si>
  <si>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</si>
  <si>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</si>
  <si>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</si>
  <si>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</si>
  <si>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</si>
  <si>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</si>
  <si>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</si>
  <si>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</si>
  <si>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</si>
  <si>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</si>
  <si>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</si>
  <si>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</si>
  <si>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</si>
  <si>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</si>
  <si>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</si>
  <si>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</si>
  <si>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</si>
  <si>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</si>
  <si>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</si>
  <si>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</si>
  <si>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</si>
  <si>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</si>
  <si>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</si>
  <si>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</si>
  <si>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</si>
  <si>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</si>
  <si>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</si>
  <si>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</si>
  <si>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</si>
  <si>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</si>
  <si>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</si>
  <si>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</si>
  <si>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</si>
  <si>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</si>
  <si>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</si>
  <si>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</si>
  <si>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</si>
  <si>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</si>
  <si>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</si>
  <si>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</si>
  <si>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</si>
  <si>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</si>
  <si>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</si>
  <si>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</si>
  <si>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</si>
  <si>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</si>
  <si>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</si>
  <si>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</si>
  <si>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</si>
  <si>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</si>
  <si>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</si>
  <si>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</si>
  <si>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</si>
  <si>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</si>
  <si>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</si>
  <si>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</si>
  <si>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</si>
  <si>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</si>
  <si>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</si>
  <si>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</si>
  <si>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</si>
  <si>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 xml:space="preserve">TP Sa Đéc </t>
  </si>
  <si>
    <t>TP. SA ĐÉC</t>
  </si>
  <si>
    <t>TP. Sa Đéc</t>
  </si>
  <si>
    <t>TP.Sa Đéc</t>
  </si>
  <si>
    <t xml:space="preserve">Thành phố Sa Đéc </t>
  </si>
  <si>
    <t>Thành phố Sa Đéc</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</si>
  <si>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</si>
  <si>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</si>
  <si>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</si>
  <si>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</si>
  <si>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</si>
  <si>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</si>
  <si>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</si>
  <si>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</si>
  <si>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</si>
  <si>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</si>
  <si>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</si>
  <si>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</si>
  <si>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</si>
  <si>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</si>
  <si>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</si>
  <si>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</si>
  <si>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</si>
  <si>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</si>
  <si>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</si>
  <si>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</si>
  <si>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</si>
  <si>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</si>
  <si>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</si>
  <si>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</si>
  <si>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</si>
  <si>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</si>
  <si>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</si>
  <si>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</si>
  <si>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</si>
  <si>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</si>
  <si>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</si>
  <si>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</si>
  <si>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</si>
  <si>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</si>
  <si>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</si>
  <si>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</si>
  <si>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</si>
  <si>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</si>
  <si>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</si>
  <si>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</si>
  <si>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</si>
  <si>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</si>
  <si>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Phường An Hoà</t>
  </si>
  <si>
    <t>Phường Tân Quy Đông</t>
  </si>
  <si>
    <t xml:space="preserve">Tân Phú Đông </t>
  </si>
  <si>
    <t xml:space="preserve">Tân Khánh Đông </t>
  </si>
  <si>
    <t xml:space="preserve">Tân Quy Tây </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</si>
  <si>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</si>
  <si>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</si>
  <si>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</si>
  <si>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</si>
  <si>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</si>
  <si>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</si>
  <si>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</si>
  <si>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</si>
  <si>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</si>
  <si>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</si>
  <si>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</si>
  <si>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</si>
  <si>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</si>
  <si>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</si>
  <si>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</si>
  <si>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</si>
  <si>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</si>
  <si>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</si>
  <si>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 xml:space="preserve">HỘI ĐỒNG NHÂN DÂN                          CỘNG HÒA XÃ HỘI CHỦ NGHĨA VIỆT NAM </t>
  </si>
  <si>
    <t xml:space="preserve"> TỈNH ĐỒNG THÁP                                              Độc lập - Tự do - Hạnh phúc</t>
  </si>
  <si>
    <t>Tổng thu ngân sách nhà nước trên địa bàn (I+II)</t>
  </si>
  <si>
    <t>Thu từ hoạt động xuất, nhập khẩu</t>
  </si>
  <si>
    <t>Thu ngân sách địa phương (NSĐP) hưởng theo phân cấp</t>
  </si>
  <si>
    <t>Các khoản thu NSĐP hưởng 100 %</t>
  </si>
  <si>
    <t>Các khoản thu phân chia NSĐP hưởng theo tỷ lệ phần trăm (%)</t>
  </si>
  <si>
    <t>Bổ sung từ ngân sách trung ương</t>
  </si>
  <si>
    <t>b1</t>
  </si>
  <si>
    <t>Thu chuyển nguồn làm lương từ nguồn tăng thu</t>
  </si>
  <si>
    <t>Thu xổ số kiến thiết</t>
  </si>
  <si>
    <t>Chi đầu tư phát triển</t>
  </si>
  <si>
    <t>Chi bổ sung Quỹ dự trữ tài chính</t>
  </si>
  <si>
    <t>Chi các chương trình từ nguồn bổ sung có mục tiêu của NSTW</t>
  </si>
  <si>
    <t>Thu ngân sách cấp Tỉnh hưởng theo phân cấp</t>
  </si>
  <si>
    <t>Chi từ NSTW bổ sung có mục tiêu (vốn sự nghiệp)</t>
  </si>
  <si>
    <t>Liên đoàn Cờ</t>
  </si>
  <si>
    <t>Toà án Tỉnh</t>
  </si>
  <si>
    <t>Chi thực hiện một số N/V mục tiêu khác
(vốn sự nghiệp)</t>
  </si>
  <si>
    <t>Tổng chi thường xuyên
(cân đối NSĐP)</t>
  </si>
  <si>
    <t xml:space="preserve"> Các khoản đã giao lĩnh vực chi</t>
  </si>
  <si>
    <t>Sở Thông tin truyền thông</t>
  </si>
  <si>
    <t>A/ Kết quả phân bổ vốn đầu tư phát triển (phần chi cân đối ngân sách địa phương)</t>
  </si>
  <si>
    <t>Triệu đồng</t>
  </si>
  <si>
    <t>NỘI DUNG</t>
  </si>
  <si>
    <t>Tổng mức vốn huy động cho đầu tư phát triển</t>
  </si>
  <si>
    <t>Bao gồm:</t>
  </si>
  <si>
    <t>1. Nợ tạm ứng vốn Kho bạc nhà nước</t>
  </si>
  <si>
    <t>2. Vay Ngân hàng phát triển Việt Nam</t>
  </si>
  <si>
    <t xml:space="preserve"> - Vay vốn kiên cố hoá kênh mương, giao thông nông thôn,...</t>
  </si>
  <si>
    <t xml:space="preserve"> - Vay đầu tư tôn nền cụm, tuyến dân cư vùng lũ (giai đoạn 1)</t>
  </si>
  <si>
    <t xml:space="preserve"> - Vay đầu tư tôn nền cụm, tuyến dân cư vùng lũ (giai đoạn 2)</t>
  </si>
  <si>
    <t>Trường Chính trị</t>
  </si>
  <si>
    <t>Vườn quốc gia tràm chim</t>
  </si>
  <si>
    <t>Trường Cao đẳng cộng đồng</t>
  </si>
  <si>
    <t>Ban quản lý khu kinh tế</t>
  </si>
  <si>
    <t>Đài phát thanh truyền hình</t>
  </si>
  <si>
    <t>Thanh Tra Nhà nước</t>
  </si>
  <si>
    <t>Sở Tài nguyên Môi trường</t>
  </si>
  <si>
    <t>Sở Văn hoá -  Thể thao - Du lịch</t>
  </si>
  <si>
    <t>Sở Lao động - TBXH</t>
  </si>
  <si>
    <t>Sở Y tế</t>
  </si>
  <si>
    <t>Sở Giáo dục - Đào tạo</t>
  </si>
  <si>
    <t>Sở Giao thông Vận tải</t>
  </si>
  <si>
    <t>Sở Xây dựng</t>
  </si>
  <si>
    <t xml:space="preserve">Sở Tài chính </t>
  </si>
  <si>
    <t>Sở Khoa học Công nghệ</t>
  </si>
  <si>
    <t>Sở Công  thương</t>
  </si>
  <si>
    <t>Sở Tư pháp</t>
  </si>
  <si>
    <t>Sở Kế hoạch - Đầu tư</t>
  </si>
  <si>
    <t>Sở Nông nghiệp - PTNT</t>
  </si>
  <si>
    <t>Trường Cao đẳng  Y tế</t>
  </si>
  <si>
    <t>Mặt trận Tổ quốc</t>
  </si>
  <si>
    <t>Tỉnh Đoàn</t>
  </si>
  <si>
    <t>Hội Liên hiệp phụ nữ</t>
  </si>
  <si>
    <t>Hội Nông dân</t>
  </si>
  <si>
    <t>Hội Cựu chiến binh</t>
  </si>
  <si>
    <t>Hội Chữ thập đỏ</t>
  </si>
  <si>
    <t>Hội Đông y</t>
  </si>
  <si>
    <t>Hội Người mù</t>
  </si>
  <si>
    <t>4. Phát hành trái phiếu chính quyền địa phương</t>
  </si>
  <si>
    <t>Thuế sử dụng đất phi nông nghiệp</t>
  </si>
  <si>
    <t xml:space="preserve"> Các Tổ chức chính trị xã hội,  XH nghề nghiệp</t>
  </si>
  <si>
    <t>Các khoản thu ngân sách cấp Tỉnh hưởng 100 %</t>
  </si>
  <si>
    <t>Các khoản thu phân chia NSĐP hưởng theo tỷ lệ phần trăm ( % )</t>
  </si>
  <si>
    <t xml:space="preserve">Bổ sung từ ngân sách trung ương </t>
  </si>
  <si>
    <t xml:space="preserve">Chi ngân sách cấp Tỉnh </t>
  </si>
  <si>
    <t>Chi thuộc nhiệm vụ của ngân sách cấp Tỉnh theo phân cấp</t>
  </si>
  <si>
    <t>2.1</t>
  </si>
  <si>
    <t>Chi sự nghiệp kinh tế</t>
  </si>
  <si>
    <t>2.2</t>
  </si>
  <si>
    <t>2.3</t>
  </si>
  <si>
    <t>Chi từ NSTW bổ sung có mục tiêu khác quan trọng</t>
  </si>
  <si>
    <t>Chi sự nghiệp khoa học &amp; công nghệ</t>
  </si>
  <si>
    <t xml:space="preserve">Chi sự nghiệp đảm bảo xã hội </t>
  </si>
  <si>
    <t>2.4</t>
  </si>
  <si>
    <t>2.5</t>
  </si>
  <si>
    <t xml:space="preserve">An ninh </t>
  </si>
  <si>
    <t xml:space="preserve">Quốc phòng </t>
  </si>
  <si>
    <t xml:space="preserve">Biên phòng </t>
  </si>
  <si>
    <t>2.6</t>
  </si>
  <si>
    <t xml:space="preserve">Chi bổ sung Quỹ Dự trữ tài chính </t>
  </si>
  <si>
    <t>Thu ngân sách huyện hưởng theo phân cấp</t>
  </si>
  <si>
    <t>Thu chuyển nguồn làm lương từ nguồn tăng thu các năm trước</t>
  </si>
  <si>
    <t>Chi bổ sung Quỹ Dự trữ tài chính</t>
  </si>
  <si>
    <t xml:space="preserve">Thu từ doanh nghiệp quốc doanh Trung ương quản lý </t>
  </si>
  <si>
    <t xml:space="preserve">Thu từ doanh nghiệp quốc doanh địa phương quản lý </t>
  </si>
  <si>
    <t>Thu từ khu vực đầu tư nước ngoài</t>
  </si>
  <si>
    <t>Thu NSĐP hưởng theo phân cấp</t>
  </si>
  <si>
    <t>Các khoản thu 100 %</t>
  </si>
  <si>
    <t>Thu phân chia theo tỷ lệ phần trăm ( % )</t>
  </si>
  <si>
    <t xml:space="preserve">So sánh </t>
  </si>
  <si>
    <t>Chia ra</t>
  </si>
  <si>
    <t>Ngân sách cấp Tỉnh 
(1)</t>
  </si>
  <si>
    <t>Tổng chi ngân sách địa phương</t>
  </si>
  <si>
    <t>Trong đó:</t>
  </si>
  <si>
    <t>Chi từ nguồn ngân sách trung ương bổ sung có mục tiêu</t>
  </si>
  <si>
    <t>triệu đồng.</t>
  </si>
  <si>
    <t>Khoản thu 100%</t>
  </si>
  <si>
    <t>Khoản thu phân chia theo tỷ lệ %</t>
  </si>
  <si>
    <t>13=11/3</t>
  </si>
  <si>
    <t>Chương trình MTQG</t>
  </si>
  <si>
    <t>Thu chuyển nguồn làm lương năm trước chuyển sang</t>
  </si>
  <si>
    <t>Chương trình Xây dựng nông thôn mới</t>
  </si>
  <si>
    <t xml:space="preserve">                Chi SN môi trường</t>
  </si>
  <si>
    <t xml:space="preserve">Tổng số </t>
  </si>
  <si>
    <t>Hồng Ngự</t>
  </si>
  <si>
    <t>Tân Hồng</t>
  </si>
  <si>
    <t>Thanh Bình</t>
  </si>
  <si>
    <t>H Cao Lãnh</t>
  </si>
  <si>
    <t>Lai Vung</t>
  </si>
  <si>
    <t>Châu Thành</t>
  </si>
  <si>
    <t>NSNN</t>
  </si>
  <si>
    <t>NS huyện
 hưởng</t>
  </si>
  <si>
    <t>(-;+)</t>
  </si>
  <si>
    <t>(%)</t>
  </si>
  <si>
    <t>7=5-3</t>
  </si>
  <si>
    <t>8=5/3</t>
  </si>
  <si>
    <t>9=3-1</t>
  </si>
  <si>
    <t>10=3/1</t>
  </si>
  <si>
    <t>Thu NSNN trên địa bàn</t>
  </si>
  <si>
    <t>Sở Ngoại vụ</t>
  </si>
  <si>
    <t>Cục Thuế</t>
  </si>
  <si>
    <t>Hội Làm vườn</t>
  </si>
  <si>
    <t>Hội Kiến trúc sư</t>
  </si>
  <si>
    <t>Hội Kế hoạch hoá gia đình</t>
  </si>
  <si>
    <t>Hội Cựu giáo chức</t>
  </si>
  <si>
    <t>Hội Y học</t>
  </si>
  <si>
    <t>Hội Nhà báo</t>
  </si>
  <si>
    <t>Liên đoàn quần vợt</t>
  </si>
  <si>
    <t>Liên đoàn cầu lông</t>
  </si>
  <si>
    <t>Sở Nội vụ</t>
  </si>
  <si>
    <t>Trong đó: Thu NSNN không kể tiền sử dụng đất</t>
  </si>
  <si>
    <t>Lệ phí trước bạ</t>
  </si>
  <si>
    <t>Phí, lệ phí</t>
  </si>
  <si>
    <t>Thu tiền sử dụng đất</t>
  </si>
  <si>
    <t>Thu khác ngân sách</t>
  </si>
  <si>
    <t>Nguồn tăng thu thực hiện cải cách tiền lương</t>
  </si>
  <si>
    <t>Tổng số thu NSH hưởng theo phân cấp</t>
  </si>
  <si>
    <t>Trong đó: Thu tiền sử dụng đất</t>
  </si>
  <si>
    <t>Thu NSH không kể tiền sử dụng đất</t>
  </si>
  <si>
    <t>CHỈ TIÊU</t>
  </si>
  <si>
    <t>THANH BÌNH</t>
  </si>
  <si>
    <t>HUYỆN CAO LÃNH</t>
  </si>
  <si>
    <t>THU NGÂN SÁCH HUYỆN</t>
  </si>
  <si>
    <t>- Chi đầu tư từ nguồn thu tiền sử dụng đất</t>
  </si>
  <si>
    <t>Chi thường xuyên:</t>
  </si>
  <si>
    <t>Chi sự nghiệp giáo dục đào tạo</t>
  </si>
  <si>
    <t>Các khoản chi thường xuyên còn lại</t>
  </si>
  <si>
    <t>Hồng ngự</t>
  </si>
  <si>
    <t>TP. Cao Lãnh</t>
  </si>
  <si>
    <t>H. Cao Lãnh</t>
  </si>
  <si>
    <t>2</t>
  </si>
  <si>
    <t>3</t>
  </si>
  <si>
    <t>4</t>
  </si>
  <si>
    <t>5</t>
  </si>
  <si>
    <t>6</t>
  </si>
  <si>
    <t>Số bổ sung mục tiêu các chế độ chính sách mới (ngoài tiền lương)</t>
  </si>
  <si>
    <t>Mục tiêu các chế độ chính sách mới tăng thêm (ngoài tiền lương)</t>
  </si>
  <si>
    <t>Trong đó</t>
  </si>
  <si>
    <t>Vốn trong nước</t>
  </si>
  <si>
    <t>Vốn ngoài nước</t>
  </si>
  <si>
    <t>Liên đoàn Bóng đá</t>
  </si>
  <si>
    <t xml:space="preserve"> CÁC ĐƠN VỊ KHÁC</t>
  </si>
  <si>
    <t>Chi xây dựng cơ bản tập trung trong nước</t>
  </si>
  <si>
    <t>Chi đầu tư từ nguồn thu tiền sử dụng đất</t>
  </si>
  <si>
    <t>Chi sự nghiệp giáo dục-đào tạo và dạy nghề</t>
  </si>
  <si>
    <t>Chi sự nghiệp khoa học và công nghệ</t>
  </si>
  <si>
    <t>Chi hoạt động sự nghiệp môi trường</t>
  </si>
  <si>
    <t>Chi giáo dục, đào tạo và dạy nghề</t>
  </si>
  <si>
    <t>Chi khoa học và công nghệ</t>
  </si>
  <si>
    <t>Liên đoàn Lao động Tỉnh</t>
  </si>
  <si>
    <t>Cục Thi hành án dân sự tỉnh</t>
  </si>
  <si>
    <t>Chương trình Giảm nghèo bền vững</t>
  </si>
  <si>
    <t>Chi XDCB tập trung vốn trong nước</t>
  </si>
  <si>
    <t>% so với dự toán</t>
  </si>
  <si>
    <t>Nội dung chi</t>
  </si>
  <si>
    <t xml:space="preserve">Bố trí tăng chi đầu tư phát triển </t>
  </si>
  <si>
    <t>Chi sự nghiệp giáo dục, đào tạo &amp; dạy nghề</t>
  </si>
  <si>
    <t>Tăng chi dự phòng ngân sách</t>
  </si>
  <si>
    <t>TP.Cao Lãnh</t>
  </si>
  <si>
    <t>H.Cao Lãnh</t>
  </si>
  <si>
    <t>Tổng cộng</t>
  </si>
  <si>
    <t>******</t>
  </si>
  <si>
    <t>SỐ TT</t>
  </si>
  <si>
    <t>NỘI DUNG  THU</t>
  </si>
  <si>
    <t>NSTW hưởng</t>
  </si>
  <si>
    <t xml:space="preserve">NSĐP HƯỞNG </t>
  </si>
  <si>
    <t>Tổng số</t>
  </si>
  <si>
    <t xml:space="preserve">NS tỉnh </t>
  </si>
  <si>
    <t>3=4+5</t>
  </si>
  <si>
    <t>A</t>
  </si>
  <si>
    <t xml:space="preserve">Thu NSNN trên địa bàn </t>
  </si>
  <si>
    <t>I</t>
  </si>
  <si>
    <t>Thu nội địa</t>
  </si>
  <si>
    <t>Thuế giá trị gia tăng</t>
  </si>
  <si>
    <t>Thuế thu nhập doanh nghiệp</t>
  </si>
  <si>
    <t>Thuế tiêu thụ đặc biệt</t>
  </si>
  <si>
    <t>Thuế tài nguyên</t>
  </si>
  <si>
    <t>Thu khác ngoài quốc doanh</t>
  </si>
  <si>
    <t xml:space="preserve">Lệ phí trước bạ </t>
  </si>
  <si>
    <t>Thu phí, lệ phí</t>
  </si>
  <si>
    <t>Tiền sử dụng đất</t>
  </si>
  <si>
    <t xml:space="preserve">Thu khác ngân sách </t>
  </si>
  <si>
    <t>Thu tại xã</t>
  </si>
  <si>
    <t>II</t>
  </si>
  <si>
    <t>B</t>
  </si>
  <si>
    <t>Thu bổ sung từ NSTW</t>
  </si>
  <si>
    <t xml:space="preserve">Bổ sung cân đối </t>
  </si>
  <si>
    <t xml:space="preserve">Bổ sung có mục tiêu </t>
  </si>
  <si>
    <t>C</t>
  </si>
  <si>
    <t>NỘI DUNG CHI</t>
  </si>
  <si>
    <t>Tổng chi NSĐP</t>
  </si>
  <si>
    <t>Tỷ trọng</t>
  </si>
  <si>
    <t>Chi NS tỉnh</t>
  </si>
  <si>
    <t xml:space="preserve">Chi đầu tư phát triển </t>
  </si>
  <si>
    <t>Chi XDCB vốn trong nước</t>
  </si>
  <si>
    <t>CHI THƯỜNG XUYÊN</t>
  </si>
  <si>
    <t>a</t>
  </si>
  <si>
    <t>b</t>
  </si>
  <si>
    <t>c</t>
  </si>
  <si>
    <t>d</t>
  </si>
  <si>
    <t xml:space="preserve">Chi sự nghiệp văn xã </t>
  </si>
  <si>
    <t xml:space="preserve">Chi sự nghiệp y tế </t>
  </si>
  <si>
    <t>e</t>
  </si>
  <si>
    <t xml:space="preserve">Chi sự nghiệp văn hóa thông tin </t>
  </si>
  <si>
    <t>f</t>
  </si>
  <si>
    <t xml:space="preserve">Chi sự nghiệp phát thanh truyền hình </t>
  </si>
  <si>
    <t>g</t>
  </si>
  <si>
    <t xml:space="preserve">Chi sự nghiệp thể dục thể thao </t>
  </si>
  <si>
    <t xml:space="preserve">Chi đảm bảo xã hội </t>
  </si>
  <si>
    <t xml:space="preserve">Chi quản lý hành chánh </t>
  </si>
  <si>
    <t xml:space="preserve">Chi an ninh - quốc phòng  </t>
  </si>
  <si>
    <t>III</t>
  </si>
  <si>
    <t>IV</t>
  </si>
  <si>
    <t>Chi từ nguồn NSTW bổ sung có mục tiêu</t>
  </si>
  <si>
    <t>Ghi chú:</t>
  </si>
  <si>
    <t>TT</t>
  </si>
  <si>
    <t xml:space="preserve">Nội dung </t>
  </si>
  <si>
    <t xml:space="preserve">Cộng </t>
  </si>
  <si>
    <t>NST</t>
  </si>
  <si>
    <t>NSH</t>
  </si>
  <si>
    <t xml:space="preserve">Thu điều tiết và thu cố định </t>
  </si>
  <si>
    <t>Thu bổ sung từ ngân sách cấp trên</t>
  </si>
  <si>
    <t>Chi thường xuyên</t>
  </si>
  <si>
    <t xml:space="preserve">Chi từ nguồn NSTW bổ sung có mục tiêu </t>
  </si>
  <si>
    <t>Chi bổ sung quỹ dự trữ tài chính</t>
  </si>
  <si>
    <t>Độc lập - Tự do - hạnh phúc</t>
  </si>
  <si>
    <t>D</t>
  </si>
  <si>
    <t xml:space="preserve">Chi bổ sung quỹ dự trữ tài chính </t>
  </si>
  <si>
    <t>Tổng thu NSNN</t>
  </si>
  <si>
    <t>Thu từ khu vực ĐTNN</t>
  </si>
  <si>
    <t xml:space="preserve">Thuế sd đất nông nghiệp </t>
  </si>
  <si>
    <t xml:space="preserve">NS huyện
</t>
  </si>
  <si>
    <t>Đơn vị tính : Triệu đồng</t>
  </si>
  <si>
    <t>Chi NS huyện, xã</t>
  </si>
  <si>
    <t>V</t>
  </si>
  <si>
    <t>VI</t>
  </si>
  <si>
    <t xml:space="preserve">Đơn vị tính : Triệu đồng </t>
  </si>
  <si>
    <t>CỘNG HÒA XÃ HỘI CHỦ NGHĨA VIỆT NAM</t>
  </si>
  <si>
    <t>***********************</t>
  </si>
  <si>
    <t>6=9+10</t>
  </si>
  <si>
    <t>8=6/3</t>
  </si>
  <si>
    <t>Chi XDCB từ nguồn thu tiền sử dụng đất</t>
  </si>
  <si>
    <t>5=4/3</t>
  </si>
  <si>
    <t>7=8+9</t>
  </si>
  <si>
    <t>Vốn đầu tư phát triển</t>
  </si>
  <si>
    <t>10=12+13</t>
  </si>
  <si>
    <t>13=14+15</t>
  </si>
  <si>
    <t>4=6+7</t>
  </si>
  <si>
    <t>11=14+15</t>
  </si>
  <si>
    <t>Dự phòng ngân sách</t>
  </si>
  <si>
    <t>11=10/4</t>
  </si>
  <si>
    <t>ĐVT: triệu đồng</t>
  </si>
  <si>
    <t>Thu NSĐP được hưởng</t>
  </si>
  <si>
    <t xml:space="preserve">                Các khoản còn lại</t>
  </si>
  <si>
    <t xml:space="preserve">                Chi SN KH-CN</t>
  </si>
  <si>
    <t>Chênh lệch thu- chi NSĐP</t>
  </si>
  <si>
    <t xml:space="preserve"> +Tạo nguồn làm lương từ nguồn tăng thu</t>
  </si>
  <si>
    <t>Biểu 1 C/NSNN</t>
  </si>
  <si>
    <t>Chi sự nghiệp giáo dục- đào tạo và dạy nghề</t>
  </si>
  <si>
    <t>Tỉnh</t>
  </si>
  <si>
    <t>Huyện</t>
  </si>
  <si>
    <t>Hội Tiêu chuẩn và Bảo vệ Người tiêu dùng</t>
  </si>
  <si>
    <t>Hội TaeKwondo</t>
  </si>
  <si>
    <t>Bổ sung thực hiện các chế độ chính sách mới và một số nhiệm vụ theo quy định (vốn sự nghiệp)</t>
  </si>
  <si>
    <t>Chi sự nghiệp hoạt động môi trường</t>
  </si>
  <si>
    <t>UBND TỈNH ĐỒNG THÁP</t>
  </si>
  <si>
    <t>SỞ TÀI CHÍNH</t>
  </si>
  <si>
    <t>Mục tiêu, nhiệm vụ quan trọng (vốn XDCB)</t>
  </si>
  <si>
    <t>Chi cân đối ngân sách địa phương</t>
  </si>
  <si>
    <t>Chi khác ngân sách</t>
  </si>
  <si>
    <t>Chi thực hiện mục tiêu, nhiệm vụ quan trọng (kinh phí xây dựng cơ bản)</t>
  </si>
  <si>
    <t>Chi thực hiện mục tiêu, nhiệm vụ quan trọng (kinh phí sự nghiệp)</t>
  </si>
  <si>
    <t>Chi đầu tư từ nguồn thu xổ số kiến thiết</t>
  </si>
  <si>
    <t>Phần chi NSĐP</t>
  </si>
  <si>
    <t>VII</t>
  </si>
  <si>
    <t>VIII</t>
  </si>
  <si>
    <t>IX</t>
  </si>
  <si>
    <t>Thu chuyển nguồn làm lương</t>
  </si>
  <si>
    <t>Đơn vị tính: Triệu đồng</t>
  </si>
  <si>
    <t>Nội dung</t>
  </si>
  <si>
    <t>Thu bán nhà thuộc sở hữu nhà nước</t>
  </si>
  <si>
    <t>STT</t>
  </si>
  <si>
    <t>TỔNG SỐ</t>
  </si>
  <si>
    <t>Đơn vị khác</t>
  </si>
  <si>
    <t>Sự nghiệp khác</t>
  </si>
  <si>
    <t>X</t>
  </si>
  <si>
    <t>XI</t>
  </si>
  <si>
    <t>XII</t>
  </si>
  <si>
    <t>Chi tạo nguồn cải cách tiền lương</t>
  </si>
  <si>
    <t>Thuế thu nhập cá nhân</t>
  </si>
  <si>
    <t>Chi sự nghiệp khoa học công nghệ</t>
  </si>
  <si>
    <t>Thu tiền thuê đất, thuê mặt nước</t>
  </si>
  <si>
    <t>Bao gồm: * Thu bổ sung cân đối ngân sách:</t>
  </si>
  <si>
    <t>Các khoản thu khác</t>
  </si>
  <si>
    <t>Bổ sung cân đối ngân sách</t>
  </si>
  <si>
    <t>Bổ sung có mục tiêu</t>
  </si>
  <si>
    <t xml:space="preserve">Thu từ DNQDTW quản lý </t>
  </si>
  <si>
    <t xml:space="preserve">Thu từ DNQDĐP quản lý </t>
  </si>
  <si>
    <t>Thu từ khu vực kinh tế NQD</t>
  </si>
  <si>
    <t xml:space="preserve">Thu từ hoạt động xuất, nhập khẩu </t>
  </si>
  <si>
    <t xml:space="preserve">                * Thu bổ sung có mục tiêu đầu tư từ nguồn NSTW bổ sung có mục tiêu</t>
  </si>
  <si>
    <t xml:space="preserve"> Đơn vị tính : triệu đồng</t>
  </si>
  <si>
    <t>TÊN ĐƠN VỊ</t>
  </si>
  <si>
    <t xml:space="preserve">GỒM </t>
  </si>
  <si>
    <t>SNKT</t>
  </si>
  <si>
    <t>PTTH</t>
  </si>
  <si>
    <t xml:space="preserve"> Các cơ quan đơn vị cấp Tỉnh</t>
  </si>
  <si>
    <t xml:space="preserve"> Khối  đoàn thể</t>
  </si>
  <si>
    <t xml:space="preserve"> Khối An ninh - Quốc phòng</t>
  </si>
  <si>
    <t>ĐVT: Triệu đồng</t>
  </si>
  <si>
    <t>CHỈ  TIÊU</t>
  </si>
  <si>
    <t>TỔNG CỘNG</t>
  </si>
  <si>
    <t>HỒNG NGỰ</t>
  </si>
  <si>
    <t>TÂN HỒNG</t>
  </si>
  <si>
    <t>TAM NÔNG</t>
  </si>
  <si>
    <t xml:space="preserve">THANH BÌNH </t>
  </si>
  <si>
    <t>TP. CAO LÃNH</t>
  </si>
  <si>
    <t>H. CAO LÃNH</t>
  </si>
  <si>
    <t>THÁP MƯỜI</t>
  </si>
  <si>
    <t>LẤP VÒ</t>
  </si>
  <si>
    <t>LAI VUNG</t>
  </si>
  <si>
    <t>CHÂU THÀNH</t>
  </si>
  <si>
    <t xml:space="preserve"> NSNN</t>
  </si>
  <si>
    <t>% đ.tiết</t>
  </si>
  <si>
    <t xml:space="preserve">NS huyện </t>
  </si>
  <si>
    <t xml:space="preserve">Thu từ khu vực kinh tế NQD </t>
  </si>
  <si>
    <t>-</t>
  </si>
  <si>
    <t xml:space="preserve">Thuế Giá trị gia tăng </t>
  </si>
  <si>
    <t xml:space="preserve">Thuế Thu nhập doanh nghiệp </t>
  </si>
  <si>
    <t xml:space="preserve">Thuế tiêu thụ đặc biệt </t>
  </si>
  <si>
    <t xml:space="preserve">Thu khác ngoài quốc doanh </t>
  </si>
  <si>
    <t xml:space="preserve">Thuế SD đất nông nghiệp </t>
  </si>
  <si>
    <t xml:space="preserve">Thu phí &amp; lệ phí </t>
  </si>
  <si>
    <t xml:space="preserve">Thu tiền sử dụng đất </t>
  </si>
  <si>
    <t xml:space="preserve">Thu bổ sung từ NS Tỉnh </t>
  </si>
  <si>
    <t>Thu bổ sung cân đối ngân sách</t>
  </si>
  <si>
    <t>Thu bổ sung có mục tiêu</t>
  </si>
  <si>
    <t xml:space="preserve">Dư phòng ngân sách </t>
  </si>
  <si>
    <t>Chi Chương trình MTQG</t>
  </si>
  <si>
    <t>Chi thực hiện một số mục tiêu, nhiệm vụ (XDCB)</t>
  </si>
  <si>
    <t>Chi thực hiện một số mục tiêu, nhiệm vụ (sự nghiệp)</t>
  </si>
  <si>
    <t>Chi tạo nguồn CCTL từ nguồn tăng thu</t>
  </si>
  <si>
    <t xml:space="preserve"> +Còn lại</t>
  </si>
  <si>
    <t>Chi hỗ trợ khác</t>
  </si>
  <si>
    <t>DỰ TOÁN (GIAO ĐẦU NĂM)</t>
  </si>
  <si>
    <t xml:space="preserve">DỰ TOÁN </t>
  </si>
  <si>
    <t>SNMT</t>
  </si>
  <si>
    <t>KHCN</t>
  </si>
  <si>
    <t>GD, ĐT &amp;DN</t>
  </si>
  <si>
    <t>SNYT</t>
  </si>
  <si>
    <t>VHTT</t>
  </si>
  <si>
    <t>TDTT</t>
  </si>
  <si>
    <t>ĐBXH</t>
  </si>
  <si>
    <t>QLHC</t>
  </si>
  <si>
    <t>AN-QP</t>
  </si>
  <si>
    <t>Khác</t>
  </si>
  <si>
    <t>CTMTQG</t>
  </si>
  <si>
    <t>CHI THƯỜNG XUYÊN THEO LĨNH VỰC (CÂN ĐỐI NSĐP)</t>
  </si>
  <si>
    <t>GỒM</t>
  </si>
  <si>
    <t>1=2+…+13</t>
  </si>
  <si>
    <t xml:space="preserve">Chi Quốc phòng- An ninh  </t>
  </si>
  <si>
    <t>Chi Chương trình mục tiêu Quốc gia</t>
  </si>
  <si>
    <t>Hỗ trợ khác</t>
  </si>
  <si>
    <t>Thuế  sử dụng đất phi nông nghiệp</t>
  </si>
  <si>
    <t>Trong đó bổ sung nhiệm vụ chi thường xuyên (nếu có)</t>
  </si>
  <si>
    <t>Bảo hiểm xã hội tỉnh</t>
  </si>
  <si>
    <t xml:space="preserve">               * Thu bổ sung kinh phí bù miễn thu TLP, hỗ trợ ĐP sản xuất lúa</t>
  </si>
  <si>
    <t>Bù hụt thu thuỷ lợi phí, đất trồng lúa</t>
  </si>
  <si>
    <t>Văn phòng Đoàn Đại biểu Quốc Hội</t>
  </si>
  <si>
    <t>Chi đầu tư phát triển (*)</t>
  </si>
  <si>
    <t>8=9+10</t>
  </si>
  <si>
    <t>Chi sự nghiệp môi trường</t>
  </si>
  <si>
    <t>Chi đầu tư phát triển (2)</t>
  </si>
  <si>
    <t>Chi thường xuyên (3)</t>
  </si>
  <si>
    <t>Chi đầu tư phát triển  (2)</t>
  </si>
  <si>
    <t>- Chi xây dựng cơ bản tập trung trong nước</t>
  </si>
  <si>
    <t>- Chi đầu tư từ nguồn thu xổ số kiến thiết</t>
  </si>
  <si>
    <t>- Vay đầu tư các dự án thuộc kế hoạch đầu tư công trung hạn đã được Hội đồng nhân dân cấp tỉnh quyết định</t>
  </si>
  <si>
    <t>3. Vay lại từ nguồn Chính phủ vay về cho vay lại</t>
  </si>
  <si>
    <t>5. Vay trong nước khác theo quy định của pháp luật</t>
  </si>
  <si>
    <t>B/ Tình hình huy động vốn đầu tư phát triển của ngân sách địa phương</t>
  </si>
  <si>
    <t>Bổ sung tiền lương tăng thêm, đảm bảo nhiệm vụ chi</t>
  </si>
  <si>
    <t>Chi điều chỉnh tiền lương cơ sở (phần NS cấp)</t>
  </si>
  <si>
    <t>TỔNG CỘNG (A+B+C)</t>
  </si>
  <si>
    <t>19=20+21</t>
  </si>
  <si>
    <t>17=16/10</t>
  </si>
  <si>
    <t>25=26+27</t>
  </si>
  <si>
    <t>23=22/16</t>
  </si>
  <si>
    <t>18=16/11</t>
  </si>
  <si>
    <t>16=19+20</t>
  </si>
  <si>
    <t>21=24+25</t>
  </si>
  <si>
    <t>23=21/16</t>
  </si>
  <si>
    <t>Chi đầu tư từ nguồn khác</t>
  </si>
  <si>
    <t xml:space="preserve"> +Tăng thu</t>
  </si>
  <si>
    <t>Thu tiền CQ khai thác khoáng sản</t>
  </si>
  <si>
    <t>Thu cổ tức, lợi nhuận được chia và lợi nhuận còn lại</t>
  </si>
  <si>
    <t xml:space="preserve"> +Tăng/giảm (+/-) tiền sử dụng đất, XSKT</t>
  </si>
  <si>
    <t xml:space="preserve"> +Tăng thu không kể tiền sử dụng đất, XSKT</t>
  </si>
  <si>
    <t>7=4-1</t>
  </si>
  <si>
    <t>8=4/1</t>
  </si>
  <si>
    <t>Phí, lệ phí do cơ quan nhà nước Trung ương thực hiện thu</t>
  </si>
  <si>
    <t>Phí, lệ phí do cơ quan nhà nước cấp tỉnh thực hiện thu</t>
  </si>
  <si>
    <t>Thu khác ngân sách trung ương</t>
  </si>
  <si>
    <t>Thu khác ngân sách cấp tỉnh</t>
  </si>
  <si>
    <t>Thu do cơ quan, tổ chức, đơn vị thuộc tỉnh quản lý</t>
  </si>
  <si>
    <t xml:space="preserve">                Các khoản thu còn lại</t>
  </si>
  <si>
    <t xml:space="preserve">                Thu xổ số kiến thiết</t>
  </si>
  <si>
    <t>Trong đó:  Thu tiền sd đất</t>
  </si>
  <si>
    <t>Số bổ sung cân đối ngân sách</t>
  </si>
  <si>
    <t>Số bổ sung mục tiêu bù đất trồng lúa, thủy lợi phí</t>
  </si>
  <si>
    <t>Số bổ sung đảm bảo mặt băng chi thường xuyên không thấp hơn năm 2017</t>
  </si>
  <si>
    <t>Tổng nguồn thực hiện kinh phí thực hiên CCTL</t>
  </si>
  <si>
    <t>1</t>
  </si>
  <si>
    <t>Nguồn thực hiện CCTL năm trước còn thừa (+) hoặc thiếu nguồn (-)</t>
  </si>
  <si>
    <t>10% tiết kiệm chi thường xuyên</t>
  </si>
  <si>
    <t>Tổng nhu cầu kinh phí cải cách tiền lương</t>
  </si>
  <si>
    <t>Kinh phí đề xuất phải bổ sung hoặc chuyển nguồn</t>
  </si>
  <si>
    <t>Thừa nguồn (+) để thực hiện cải cách tiền lương kỳ sau, năm sau</t>
  </si>
  <si>
    <t>NS cấp tỉnh bổ sung TLTT (phần chênh lệch (-) giữa nguồn và nhu cầu)</t>
  </si>
  <si>
    <t>Số đối tượng</t>
  </si>
  <si>
    <t>Nhu cầu kinh phí</t>
  </si>
  <si>
    <t>Số kinh phí đã bố trí</t>
  </si>
  <si>
    <t>Dự kiến nguồn kinh phí bố trí</t>
  </si>
  <si>
    <t>Bố trí trong số bổ sung cân đối (nếu có)</t>
  </si>
  <si>
    <t>Nguồn kinh phí năm trước còn dư chuyển sang (nếu có)</t>
  </si>
  <si>
    <t>Chế độ miễn, giảm học phí và hỗ trợ chi phí học tập theo Nghị định 86/2015/NĐ-CP của Chính phủ</t>
  </si>
  <si>
    <t>Hỗ trợ tiền điện cho hộ nghèo</t>
  </si>
  <si>
    <t>Hỗ trợ trực tiếp cho người dân tộc thiểu số nghèo theo Quyết định 102/2009/QĐ-TTg</t>
  </si>
  <si>
    <t>Hỗ trợ tiền ăn trưa cho trẻ em dưới 5 tuổi theo Quyết định 239/QĐ-TTg và Quyết định 60/2011/QĐ-TTg</t>
  </si>
  <si>
    <t>Kinh phí hỗ trợ học bổng, chi phí học tập cho học sinh khuyết tật theo Thông tư 42/2013/TTLT-BGDĐT-BLĐTBXH-BTC</t>
  </si>
  <si>
    <t>Vốn XDCB tập trung</t>
  </si>
  <si>
    <t>Vốn đầu tư từ nguồn thu tiền sử dụng đất</t>
  </si>
  <si>
    <t>Sự nghiệp hoạt động môi trường</t>
  </si>
  <si>
    <t xml:space="preserve"> + Bổ sung cân đối ngân sách</t>
  </si>
  <si>
    <t xml:space="preserve"> + Bổ sung có mục tiêu</t>
  </si>
  <si>
    <t>3. Thu chuyển nguồn làm lương</t>
  </si>
  <si>
    <t>2. Thu bổ sung từ ngân sách cấp trên</t>
  </si>
  <si>
    <t xml:space="preserve">1. Thu điều tiết và thu cố định </t>
  </si>
  <si>
    <t>I. Chi cân đối NSĐP</t>
  </si>
  <si>
    <t xml:space="preserve">II. Chi từ nguồn NSTW bổ sung có mục tiêu </t>
  </si>
  <si>
    <t>IV. Chi bổ sung ngân sách huyện</t>
  </si>
  <si>
    <t>2. Chi thường xuyên</t>
  </si>
  <si>
    <t xml:space="preserve"> - Chi XDCB vốn trong nước</t>
  </si>
  <si>
    <t xml:space="preserve"> - Vốn từ nguồn thu tiền sử dụng đất</t>
  </si>
  <si>
    <t>Trong đó thu cân đối NSĐP</t>
  </si>
  <si>
    <t>Chi đầu tư XDCB tập trung trong nước</t>
  </si>
  <si>
    <t>Bổ sung đảm bảo mặt băng chi thường xuyên không thấp hơn năm 2017</t>
  </si>
  <si>
    <t>TỔNG CỘNG (I+II+III)</t>
  </si>
  <si>
    <t>Bổ sung mục tiêu các chế độ chính sách mới (ngoài tiền lương)</t>
  </si>
  <si>
    <t>Thu chuyển nguồn làm lương từ nguồn tăng thu năm trước chuyển sang</t>
  </si>
  <si>
    <t xml:space="preserve">               * Thu bổ sung kinh phí thực hiện các chính sách tăng thêm (ngoài tiền lương)</t>
  </si>
  <si>
    <t>(Kèm theo Báo cáo  số           /BC-UBND ngày       tháng 12 năm 2017 của Uỷ ban nhân dân tỉnh Đồng Tháp)</t>
  </si>
  <si>
    <t>Thu phí, lệ phí thuộc cấp huyện  (3)</t>
  </si>
  <si>
    <t>Thu tiền thuê đất, thuê mặt nước (4)</t>
  </si>
  <si>
    <t>Thu tiền sử dụng đất (5)</t>
  </si>
  <si>
    <t>Thu khác ngân sách huyện (6)</t>
  </si>
  <si>
    <t>(4): không kể tiền thuê đát do cấp Tỉnh quản lý</t>
  </si>
  <si>
    <t>(5): không kể tiền sử dụng đất do cấp Tỉnh quản lý</t>
  </si>
  <si>
    <t>Thuế môn bài thu từ cá nhân, hộ kinh doanh</t>
  </si>
  <si>
    <t xml:space="preserve">Nghị định số 136/2013/NĐ-CP ngày 21/10/2013 của Chính phủ về việc quy định chính sách trợ giúp xã hội đối với đối tượng bảo trợ xã hội, Nghị định số 28/2012/NĐ-CP ngày 10/4/2012 của Chính phủ quy định chi tiết và hướng dẫn thi hành một số điều của Luật người khuyết tật và Nghị định số 06/2011/NĐ-CP ngày 14/01/2011 </t>
  </si>
  <si>
    <t>Lĩnh vực giáo dục, đào tạo và dạy nghề</t>
  </si>
  <si>
    <t>Lĩnh vực đảm bảo xã hội</t>
  </si>
  <si>
    <t>Tổng cộng (I+II)</t>
  </si>
  <si>
    <t>Chi XDCB từ nguồn thu xổ số kiến thiết</t>
  </si>
  <si>
    <t>Chi điiều chỉnh tiền lương cơ sở</t>
  </si>
  <si>
    <t>Chi tạo nguồn cải cách tiền lương từ nguồn tăng thu</t>
  </si>
  <si>
    <t>Nguồn bố trí không thể tiết kiệm được</t>
  </si>
  <si>
    <t>Nguồn còn lại tiết kiệm</t>
  </si>
  <si>
    <t>Bố trí dự phòng ngân sách</t>
  </si>
  <si>
    <t>Ghi chú</t>
  </si>
  <si>
    <t>Bố trí chi đầu tư XDCB vốn tập trung trong nước</t>
  </si>
  <si>
    <t>Bố trí chi thường xuyên khác</t>
  </si>
  <si>
    <t>4=3 x 10%</t>
  </si>
  <si>
    <t>CTMTQG
(vốn sự nghiệp)</t>
  </si>
  <si>
    <t>14=15+16</t>
  </si>
  <si>
    <t>II.1</t>
  </si>
  <si>
    <t>Kinh phí sự nghiệp trong trong cân đối NSĐP</t>
  </si>
  <si>
    <t>II.2</t>
  </si>
  <si>
    <t>Kinh phí sự nghiệp từ nguồn NSTW bổ sung có mục tiêu</t>
  </si>
  <si>
    <t>Trong đó bổ sung thực hiện tiền lương cơ sở  và các chính sách tăng thêm trong cân đối</t>
  </si>
  <si>
    <t xml:space="preserve">Nguồn </t>
  </si>
  <si>
    <t>Nguồn năm trước chuyển sang</t>
  </si>
  <si>
    <t>Bổ sung trong cân đối</t>
  </si>
  <si>
    <t>Giao trong cân đối</t>
  </si>
  <si>
    <t>Bổ sung trong năm</t>
  </si>
  <si>
    <t>Tồng cộng</t>
  </si>
  <si>
    <t>Chi XDCB tập trung trong nước</t>
  </si>
  <si>
    <t>Thu chuyển nguồn năm trước chuyển sang</t>
  </si>
  <si>
    <t>Thuế nhập khẩu</t>
  </si>
  <si>
    <t>Kế hoạch trả nợ</t>
  </si>
  <si>
    <t>Kế hoạch vay nợ</t>
  </si>
  <si>
    <t>Trả nợ từ nguồn bội thu</t>
  </si>
  <si>
    <t>II.2.1</t>
  </si>
  <si>
    <t>II.2.2</t>
  </si>
  <si>
    <t>Chi trả lãi khoản vay của ngân sách cấp tỉnh</t>
  </si>
  <si>
    <t>Chi trả lãi tiền vay</t>
  </si>
  <si>
    <t>Chi trả lãi vay</t>
  </si>
  <si>
    <t>CHI TỪ NGUỒN NSTW BSCMT</t>
  </si>
  <si>
    <t>CÁC CƠ QUAN, TỔ CHỨC</t>
  </si>
  <si>
    <t>CHI TRẢ LÃI VAY</t>
  </si>
  <si>
    <t>CHI BỔ SUNG QUỸ DỰ TRỮ TÀI CHÍNH</t>
  </si>
  <si>
    <t>CHI DỰ PHÒNG NGÂN SÁCH</t>
  </si>
  <si>
    <t>E</t>
  </si>
  <si>
    <t>G</t>
  </si>
  <si>
    <t>CHI TẠO NGUỒN CẢI CÁCH TIỀN LƯƠNG</t>
  </si>
  <si>
    <t>H</t>
  </si>
  <si>
    <t>CHI ĐẦU TƯ TỪ NGUỒN THU XỔ SỐ KIẾN THIẾT</t>
  </si>
  <si>
    <t>CHI ĐẦU TƯ TỪ NGUỒN NSTW BỔ SUNG CÓ MT</t>
  </si>
  <si>
    <t>K</t>
  </si>
  <si>
    <t>L</t>
  </si>
  <si>
    <t>CHI XDCB VỐN TẬP TRUNG</t>
  </si>
  <si>
    <t>CHI BỔ SUNG CHO NGÂN SÁCH HUYỆN</t>
  </si>
  <si>
    <t>Tổng chi</t>
  </si>
  <si>
    <t>Tổng chi từ nguồn NSTW bổ sung có mục tiêu (vốn sự nghiệp)</t>
  </si>
  <si>
    <t>Tổng mức chi đầu tư phát triển (phần cân đối NSĐP):</t>
  </si>
  <si>
    <t>Chương trình mục tiêu giáo dục nghề nghiệp-việc làm và an toàn lao động</t>
  </si>
  <si>
    <t>Chương trình mục tiêu phát triển hệ thống trợ giúp xã hội</t>
  </si>
  <si>
    <t>Chương trình mục tiêu y tế - dân số</t>
  </si>
  <si>
    <t>Chương trình mục tiêu phát triển văn hóa</t>
  </si>
  <si>
    <t>Chương trình mục tiêu bảo đảm trật tự ATGT, phòng cháy chữa cháy, phòng chống tội phạm và ma túy</t>
  </si>
  <si>
    <t>Chương trình mục tiêu phát triển lâm nghiệp bền vững</t>
  </si>
  <si>
    <t>Đầu tư phát triển</t>
  </si>
  <si>
    <t>Ghi chú:(*): Đã bao gồm chi trả nợ gốc các khoản vay của ngân sách địa phương</t>
  </si>
  <si>
    <t>(2)- Đã bao gồm chi trả nợ gốc các khoản vay của ngân sách địa phương</t>
  </si>
  <si>
    <t>Chương trình mục tiêu tái cơ cấu kinh tế nông nghiệp và phòng chống giảm nhẹ thiên tai, ổn định đời sống dân cư</t>
  </si>
  <si>
    <t>Hỗ trợ chi phí học tập và miễn giảm học phí (GD&amp;ĐT)</t>
  </si>
  <si>
    <t>Vốn trái phiếu Chính phủ</t>
  </si>
  <si>
    <t>Liên đoàn xe đạp- mô tô thể thao</t>
  </si>
  <si>
    <t>Liên đoàn VOVINAM Đông Tháp</t>
  </si>
  <si>
    <t>Bổ sung kinh phí thực hiện nhiệm vụ đảm bảo trật tự an toàn giao thông (AN)</t>
  </si>
  <si>
    <t>Chính sách trợ giúp pháp lý (QLHC)</t>
  </si>
  <si>
    <t>Dự án hoàn thiện, hiện đại hóa hồ sơ, bản đồ địa giới hành chính và xây dựng cơ sở dữ liệu địa giới hành chính (QLHC)</t>
  </si>
  <si>
    <t>% so với DT 2020</t>
  </si>
  <si>
    <t xml:space="preserve">Thu từ DNNN TW quản lý </t>
  </si>
  <si>
    <t>Thu từ DNNN ĐP quản lý</t>
  </si>
  <si>
    <t>Thuế ngoài quốc doanh</t>
  </si>
  <si>
    <t>Thuế nhà đất /thuế sử dụng đất phi nông nghiệp</t>
  </si>
  <si>
    <t xml:space="preserve">Thuế xuất nhập khẩu </t>
  </si>
  <si>
    <t>Bổ sung khác</t>
  </si>
  <si>
    <t>Thu chuyển nguồn</t>
  </si>
  <si>
    <t>Bổ sung để thực hiện điều chỉnh tiền lương cơ sở</t>
  </si>
  <si>
    <t>ĐP</t>
  </si>
  <si>
    <t>BTC</t>
  </si>
  <si>
    <t>6=5/4</t>
  </si>
  <si>
    <t>8=7/4</t>
  </si>
  <si>
    <t>11=9-10</t>
  </si>
  <si>
    <t>12=10/7</t>
  </si>
  <si>
    <t>13=9/7</t>
  </si>
  <si>
    <t>Thu NSNN trên địa bàn (I+II)</t>
  </si>
  <si>
    <t>Thu từ doanh nghiệp nhà nước</t>
  </si>
  <si>
    <t>Thu từ khu vực ngoài quốc doanh</t>
  </si>
  <si>
    <t>Thuế nhà đất/ thuế sd đất phi nông nghiệp</t>
  </si>
  <si>
    <t>Thu phí xăng dầu/ thuế bảo vệ môi trường</t>
  </si>
  <si>
    <t>Chi sự nghiệp y tế</t>
  </si>
  <si>
    <t>Chi sự nghiệp phát thanh truyền hình</t>
  </si>
  <si>
    <t>Chi sự nghiệp thể dục thể thao</t>
  </si>
  <si>
    <t>Chi quản lý hành chính</t>
  </si>
  <si>
    <t>Chi an ninh- quốc phòng</t>
  </si>
  <si>
    <t>UỶ BAN NHÂN DÂN</t>
  </si>
  <si>
    <t>Tổng thu NSNN trên địa bàn</t>
  </si>
  <si>
    <t>Thu từ xuất, nhập khẩu</t>
  </si>
  <si>
    <t>Thu ngân sách địa phương  (I+2b-2b1-2b2+II)</t>
  </si>
  <si>
    <t>Các khoản thu cân đối NSĐP (1+2a+2b1+2b2+3)</t>
  </si>
  <si>
    <t>Bổ sung cân đối</t>
  </si>
  <si>
    <t>b2</t>
  </si>
  <si>
    <t>Chi chuyển nguồn CCTL</t>
  </si>
  <si>
    <t>Trong đó: bổ sung để thực hiện điều chỉnh tiền lương cơ sở, đảm bảo nhiệm vụ chi</t>
  </si>
  <si>
    <t>Chi trả tiền vay</t>
  </si>
  <si>
    <t>Đơn vị: Triệu đồng</t>
  </si>
  <si>
    <t>DỰ TOÁN</t>
  </si>
  <si>
    <t>ƯỚC THỰC HIỆN</t>
  </si>
  <si>
    <t>MỨC DƯ NỢ VAY TỐI ĐA CỦA NSĐP</t>
  </si>
  <si>
    <t>BỘI CHI NGÂN SÁCH ĐỊA PHƯƠNG</t>
  </si>
  <si>
    <t>KẾ HOẠCH VAY, TRẢ NỢ GỐC</t>
  </si>
  <si>
    <t>Tổng dư nợ đầu năm</t>
  </si>
  <si>
    <t>Tỷ lệ mức dư nợ đầu kỳ so với mức dư nợ vay tối đa của ngân sách địa phương (%)</t>
  </si>
  <si>
    <t>- Vay Chi nhánh Ngân hàng Phát triển</t>
  </si>
  <si>
    <t>Trong đó: vay chương trình kiên cố hoá kênh mương</t>
  </si>
  <si>
    <t xml:space="preserve">                Vay chương trình cụm tuyến cụm, tuyến dân cư giai đoạn 1</t>
  </si>
  <si>
    <t xml:space="preserve">                Vay chương trình cụm tuyến cụm, tuyến dân cư giai đoạn 2</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</si>
  <si>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</si>
  <si>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</si>
  <si>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</si>
  <si>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</si>
  <si>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</si>
  <si>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</si>
  <si>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Hoàn trả tạm ứng vốn kho bạc nhà nước</t>
  </si>
  <si>
    <t>Trả nợ Trái phiếu chính quyền địa phương</t>
  </si>
  <si>
    <t>Trả nợ vay từ nguồn Chính phủ vay ngoài nước</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</si>
  <si>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</si>
  <si>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</si>
  <si>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</si>
  <si>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</si>
  <si>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</si>
  <si>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</si>
  <si>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</si>
  <si>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</si>
  <si>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</si>
  <si>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</si>
  <si>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Vay Chi nhánh Ngân hàng Phát triển</t>
  </si>
  <si>
    <t>Tổng dư nợ cuối năm</t>
  </si>
  <si>
    <t>Tỷ lệ mức dư nợ cuối kỳ so với mức dư nợ vay tối đa của ngân sách địa phương (%)</t>
  </si>
  <si>
    <t>Trả nợ lãi, phí</t>
  </si>
  <si>
    <t>NĂM 2019</t>
  </si>
  <si>
    <t xml:space="preserve"> - Nội dung các khoản đã xử lý:</t>
  </si>
  <si>
    <t>Tình hình sử dụng quỹ dự trữ tài chính</t>
  </si>
  <si>
    <t xml:space="preserve">   + Từ tiền thu hoàn trả tạm ứng của đơn vị</t>
  </si>
  <si>
    <t xml:space="preserve">   + Từ tiền lãi thu gửi KBNN</t>
  </si>
  <si>
    <t>TỈNH ĐỒNG THÁP</t>
  </si>
  <si>
    <t>Độc lập - Tự do - Hạnh phúc</t>
  </si>
  <si>
    <t>Đơn vị</t>
  </si>
  <si>
    <t>Tổng số thu</t>
  </si>
  <si>
    <t>Tổng số chi</t>
  </si>
  <si>
    <t>Chi cho giáo dục, đào tạo và dạy nghề</t>
  </si>
  <si>
    <t>+</t>
  </si>
  <si>
    <t>Tỷ trọng chi GD,ĐT&amp;DN trong tổng chi</t>
  </si>
  <si>
    <t>%</t>
  </si>
  <si>
    <t>Chi cho y tế</t>
  </si>
  <si>
    <t>Tỷ trọng chi cho y tế trong tổng chi</t>
  </si>
  <si>
    <t>ĐƠN VỊ TÍNH</t>
  </si>
  <si>
    <t>KẾ HOẠCH</t>
  </si>
  <si>
    <t>THỰC HIỆN</t>
  </si>
  <si>
    <t>Tổng sản phẩm trong nước (GRDP) theo giá hiện hành</t>
  </si>
  <si>
    <t>Tỷ đồng</t>
  </si>
  <si>
    <t>Tốc độ tăng trưởng GRDP theo giá thực tế</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</si>
  <si>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</si>
  <si>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</si>
  <si>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</si>
  <si>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</si>
  <si>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</si>
  <si>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</si>
  <si>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</si>
  <si>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</si>
  <si>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</si>
  <si>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</si>
  <si>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</si>
  <si>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</si>
  <si>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</si>
  <si>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</si>
  <si>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Mức giảm tỷ lệ hộ nghèo</t>
  </si>
  <si>
    <t>Tỷ lệ hộ nghèo</t>
  </si>
  <si>
    <t>- Số giáo viên (giáo dục)</t>
  </si>
  <si>
    <t>Người</t>
  </si>
  <si>
    <t>- Số học sinh</t>
  </si>
  <si>
    <t>+ Học sinh dân tộc nội trú</t>
  </si>
  <si>
    <t>+ Học sinh bán trú</t>
  </si>
  <si>
    <t>+ Đối tượng được hưởng chính sách miễn, giảm học phí theo quy định</t>
  </si>
  <si>
    <t>Trường</t>
  </si>
  <si>
    <t>Y tế:</t>
  </si>
  <si>
    <t>- Cơ sở khám chữa bệnh</t>
  </si>
  <si>
    <t>Cơ sở</t>
  </si>
  <si>
    <t>- Số giường bệnh</t>
  </si>
  <si>
    <t>Giường</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</si>
  <si>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</si>
  <si>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</si>
  <si>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</si>
  <si>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</si>
  <si>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</si>
  <si>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</si>
  <si>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</si>
  <si>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</si>
  <si>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Kinh phí mua thẻ khám chữa bệnh người nghèo, người dân tộc thiểu số, người sống vùng</t>
  </si>
  <si>
    <t>+ Người hiến bộ phận cơ thể</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</si>
  <si>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</si>
  <si>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</si>
  <si>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</si>
  <si>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</si>
  <si>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NĂM 2020</t>
  </si>
  <si>
    <t>Kinh phí thực hiện</t>
  </si>
  <si>
    <t>Bổ sung dự toán đầu năm</t>
  </si>
  <si>
    <t>Thừa /thiếu (+/-) bổ sung trong năm; chuyển nguồn</t>
  </si>
  <si>
    <t>Văn hóa thông tin</t>
  </si>
  <si>
    <t>Phát thanh truyền hình</t>
  </si>
  <si>
    <t>Thể dục - thể thao</t>
  </si>
  <si>
    <t>Quản lý nhà nước, đảng, đoàn thể</t>
  </si>
  <si>
    <t>10% tiết kiệm chi thường xuyên năm 2017</t>
  </si>
  <si>
    <t>Từ nguồn học phí, sự nghiệp</t>
  </si>
  <si>
    <t>Tỷ trọng GD&amp;ĐT so với tổng nhu cầu</t>
  </si>
  <si>
    <t>Hỗ trợ kinh phí mua thẻ BHYT cho trẻ em dưới 6 tuổi (SNYT)</t>
  </si>
  <si>
    <t>Kinh phí miễn thu thủy lợi phí</t>
  </si>
  <si>
    <t>TỔNG CỘNG (A+B+C+D)</t>
  </si>
  <si>
    <t>Thu vay từ nguồn Chính phủ vay về cho vay lại</t>
  </si>
  <si>
    <t>Chi đầu tư từ nguồn vốn Chính phủ vay về cho vay lại</t>
  </si>
  <si>
    <t>Tổng chi ( A+B+C)</t>
  </si>
  <si>
    <t>4. Thu vay từ nguồn Chính phủ vay về cho vay lại</t>
  </si>
  <si>
    <t>III. Chi đầu tư từ nguồn vốn Chính phủ vay về cho vay lại</t>
  </si>
  <si>
    <t>Thu đầu tư từ nguồn vốn Chính phủ vay về cho vay lại</t>
  </si>
  <si>
    <t>Thu ngân sách địa phương  (I+II+III+IV)</t>
  </si>
  <si>
    <t>Chi ngân sách địa phương (I+II+III)</t>
  </si>
  <si>
    <t>Nguồn thu ngân sách cấp Tỉnh (I+II+III+IV)</t>
  </si>
  <si>
    <t>Chi ngân sách cấp Tỉnh (I+II+III+IV)</t>
  </si>
  <si>
    <t>Tổng thu ngân sách địa phương (I+II+III+IV)</t>
  </si>
  <si>
    <t>Tổng chi ngân sách địa phương (I+II+III+IV+V+VI+VII+VIII)</t>
  </si>
  <si>
    <t>Trong đó lệ phí môn bài</t>
  </si>
  <si>
    <t>M</t>
  </si>
  <si>
    <t>Bổ sung kinh phí nâng cấp đô thị</t>
  </si>
  <si>
    <t>Lệ phí
môn bài (1 )</t>
  </si>
  <si>
    <t>(1): không kể lệ phí môn bài thu từ cá nhân, hộ kinh doanh</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</si>
  <si>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</si>
  <si>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 xml:space="preserve">                * Thu bổ sung kinh phí nâng cấp đô thị</t>
  </si>
  <si>
    <t>Thu vay đầu tư</t>
  </si>
  <si>
    <t>Chi đầu tư từ nguồn vốn vay</t>
  </si>
  <si>
    <t>Tình hình sử dụng dự phòng ngân sách cấp tỉnh</t>
  </si>
  <si>
    <t>Kinh phí quản lý, bảo trì đường bộ cho các quỹ bảo trì đường bộ địa phương</t>
  </si>
  <si>
    <t>Trong đó: Chương trình mục tiêu ứng phó biến đổi khí hậu và tăng trưởng xanh (giải ngân theo cơ chế tài chính trong nước)</t>
  </si>
  <si>
    <t>II.2.3</t>
  </si>
  <si>
    <t>(6): +kể cả tiền cho thuê, bán nhà thuộc sở hữu nhà nước; thu hoạt động sự nghiệp của các đơn vị; viện trợ không hoàn lại và các thu khác do cấp huyện quản lý</t>
  </si>
  <si>
    <t>Bổ sung 08 chương trình mục tiêu (vốn trong nước)</t>
  </si>
  <si>
    <t>Chương trình mục tiêu Ứng phó với biến đổi khí hậu và tăng trưởng xanh</t>
  </si>
  <si>
    <t>THỰC HIỆN NĂM 2018</t>
  </si>
  <si>
    <t>UTH NĂM 2019</t>
  </si>
  <si>
    <t>DỰ TOÁN NĂM 2020</t>
  </si>
  <si>
    <t>DỰ KIẾN NĂM 2022</t>
  </si>
  <si>
    <t>THỰC HIỆN 6 THÁNG ĐẦU NĂM 2019</t>
  </si>
  <si>
    <t>NĂM 2021</t>
  </si>
  <si>
    <t>Dự toán năm 2020</t>
  </si>
  <si>
    <t>Dự kiến năm 2022</t>
  </si>
  <si>
    <t>% so với dự toán 2021</t>
  </si>
  <si>
    <t>DỰ KIẾN CHI  NĂM 2022</t>
  </si>
  <si>
    <t>% so với DT 2021</t>
  </si>
  <si>
    <t>Dự kiến 2022</t>
  </si>
  <si>
    <t>Dự toán 2020</t>
  </si>
  <si>
    <t xml:space="preserve"> +Tăng thu UTH2019/DT 2019</t>
  </si>
  <si>
    <t xml:space="preserve"> +Tăng thu DT2020/DT 2019</t>
  </si>
  <si>
    <t>Dự toán 
năm 2020</t>
  </si>
  <si>
    <t>NHU CẦU THỰC HIỆN TIỀN LƯƠNG CƠ SỞ 1.490.000 ĐỒNG/THÁNG NĂM 2020</t>
  </si>
  <si>
    <t>10% tiết kiệm chi thường xuyên tăng thêm năm 2019</t>
  </si>
  <si>
    <t>50% tăng thu NSĐP dự toán năm 2020 so với năm năm 2019</t>
  </si>
  <si>
    <t>Kế hoạch năm 2020</t>
  </si>
  <si>
    <t>BTC chưa bổ sung nhu cầu tăng thêm so với thực hiện năm 2019</t>
  </si>
  <si>
    <t>Chi điều chỉnh tiền lương cơ sở</t>
  </si>
  <si>
    <t>NĂM 2022</t>
  </si>
  <si>
    <t>DỰ KIẾN NĂM 2025</t>
  </si>
  <si>
    <t>DỰ KIẾN NĂM 2024</t>
  </si>
  <si>
    <t>DỰ KIẾN NĂM 2023</t>
  </si>
  <si>
    <t>% so với dự toán 2022</t>
  </si>
  <si>
    <t>% so với dự toán 2023</t>
  </si>
  <si>
    <t>% so với dự toán 2024</t>
  </si>
  <si>
    <t>Chi đầu tư từ nguồn vốn khác</t>
  </si>
  <si>
    <t xml:space="preserve"> - Chi đầu tư từ nguồn vốn khác</t>
  </si>
  <si>
    <t>Trong đó thu nội địa không kể tiền SDĐ, XSKT</t>
  </si>
  <si>
    <t>Trong đó: Thu nội địa không kể tiền sử dụng đất, XSKT</t>
  </si>
  <si>
    <t>Tỷ lệ tăng bình quân so với dự toán năm 2020</t>
  </si>
  <si>
    <t>Dự kiến 2023</t>
  </si>
  <si>
    <t>Dự kiến 2024</t>
  </si>
  <si>
    <t>Dự kiến 2025</t>
  </si>
  <si>
    <t>DỰ KIẾN CHI  NĂM 2023</t>
  </si>
  <si>
    <t>% so với DT 2022</t>
  </si>
  <si>
    <t>DỰ KIẾN CHI  NĂM 2024</t>
  </si>
  <si>
    <t>% so với DT 2023</t>
  </si>
  <si>
    <t>DỰ KIẾN CHI  NĂM 2025</t>
  </si>
  <si>
    <t>% so với DT 2024</t>
  </si>
  <si>
    <t>Tổng chi ( I+II+III+IV+V+VI)</t>
  </si>
  <si>
    <t>Bố trí tăng chi thường xuyên (tính tiền lương cơ sở 1.390.000 đồng/tháng)</t>
  </si>
  <si>
    <t>Điều chỉnh tiền lương cơ sở 1.490.000 đồng/tháng</t>
  </si>
  <si>
    <t>Thu NSĐP năm 2020:</t>
  </si>
  <si>
    <t>Chi ngân sách địa phương năm 2020:</t>
  </si>
  <si>
    <t>Cân đối ngân sách địa phương năm 2020</t>
  </si>
  <si>
    <t>4=3/1</t>
  </si>
  <si>
    <t>TL 1,49 (12 THÁNG)</t>
  </si>
  <si>
    <t>DỰ TOÁN
 (TL 1,49)</t>
  </si>
  <si>
    <t>TUYỆT ĐỐI</t>
  </si>
  <si>
    <t>TỶ LỆ (%)</t>
  </si>
  <si>
    <t>1. Thu NSĐP hưởng theo phân cấp</t>
  </si>
  <si>
    <t>2. Số bổ sung cân đối ngân sách</t>
  </si>
  <si>
    <t>II. TỔNG CHI CÂN ĐỐI NSĐP</t>
  </si>
  <si>
    <t>1. Chi tạo nguồn cải cách tiền lương (1)</t>
  </si>
  <si>
    <t>2. Chi trả nợ lãi vay</t>
  </si>
  <si>
    <t>3. Chi đầu tư phát triển</t>
  </si>
  <si>
    <t>- Chi đầu tư XDCB tập trung trong nước</t>
  </si>
  <si>
    <t xml:space="preserve"> Trong đó: Bố trí nguồn chi trả nợ gốc các khoản vay</t>
  </si>
  <si>
    <t>- Chi đầu tư từ nguồn thu XSKT</t>
  </si>
  <si>
    <t xml:space="preserve"> 4. Chi thường xuyên:</t>
  </si>
  <si>
    <t>- Chi sự nghiệp giáo dục đào tạo</t>
  </si>
  <si>
    <t>- Chi sự nghiệp khoa học công nghệ</t>
  </si>
  <si>
    <t xml:space="preserve"> - Chi sự nghiệp hoạt động môi trường</t>
  </si>
  <si>
    <t>- Các khoản chi thường xuyên còn lại</t>
  </si>
  <si>
    <t xml:space="preserve"> 5. Dự phòng ngân sách</t>
  </si>
  <si>
    <t xml:space="preserve"> 6. Bổ sung quỹ dự trữ tài chính</t>
  </si>
  <si>
    <t xml:space="preserve"> 7. Chi chuyển nguồn thực hiện CCTL (2)</t>
  </si>
  <si>
    <t>III. BỘI THU/BỘI CHI NSĐP (NẾU CÓ)</t>
  </si>
  <si>
    <t xml:space="preserve">5. Thu chuyển nguồn làm lương </t>
  </si>
  <si>
    <t>- Bổ sung thực hiện các chế độ chính sách trong cân đối</t>
  </si>
  <si>
    <t>I. THU CÂN ĐỐI NGÂN SÁCH ĐỊA PHƯƠNG:</t>
  </si>
  <si>
    <t>ƯỚC THỰC HIỆN THU NGÂN SÁCH NHÀ NƯỚC NĂM 2019
DỰ TOÁN THU NGÂN SÁCH NHÀ NƯỚC NĂM 2020-2022
DỰ TOÁN THU NGÂN SÁCH NHÀ NƯỚC NĂM 2021-2025</t>
  </si>
  <si>
    <t>DỰ TOÁN NĂM 2021</t>
  </si>
  <si>
    <t>DỰ TOÁN NĂM 2022</t>
  </si>
  <si>
    <t>DỰ TOÁN NĂM 2023</t>
  </si>
  <si>
    <t>DỰ TOÁN NĂM 2024</t>
  </si>
  <si>
    <t>DỰ TOÁN NĂM 2025</t>
  </si>
  <si>
    <t>Dự kiến năm 2023</t>
  </si>
  <si>
    <t>Dự kiến năm 2024</t>
  </si>
  <si>
    <t>Dự kiến năm 2025</t>
  </si>
  <si>
    <t>THỰC HIỆN NĂM 2015</t>
  </si>
  <si>
    <t>THỰC HIỆN NĂM 2016</t>
  </si>
  <si>
    <t>THỰC HIỆN NĂM 2017</t>
  </si>
  <si>
    <t>Thu thuế bảo vệ môi trường (xăng, dầu)</t>
  </si>
  <si>
    <t>KẾT QUẢ DỰ KIẾN THU NSNN 5 NĂM 2016-2020</t>
  </si>
  <si>
    <t>DỰ KIẾN THU NSSN 5 NĂM 2021-2025</t>
  </si>
  <si>
    <t>Chi đầu tư từ nguồn vốn khác và hỗ trợ khác</t>
  </si>
  <si>
    <t>KẾT QUẢ DỰ KIẾN CHI NSĐP 5 NĂM 2016-2020</t>
  </si>
  <si>
    <t>DỰ KIẾN CHI NSĐP 5 NĂM 2021-2025</t>
  </si>
  <si>
    <t>Tỷ trọng bình quân</t>
  </si>
  <si>
    <t>THỰC HIỆN NĂM 2011</t>
  </si>
  <si>
    <t>THỰC HIỆN NĂM 2012</t>
  </si>
  <si>
    <t>THỰC HIỆN NĂM 2013</t>
  </si>
  <si>
    <t>THỰC HIỆN NĂM 2014</t>
  </si>
  <si>
    <t>KẾT QUẢ DỰ KIẾN CHI NSĐP 5 NĂM 2011-2015</t>
  </si>
  <si>
    <t>Tăng/giảm gđ 2021-2025 so với gđ 2016-2020</t>
  </si>
  <si>
    <t>Thu NSNN theo khu vực</t>
  </si>
  <si>
    <t>Khu vực có vốn đầu tư nước ngoài</t>
  </si>
  <si>
    <t>KẾT QUẢ THU NSNN 5 NĂM 2011-2015</t>
  </si>
  <si>
    <t xml:space="preserve">    TĐ: + Công nghiệp</t>
  </si>
  <si>
    <t>Khu vực Nông, lâm nghiệp và thủy sản</t>
  </si>
  <si>
    <t>Khu vực Công nghiệp - xây dựng</t>
  </si>
  <si>
    <t>Khu vực Thương mại - dịch vụ</t>
  </si>
  <si>
    <t>THU NGÂN SÁCH NHÀ NƯỚC 5 NĂM 2016-2020
DỰ KIẾN THU NGÂN SÁCH NHÀ NƯỚC 5 NĂM 2021-2025</t>
  </si>
  <si>
    <t>Tốc độ +/-
 bình quân 5 năm 2011-2015</t>
  </si>
  <si>
    <t>Tốc độ +/-
 bình quân 5 năm 2016-2020</t>
  </si>
  <si>
    <t>Tốc độ +/-
bình quân 5 năm 2021-2025</t>
  </si>
  <si>
    <t>Tốc độ +/-
bình quân 5 năm 2011-2015</t>
  </si>
  <si>
    <t>Tốc độ +/-
bình quân 5 năm 2016-2020</t>
  </si>
  <si>
    <t>Dự kiến 5 năm 2021-2025</t>
  </si>
  <si>
    <t>Tổng Quỹ lương</t>
  </si>
  <si>
    <t>Giáo dục - Đào tạo</t>
  </si>
  <si>
    <t>Các ngành còn lại</t>
  </si>
  <si>
    <t>So sánh</t>
  </si>
  <si>
    <t>Quỹ lương GD&amp;ĐT chiếm tỷ trọng trong tổng quỹ lương</t>
  </si>
  <si>
    <t>Quỹ lương toàn tỉnh chiếm tỷ trọng trong tổng chi TX</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</si>
  <si>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</si>
  <si>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</si>
  <si>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</si>
  <si>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</si>
  <si>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</si>
  <si>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Tăng/giảm GĐ 2021-2025 so với GĐ 2016-2020</t>
  </si>
  <si>
    <t>Khu vực kinh tế ngoài quốc doanh</t>
  </si>
  <si>
    <t>Thu NSNN</t>
  </si>
  <si>
    <t>h</t>
  </si>
  <si>
    <t>Chi sự nghiệp GD&amp;ĐT</t>
  </si>
  <si>
    <t>Cơ cấu chi thường xuyên</t>
  </si>
  <si>
    <t>Tăng/giảm gđ 2016-2020 so với gđ 2011-2015</t>
  </si>
  <si>
    <t>Tăng/giảm GĐ 2016-2020 so với GĐ 2011-2015</t>
  </si>
  <si>
    <t>Tỷ lệ thu NSNN so với GRDP</t>
  </si>
  <si>
    <t>NSĐP hưởng theo phân cấp</t>
  </si>
  <si>
    <t>Tỷ lệ chi cân đối NSĐP so với GRDP</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</si>
  <si>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</si>
  <si>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</si>
  <si>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</si>
  <si>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</si>
  <si>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</si>
  <si>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</si>
  <si>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</si>
  <si>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</si>
  <si>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</si>
  <si>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</si>
  <si>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</si>
  <si>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</si>
  <si>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</si>
  <si>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Thu viện trợ (nếu có)</t>
  </si>
  <si>
    <t>DỰ BÁO MỘT SỐ CHỈ TIÊU KINH TẾ - XÃ HỘI CHỦ YẾU GIAI ĐOẠN 05 NĂM 2021-2025</t>
  </si>
  <si>
    <t>Mục tiêu giai đoạn 2016-2020</t>
  </si>
  <si>
    <t>Thực hiện giai doạn 2016-2020</t>
  </si>
  <si>
    <t>Tổng giai doạn</t>
  </si>
  <si>
    <t>Năm 2016</t>
  </si>
  <si>
    <t>Kế hoạch giai doạn 2021-2025</t>
  </si>
  <si>
    <t>Năm 2017</t>
  </si>
  <si>
    <t>Năm 2018</t>
  </si>
  <si>
    <t>Năm 2019</t>
  </si>
  <si>
    <t>Năm 2020</t>
  </si>
  <si>
    <t>Vốn tín dụng</t>
  </si>
  <si>
    <t>Vốn doanh nghiệp và dân cư</t>
  </si>
  <si>
    <t>Vốn đầu tư trực tiếp nước ngoài</t>
  </si>
  <si>
    <t>Kim ngạch nhập khẩu</t>
  </si>
  <si>
    <t>1000
Người</t>
  </si>
  <si>
    <t>Giải quyết việc làm mới</t>
  </si>
  <si>
    <t>1000
lao động</t>
  </si>
  <si>
    <t>Tỷ lệ lao động qua đào tạo</t>
  </si>
  <si>
    <t>Tỷ lệ giảm hộ nghèo</t>
  </si>
  <si>
    <t>%/năm</t>
  </si>
  <si>
    <t>Tỷ lệ xã đạt tiêu chuẩn nông thôn mới</t>
  </si>
  <si>
    <t>Số xã đạt tiêu chuẩn nông thôn mới (lũy kế)</t>
  </si>
  <si>
    <t>xã</t>
  </si>
  <si>
    <t>3=4+5+6+7+8</t>
  </si>
  <si>
    <t>KẾ HOẠCH TÀI CHÍNH - NGÂN SÁCH GIAI ĐOẠN 5 NĂM 2021-2025</t>
  </si>
  <si>
    <t>Đơn vị tính: Triệu đổng</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</si>
  <si>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</si>
  <si>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</si>
  <si>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</si>
  <si>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</si>
  <si>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</si>
  <si>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</si>
  <si>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</si>
  <si>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</si>
  <si>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</si>
  <si>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</si>
  <si>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</si>
  <si>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</si>
  <si>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</si>
  <si>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</si>
  <si>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</si>
  <si>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</si>
  <si>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</si>
  <si>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</si>
  <si>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</si>
  <si>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</si>
  <si>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</si>
  <si>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Chi đầu tư phát triển (1)</t>
  </si>
  <si>
    <t>Tỷ trọng trong tổng chi NSĐP (%)</t>
  </si>
  <si>
    <t>Chi trả nợ lãi các khoản do chính quyền địa phương vay</t>
  </si>
  <si>
    <t>Chi tạo nguồn, điều chỉnh tiền lương</t>
  </si>
  <si>
    <t>BỘI CHI/BỘI THU NSĐP</t>
  </si>
  <si>
    <t>TỔNG MỨC VAY, TRẢ NỢ CỦA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</si>
  <si>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</si>
  <si>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BỘI CHI NSĐP/BỘI THU NSĐP</t>
  </si>
  <si>
    <t>Trả nợ gốc vay của NSĐP</t>
  </si>
  <si>
    <t>Từ nguồn bội thu, tăng thu, tiết kiệm chi, kết dư ngân sách cấp tỉnh</t>
  </si>
  <si>
    <t>Tổng mức vay của NSĐP</t>
  </si>
  <si>
    <t>Thu từ khu vực có vốn ĐTNN</t>
  </si>
  <si>
    <t>Thu từ DNNN do ĐP quản lý</t>
  </si>
  <si>
    <t xml:space="preserve">Thu từ DNNN do TW quản lý </t>
  </si>
  <si>
    <t>Tổng nguồn vốn phát sinh trong năm</t>
  </si>
  <si>
    <t>Tổng sử dụng nguồn vốn trong năm</t>
  </si>
  <si>
    <t>Chênh lệch nguổn trong năm</t>
  </si>
  <si>
    <t>Số dư nguồn đến ngày 31/12/2019</t>
  </si>
  <si>
    <t>Quỹ…….</t>
  </si>
  <si>
    <t>Trong đó NSĐP hỗ trợ
(nếu có)</t>
  </si>
  <si>
    <t>5=1+2-4</t>
  </si>
  <si>
    <t>9=6-8</t>
  </si>
  <si>
    <t>10=1+6-8</t>
  </si>
  <si>
    <t>Số dư nguồn đến ngày 31/12/2020</t>
  </si>
  <si>
    <t>14=11-13</t>
  </si>
  <si>
    <t>15=10+11-13</t>
  </si>
  <si>
    <t>Tỷ lệ thu NSNN so với năm trước</t>
  </si>
  <si>
    <t>Tỷ lệ thu nội địa không kể tiền sdđ, xskt so với năm trước</t>
  </si>
  <si>
    <t>Tỷ trọng từng khu vực/thu NSNN</t>
  </si>
  <si>
    <t>Tỷ lệ so với năm trước</t>
  </si>
  <si>
    <t>Thu nội địa không kể tiền sử dụng đất, XSKT</t>
  </si>
  <si>
    <t>Thu từ hoạt động XNK</t>
  </si>
  <si>
    <t>Tỷ lệ thu NSNN theo khu vực so với năm trước</t>
  </si>
  <si>
    <t>THỰC HIỆN NĂM 2010</t>
  </si>
  <si>
    <t>Tỷ trọng trong tổng thu NSNN</t>
  </si>
  <si>
    <t>Thu từ hoạt động xuất nhập khẩu</t>
  </si>
  <si>
    <t>CHI NGÂN SÁCH ĐỊA PHƯƠNG 5 NĂM 2016-2020
DỰ KIẾN CHI NGÂN SÁCH ĐỊA PHƯƠNG 5 NĂM 2021-2025</t>
  </si>
  <si>
    <t>Cơ cấu chi cân đối NSĐP</t>
  </si>
  <si>
    <t>Các khoản chi còn lại (DTTC, DP, trả lãi)</t>
  </si>
  <si>
    <t>Cơ cấu chi đầu tư phát triển trong chi cân đối NSĐP</t>
  </si>
  <si>
    <t>Khu vực tập thể, tư nhân, cá thể</t>
  </si>
  <si>
    <t>Thu lệ phí trước bạ</t>
  </si>
  <si>
    <t>Bổ sung vốn sự nghiệp cân đối cho ĐP</t>
  </si>
  <si>
    <t>Khu vực quốc doanh</t>
  </si>
  <si>
    <t>a.1</t>
  </si>
  <si>
    <t>a.2</t>
  </si>
  <si>
    <t>CHI TỪ NGUỒN NSTW BỔ SUNG CÓ MỤC TIÊU 5 NĂM 2016-2020
DỰ KIẾN CHI TỪ NGUỒN NSTW BỔ SUNG CÓ MỤC TIÊU 5 NĂM 2021-2025</t>
  </si>
  <si>
    <t>Chi thực hiện mục tiêu, nhiệm vụ quan trọng khác</t>
  </si>
  <si>
    <t>Bình quân 1 năm (làm tròn)</t>
  </si>
  <si>
    <t>THỰC HIỆN NĂM 2006</t>
  </si>
  <si>
    <t>THỰC HIỆN NĂM 2007</t>
  </si>
  <si>
    <t>THỰC HIỆN NĂM 2008</t>
  </si>
  <si>
    <t>THỰC HIỆN NĂM 2009</t>
  </si>
  <si>
    <t>Chi trả lãi nợ vay</t>
  </si>
  <si>
    <t>10% tiết kiệm chi thường xuyên tăng thêm năm 2018</t>
  </si>
  <si>
    <t>50% tăng thu NSĐP dự toán năm 2018 so với năm năm 2017</t>
  </si>
  <si>
    <t>50% tăng thu NSĐP dự toán năm 2019 so với năm năm 2018</t>
  </si>
  <si>
    <t>Tổng chi quỹ lương do tăng tiền lương cơ sở 1.300.000 đồng/tháng (12 tháng năm 2018)</t>
  </si>
  <si>
    <t>Tổng chi quỹ lương do tăng tiền lương cơ sở 1.390.000 đồng/tháng (12 tháng năm 2019)</t>
  </si>
  <si>
    <t>Tổng chi quỹ lương do tăng tiền lương cơ sở 1.490.000 đồng/tháng (12 tháng năm 2020)</t>
  </si>
  <si>
    <t>10% tiết kiệm chi thường xuyên tăng thêm năm 2020</t>
  </si>
  <si>
    <t>Bổ sung kinh phí phát triển cây xanh đô thị</t>
  </si>
  <si>
    <t>Tỷ lệ sử dụng nguồn tăng thu dự toán cho giáo dục đào tạo</t>
  </si>
  <si>
    <t>Tỷ lệ sử dụng nguồn tăng thu dự toán cho môi trường</t>
  </si>
  <si>
    <t>Tỷ lệ sử dụng nguồn tăng thu dự toán cho chi TX còn lại</t>
  </si>
  <si>
    <t>Tỷ lệ sử dụng nguồn tăng thu dự toán cho chi XDCB tâp trung</t>
  </si>
  <si>
    <t>Tỷ lệ sử dụng nguồn tăng thu dự toán cho chi dự phòng NS</t>
  </si>
  <si>
    <t>Tỷ lệ các chi thường xuyên còn lại so với năm trước</t>
  </si>
  <si>
    <t>Thu chuyển nguồn CCTL, CS năm trước chuyển sang</t>
  </si>
  <si>
    <t>3. Thu chuyển nguồn làm lương, CS</t>
  </si>
  <si>
    <t>Bổ sung tăng định mức hoạt động QLHC cấp xã</t>
  </si>
  <si>
    <t>Thu chuyển nguồn cải cách tiền lương, chính sách năm trước chuyển sang</t>
  </si>
  <si>
    <t>DỰ TOÁN 
(TL 1,49)</t>
  </si>
  <si>
    <t>Bổ sung tăng định mức hoạt động Trung tâm Dịch vụ nông nghiêp</t>
  </si>
  <si>
    <t>Chi nhánh Ngân hàng Chính sách Xã hội</t>
  </si>
  <si>
    <t>Trung tâm Xúc tiến Thương mại -Du lịch ĐT</t>
  </si>
  <si>
    <t>Bổ sung kinh phí Ban ATGT cấp huyện, cấp xã</t>
  </si>
  <si>
    <t>Bổ sung kinh phí thực hiện Đề án an toàn điện giai đoạn 2017-2020</t>
  </si>
  <si>
    <t>Chính sách ưu đãi (hỗ trợ lãi suất, cấp bù lãi suất)</t>
  </si>
  <si>
    <t>Kinh phí miễn thu thủy lợi phí (NSTW bổ sung có mục tiêu)</t>
  </si>
  <si>
    <t xml:space="preserve">                * Thu bổ sung kinh phí Ban ATGT cấp huyện, cấp xã</t>
  </si>
  <si>
    <t>TỔNG SỐ (A+B+C+D+E+G+H+I+K+L+M)</t>
  </si>
  <si>
    <t>Ban Quản lý Dự án ĐTXD công trình NN&amp;PTNT</t>
  </si>
  <si>
    <t>Giao dự toán đầu năm</t>
  </si>
  <si>
    <t>Bổ sung trong năm (*)</t>
  </si>
  <si>
    <t xml:space="preserve">Kinh phí chính sách hỗ trợ nâng cao hiệu quả chăn nuôi nông hộ giai đoạn 2015-2020 của Quyết định số 50/2014/QĐ-TTg </t>
  </si>
  <si>
    <t xml:space="preserve">Kinh phí chính sách hỗ trợ để chuyển đổi từ trồng lúa sang trồng ngô tại vùng trung du miền núi phía bắc, bắc trung bộ, đồng bằng sông cửu long, duyên hải nam trung bộ và tây nguyên theo Quyết định số 915/QĐ-TTg </t>
  </si>
  <si>
    <t>Ghi chú: (*) BTC thẩm định quyết toán chính sách năm 2017, 2018 nên nhu cầu này không còn phát sinh nữa, đưa vào dự toán sử dụng nguồn.</t>
  </si>
  <si>
    <t>Kinh phí phát triển cây xanh đô thị</t>
  </si>
  <si>
    <t>%
NSNN</t>
  </si>
  <si>
    <t>%
NS huyện
 hưởng</t>
  </si>
  <si>
    <t>+/-
NSNN</t>
  </si>
  <si>
    <t>+/-
NS huyện
 hưởng</t>
  </si>
  <si>
    <t>Thu tiền CQ khai thác khoáng sản, tài nguyên nước</t>
  </si>
  <si>
    <t>Thu hồi vốn, thu cổ tức, lợi nhuận sau thuế</t>
  </si>
  <si>
    <t>Thuế giá trị gia tăng hàng hóa nhập khẩu</t>
  </si>
  <si>
    <t>Kinh phí phân giới cắm mốc tuyến Việt Nam- Campuchia</t>
  </si>
  <si>
    <t>Hỗ trợ Hội Nhà báo địa phương</t>
  </si>
  <si>
    <t>Hỗ trợ Hội Văn học nghệ thuật</t>
  </si>
  <si>
    <t>Sự nghiệp khác vốn trong nước, vốn ngoài nước</t>
  </si>
  <si>
    <t>Chương trình mục tiêu quốc gia</t>
  </si>
  <si>
    <t>Thu từ quỹ đất công ích và thu hoa lợi công sản khác tại xã, phường, thị trấn</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</si>
  <si>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</si>
  <si>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</si>
  <si>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</si>
  <si>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Thu tiền cấp quyển khai thác khoáng sản, tài nguyên nước</t>
  </si>
  <si>
    <t>Thu từ hoạt động xổ số kiến thiết</t>
  </si>
  <si>
    <t>NĂM 2025</t>
  </si>
  <si>
    <t>NĂM 2024</t>
  </si>
  <si>
    <t>NĂM 2023</t>
  </si>
  <si>
    <t>Tỷ trọng so với chi cân đối NSĐP</t>
  </si>
  <si>
    <t>Tổng chi ngân sách địa phương (A+B)</t>
  </si>
  <si>
    <t>Tỷ trọng trong tổng chi NSĐP</t>
  </si>
  <si>
    <t>Các khoản thu nội địa còn lại</t>
  </si>
  <si>
    <t>Thu cho thuê mặt đất , mặt nước</t>
  </si>
  <si>
    <t>Thu nội địa khác còn lại</t>
  </si>
  <si>
    <t>Tỷ lệ chi ngân sách địa phương so với GRDP</t>
  </si>
  <si>
    <t>i</t>
  </si>
  <si>
    <t>Chi sự nghiệp văn hóa-Thông tin</t>
  </si>
  <si>
    <t>Chi sự nghiệp phát thanh-Truyền hình</t>
  </si>
  <si>
    <t>Chi sự nghiệp đảm bảo xã hội</t>
  </si>
  <si>
    <t>Chi quốc phòng- an ninh</t>
  </si>
  <si>
    <t>Tỷ trọng so với chi NSĐP</t>
  </si>
  <si>
    <t>Long An</t>
  </si>
  <si>
    <t>Tiền Giang</t>
  </si>
  <si>
    <t>Bến Tre</t>
  </si>
  <si>
    <t>Đồng Tháp</t>
  </si>
  <si>
    <t>Vĩnh Long</t>
  </si>
  <si>
    <t>Trà Vinh</t>
  </si>
  <si>
    <t>Cần Thơ</t>
  </si>
  <si>
    <t>Hậu Giang</t>
  </si>
  <si>
    <t>Sóc Trăng</t>
  </si>
  <si>
    <t>An Giang</t>
  </si>
  <si>
    <t>Kiên Giang</t>
  </si>
  <si>
    <t>Bạc Liêu</t>
  </si>
  <si>
    <t>Cà Mau</t>
  </si>
  <si>
    <t>ha</t>
  </si>
  <si>
    <t>km2</t>
  </si>
  <si>
    <t>tỷ lệ</t>
  </si>
  <si>
    <t>Tên tỉnh</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</si>
  <si>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</si>
  <si>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</si>
  <si>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</si>
  <si>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</si>
  <si>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</si>
  <si>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</si>
  <si>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</si>
  <si>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</si>
  <si>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</si>
  <si>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</si>
  <si>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</si>
  <si>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</si>
  <si>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</si>
  <si>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</si>
  <si>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</si>
  <si>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</si>
  <si>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</si>
  <si>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</si>
  <si>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</si>
  <si>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long an</t>
  </si>
  <si>
    <t>tien giang</t>
  </si>
  <si>
    <t>ben tre</t>
  </si>
  <si>
    <t>tra vinh</t>
  </si>
  <si>
    <t>vinh long</t>
  </si>
  <si>
    <t>can tho</t>
  </si>
  <si>
    <t>hau giang</t>
  </si>
  <si>
    <t>soc trang</t>
  </si>
  <si>
    <t>an giang</t>
  </si>
  <si>
    <t>dong thap</t>
  </si>
  <si>
    <t>kien giang</t>
  </si>
  <si>
    <t>bac lieu</t>
  </si>
  <si>
    <t>ca mau</t>
  </si>
  <si>
    <t>ĐBSCL</t>
  </si>
  <si>
    <t>XDCBTT</t>
  </si>
  <si>
    <t>Hạng</t>
  </si>
  <si>
    <t>sdđ</t>
  </si>
  <si>
    <t>xskt</t>
  </si>
  <si>
    <t>dân số</t>
  </si>
  <si>
    <t>TNCN</t>
  </si>
  <si>
    <t>Thu ngân sách địa phương</t>
  </si>
  <si>
    <t>Trong đó: thu cân đối NSĐP</t>
  </si>
  <si>
    <t>Chi chuyển nguồn cải cách tiền lương,…</t>
  </si>
  <si>
    <t>Tỷ lệ so với số chi cân đối NSĐP</t>
  </si>
  <si>
    <t>Cơ cấu GRDP theo giá hiện hành</t>
  </si>
  <si>
    <t>Tốc độ tăng trưởng GRDP theo giá so sánh</t>
  </si>
  <si>
    <t>Tổng sản phẩm nội tỉnh (GRDP) theo giá hiện hành</t>
  </si>
  <si>
    <t>GRDP bình quân đầu người (triệu đồng/người/năm)</t>
  </si>
  <si>
    <t>Năng suất lao động bình quân (triệu đồng/lao động/năm)</t>
  </si>
  <si>
    <t>GRDP theo giá hiện hành</t>
  </si>
  <si>
    <t>Văn phòng Tỉnh Ủy</t>
  </si>
  <si>
    <t>Các hội có tính chất đặc thù được nhà nước giao biên chế</t>
  </si>
  <si>
    <t>Hội Liên hiệp Văn học nghệ thuật</t>
  </si>
  <si>
    <t>Liên Hiệp các Hội khoa học và kỹ thuật</t>
  </si>
  <si>
    <t>Liên minh Hợp tác xã</t>
  </si>
  <si>
    <t>Liên Hiệp các Tổ chức hữu nghị</t>
  </si>
  <si>
    <t>Hội Luật gia</t>
  </si>
  <si>
    <t>Hội Khoa học lịch sử</t>
  </si>
  <si>
    <t>Ban đại diện Hội Người cao tuổi</t>
  </si>
  <si>
    <t>Các Hội không có tính chất đặc thù</t>
  </si>
  <si>
    <t>CHI ĐẦU TƯ TỪ NGUỒN VỐN CP VAY VỀ CHO VAY LẠI</t>
  </si>
  <si>
    <t>CHI BỔ SUNG QUỸ PHÁT TRIỂN ĐẤT TỪ NGUỒN THU SDĐ</t>
  </si>
  <si>
    <t>Hội Bảo trợ NKT, NN chất độc DC/Dioxin và BN nghèo</t>
  </si>
  <si>
    <t xml:space="preserve"> Bộ Chỉ huy Quân sự tỉnh</t>
  </si>
  <si>
    <t>Công an tỉnh</t>
  </si>
  <si>
    <t xml:space="preserve"> Bộ Chỉ huy Bộ đội Biên phòng tỉnh</t>
  </si>
  <si>
    <t>Thu tiền cấp quyền khai thác khoáng sản</t>
  </si>
  <si>
    <t xml:space="preserve">Thị trấn Thường Thới Tiền </t>
  </si>
  <si>
    <t>Tỷ lệ thu NSĐP hưởng theo phân cấp so với tổng chi cân đối NSĐP</t>
  </si>
  <si>
    <t>Tỷ lệ bội chi NSĐP so với tổng thu NSĐP hưởng theo phân cấp</t>
  </si>
  <si>
    <t>Tỷ lệ chi lương, phụ cấp trên tổng thu NSĐP</t>
  </si>
  <si>
    <t>Các Hội có tính chất đặc thù được nhà nước hỗ trợ kinh phí hoạt động</t>
  </si>
  <si>
    <t>Hội Khuyến học</t>
  </si>
  <si>
    <t>Hội Khoa học Kỹ thuật Cầu đường tỉnh</t>
  </si>
  <si>
    <t>Hiệp hội Thủy sản tỉnh</t>
  </si>
  <si>
    <t>Hội Sinh vật cảnh</t>
  </si>
  <si>
    <t>Hội Doanh nhân trẻ Đồng Tháp</t>
  </si>
  <si>
    <t>Hội Dược học tỉnh</t>
  </si>
  <si>
    <t>Hội Khoa học Tâm lý- Giáo dục tỉnh</t>
  </si>
  <si>
    <t>Hội Bảo vệ thiên nhiên và Môi trường tỉnh</t>
  </si>
  <si>
    <t>Viện Kiểm sát Tỉnh</t>
  </si>
  <si>
    <t xml:space="preserve">            + Xây dựng</t>
  </si>
  <si>
    <t xml:space="preserve">             + Thương mại - dịch vụ</t>
  </si>
  <si>
    <t>Trong đó: Thuế sản phẩm trừ trợ cấp sản phẩm</t>
  </si>
  <si>
    <t xml:space="preserve"> - Khu vực Nông, lâm nghiệp và thủy sản</t>
  </si>
  <si>
    <t xml:space="preserve"> - Khu vực Công nghiệp - xây dựng</t>
  </si>
  <si>
    <t xml:space="preserve">     TĐ: + Công nghiệp</t>
  </si>
  <si>
    <t xml:space="preserve"> - Khu vực Thương mại - dịch vụ</t>
  </si>
  <si>
    <t xml:space="preserve">          + Thương mại - dịch vụ</t>
  </si>
  <si>
    <t xml:space="preserve">      TĐ: Thuế sản phẩm trừ trợ cấp</t>
  </si>
  <si>
    <t>USD</t>
  </si>
  <si>
    <t>Tỷ giá USD</t>
  </si>
  <si>
    <t>Năm 2021</t>
  </si>
  <si>
    <t>Năm 2022</t>
  </si>
  <si>
    <t>Năm 2023</t>
  </si>
  <si>
    <t>Năm 2024</t>
  </si>
  <si>
    <t>Năm 2025</t>
  </si>
  <si>
    <t>Tổng giai đoạn 2021-2025</t>
  </si>
  <si>
    <t>Tốc độ tăng</t>
  </si>
  <si>
    <t xml:space="preserve">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t>
  </si>
  <si>
    <t>ƯỚC THỰC HIỆN THU NGÂN SÁCH NHÀ NƯỚC NĂM 2020
DỰ TOÁN THU NGÂN SÁCH NHÀ NƯỚC NĂM 2021</t>
  </si>
  <si>
    <t>ƯỚC THỰC HIỆN NĂM 2020</t>
  </si>
  <si>
    <t>% so với ước thực hiện 2020</t>
  </si>
  <si>
    <t>ƯỚC THỰC HIỆN CHI NGÂN SÁCH ĐỊA PHƯƠNG NĂM 2020
DỰ TOÁN CHI NGÂN SÁCH ĐỊA PHƯƠNG NĂM 2021</t>
  </si>
  <si>
    <t>ƯỚC THỰC HIỆN CHI NĂM 2020</t>
  </si>
  <si>
    <t>DỰ TOÁN CHI  NĂM 2021</t>
  </si>
  <si>
    <t>CÂN ĐỐI NGÂN SÁCH ĐỊA PHƯƠNG NĂM 2020-2021
(Bao gồm chi điều chỉnh giữa các cấp ngân sách địa phương)</t>
  </si>
  <si>
    <t>ƯTH 2020</t>
  </si>
  <si>
    <t>Dự toán 2021</t>
  </si>
  <si>
    <t>Dự kiến 2021-2023</t>
  </si>
  <si>
    <t>Tăng thu UTH2020/DT 2020</t>
  </si>
  <si>
    <t>Tăng thu DT2021/DT 2020</t>
  </si>
  <si>
    <t>DỰ TOÁN CHI NGÂN SÁCH CẤP TỈNH CHO TỪNG  ĐƠN VỊ  THEO LĨNH VỰC NĂM 2021</t>
  </si>
  <si>
    <t>Bổ sung kinh phí thực hiện Đề án an toàn điện giai đoạn 2017-2021</t>
  </si>
  <si>
    <t>DỰ TOÁN CHI NGÂN SÁCH CHO CÁC DỰ ÁN CHƯƠNG TRÌNH MỤC TIÊU QUỐC GIA, MỘT SỐ CHƯƠNG TRÌNH, DỰ ÁN, NHIỆM VỤ KHÁC QUAN TRỌNG NĂM 2021</t>
  </si>
  <si>
    <t>Dự toán
năm 2021</t>
  </si>
  <si>
    <t>ƯTH năm 2020</t>
  </si>
  <si>
    <t>Tăng thu UTH năm 2020 so với dự toán  2020 (không kể thu tiền sử dụng đất)</t>
  </si>
  <si>
    <t>Tăng thu dự toán năm 2021 so với dự toán  2020 (không kể thu tiền sử dụng đất)</t>
  </si>
  <si>
    <t>Dành 50% tăng thu dự toán năm 2021 so với dự toán  2020</t>
  </si>
  <si>
    <t>DT21/ UTH20</t>
  </si>
  <si>
    <t>UTH20/ DT20</t>
  </si>
  <si>
    <t>DỰ TOÁN 2021</t>
  </si>
  <si>
    <t>DT2021/
DT2020
(Số tuyệt đối)</t>
  </si>
  <si>
    <t>DT2021/
DT2020
(Số tương đối)</t>
  </si>
  <si>
    <t>DỰ BÁO MỘT SỐ CHỈ TIÊU KINH TẾ - XÃ HỘI CHỦ YẾU GIAI ĐOẠN 03 NĂM 2021-2023</t>
  </si>
  <si>
    <t>CÂN ĐỐI NGÂN SÁCH ĐỊA PHƯƠNG NĂM 2020-2025</t>
  </si>
  <si>
    <t>Ước thực hiện năm 2020</t>
  </si>
  <si>
    <t>Dự toán năm 2021</t>
  </si>
  <si>
    <t>CÂN ĐỐI NGÂN SÁCH  ĐỊA PHƯƠNG NĂM 2020-2021</t>
  </si>
  <si>
    <t>Chi ngân sách địa phương năm 2021:</t>
  </si>
  <si>
    <t>Cân đối ngân sách địa phương năm 2021</t>
  </si>
  <si>
    <t>Nhu cầu năm 2020</t>
  </si>
  <si>
    <t>Còn lại chuyển sang năm 2021</t>
  </si>
  <si>
    <t>DỰ KIẾN BỐ TRÍ TỪ NGUỒN TĂNG THU DỰ TOÁN 2021 
SO VỚI DỰ TOÁN THU 2020 (TÍNH NGUỒN THU CÂN ĐỐI)</t>
  </si>
  <si>
    <t>Bố trí năm 2021 so với dự toán năm 2020</t>
  </si>
  <si>
    <t>Bố trí năm 2022 so với dự toán năm 2020</t>
  </si>
  <si>
    <t>Bố trí năm 2023 so với dự toán năm 2020</t>
  </si>
  <si>
    <t>Bố trí năm 2024 so với dự toán năm 2020</t>
  </si>
  <si>
    <t>Bố trí năm 2025 so với dự toán năm 2020</t>
  </si>
  <si>
    <t>Bố trí năm 2026 so với dự toán năm 2020</t>
  </si>
  <si>
    <t>THỰC HIỆN NĂM 2019</t>
  </si>
  <si>
    <t>UTH NĂM 2020</t>
  </si>
  <si>
    <t>UTH 2020/
DT2020 (%)</t>
  </si>
  <si>
    <t>DỰ TOÁN NĂM 2021 (Số kiểm tra của BTC)</t>
  </si>
  <si>
    <t>DỰ TOÁN NĂM 2021 (ĐP)</t>
  </si>
  <si>
    <t>Chênh lệch giữa DT2021-BTC với DT2021-ĐP</t>
  </si>
  <si>
    <t>So sánh năm 2021/UTH 2020
(%)</t>
  </si>
  <si>
    <t>KẾT QUẢ THU NSNN 4 NĂM 2016-2019</t>
  </si>
  <si>
    <t>Tốc độ +/-
 bình quân 4 năm 2016-2019</t>
  </si>
  <si>
    <t>TÌNH HÌNH THỰC HIỆN KẾ HOẠCH TÀI CHÍNH CÁC QUỸ TÀI CHÍNH NGOÀI NGÂN SÁCH DO TỈNH QUẢN LÝ NĂM 2020-2021</t>
  </si>
  <si>
    <t>Kế hoạch năm 2021</t>
  </si>
  <si>
    <t>Số dư nguồn đến ngày 31/12/2021</t>
  </si>
  <si>
    <t>TÌNH HÌNH SỬ DỤNG DỰ PHÒNG NS CÂP TỈNH VÀ QUỸ DỰ TRỮ TÀI CHÍNH NĂM 2020</t>
  </si>
  <si>
    <t xml:space="preserve"> - Dự toán năm 2020</t>
  </si>
  <si>
    <t xml:space="preserve"> - Số đã sử dụng đến 31/7/2020</t>
  </si>
  <si>
    <t xml:space="preserve"> - Số dư quỹ dự trữ tài chính đến 31/12/2019</t>
  </si>
  <si>
    <t xml:space="preserve"> - Số đã bổ sung quỹ dự trữ tài chính 6 tháng đầu năm 2020</t>
  </si>
  <si>
    <t xml:space="preserve">   + Từ dự toán năm 2020</t>
  </si>
  <si>
    <t xml:space="preserve">   + Từ kết dư năm 2019</t>
  </si>
  <si>
    <t xml:space="preserve"> - Số dư đến thời điểm 31/7/2020</t>
  </si>
  <si>
    <t>Tốc độ tăng bình quân 5 năm 2016-2020</t>
  </si>
  <si>
    <t>Tốc độ tăng bình quân 5 năm 2021-2025</t>
  </si>
  <si>
    <t>KẾ HOẠCH VAY VÀ TRẢ NỢ NGÂN SÁCH CẤP TỈNH GIAI ĐOẠN 03 NĂM 2021-2023</t>
  </si>
  <si>
    <t>SO SÁNH NĂM 2021 VỚI DỰ TOÁN NĂM 2020
(%)</t>
  </si>
  <si>
    <t>TỔNG HỢP KINH PHÍ THỰC HIỆN CÁC CHÍNH SÁCH, CHẾ ĐỘ NĂM 2020 VÀ DỰ KIẾN NHU CẦU KINH PHÍ NĂM 2021</t>
  </si>
  <si>
    <t>Quyết toán 2019</t>
  </si>
  <si>
    <t>Tình hình thực hiện năm 2020</t>
  </si>
  <si>
    <t>Dự kiến nhu cầu kinh phí thực hiện năm 2021</t>
  </si>
  <si>
    <t>Bổ sung dự toán đầu năm 2021</t>
  </si>
  <si>
    <t>BẢNG TỔNG HỢP NGUỒN VÀ CHẾ ĐỘ CHÍNH SÁCH NĂM 2020 CHUYỂN SANG 2021</t>
  </si>
  <si>
    <t>-Phòng dịch phòng dịch vật nuôi, cây trồng:  tỷ đồng (trong đó phòng chống dịch Covid-19:  82.91 tỷ đồng)</t>
  </si>
  <si>
    <t xml:space="preserve"> - Số dư đến thời điểm 31/7/2020 (tạm sử dụng tồn quỹ)</t>
  </si>
  <si>
    <t>NĂM 2026</t>
  </si>
  <si>
    <t>DỰ TOÁN  
(TL 1,49)</t>
  </si>
  <si>
    <t>- Bổ sung thực hiện tiền lương 1,49 triệu đồng/tháng</t>
  </si>
  <si>
    <t>3. Số bổ sung thực hiện tiền lương đến 1,49 triệu đồng/tháng và chế độ chính sách tăng thêm tính trong cân đối</t>
  </si>
  <si>
    <t>4. Số bổ sung thực hiện tiền lương đến 1,600 triệu đồng/tháng và chế độ chính sách tăng thêm tính trong cân đối</t>
  </si>
  <si>
    <t>CHI NGÂN SÁCH UTH NĂM 2020, DỰ TOÁN NĂM 2021</t>
  </si>
  <si>
    <t>SO SÁNH DT 2021/DT2020 (THEO TL 1,49)</t>
  </si>
  <si>
    <t>ƯTH
 (TL 1.49)</t>
  </si>
  <si>
    <t>Bổ sung thực hiện lương cơ sở đến 1.490.000 đ/tháng</t>
  </si>
  <si>
    <t>Gồm:  Thu tiền sd đất</t>
  </si>
  <si>
    <t>4=3-2</t>
  </si>
  <si>
    <t>5=3/2</t>
  </si>
  <si>
    <t>+Chi đầu tư XDCB tập trung trong nước bao gồm số phân bổ từ nguồn CCTL dự toán năm 2021</t>
  </si>
  <si>
    <t>Trong đó:  Thu tiền sử dụng đất</t>
  </si>
  <si>
    <t>Số bổ sung thực hiện tiền lương cơ sở đến 1.490.000 đồng/tháng</t>
  </si>
  <si>
    <t>Trong đó: Chi đầu tư XDCB tập trung trong nước bao gồm số phân bổ từ nguồn CCTL dự toán năm 2021</t>
  </si>
  <si>
    <t>Bổ sung thực hiện cơ sở đến 1.490.000 đồng/tháng</t>
  </si>
  <si>
    <t>Thừa nguồn CCTL, chế độ chính sách (nếu có) chuyển sang 2021</t>
  </si>
  <si>
    <t>ĐIỀU CHỈNH DỰ TOÁN</t>
  </si>
  <si>
    <t>DỰ TOÁN (BAO GỒM ĐIỀU CHỈNH TIỀN LƯƠNG MỚI (NẾU CÓ))</t>
  </si>
  <si>
    <t>10% TIẾT KIỆM CHI THƯỜNG XUYÊN NĂM 2021 TĂNG THÊM SO VỚI NĂM 2020</t>
  </si>
  <si>
    <t>Dự toán chi thường xuyên năm 2021 tăng so với dự toán năm 2020</t>
  </si>
  <si>
    <t>10% tiết kiệm chi thường xuyên năm 2021 tăng thêm</t>
  </si>
  <si>
    <t>Bổ sung thực hiện tiền lương cơ sở đến 1.490.000 đồng/tháng</t>
  </si>
  <si>
    <t>Thu ngân sách nhà nước trên địa bàn</t>
  </si>
  <si>
    <t>10% tiết kiệm chi thường xuyên tăng thêm năm 2021</t>
  </si>
  <si>
    <t>70% tăng thu NSĐP thực hiện năm trước so với dự toán năm trước (hết ngày 31/12/2020 sẽ xác định tăng/giảm thu NSH)</t>
  </si>
  <si>
    <t>50% tăng thu NSĐP dự toán năm 2021 so với năm năm 2020</t>
  </si>
  <si>
    <t>50%/70% tăng thu NSĐP</t>
  </si>
  <si>
    <t>Từ nguồn ngân sách cấp tỉnh bổ sung thực hiện lương cơ sở đến 1.490.000 đồng/tháng</t>
  </si>
  <si>
    <t>Dành 70% tăng thu UTH năm 2020 so với dự toán  2020</t>
  </si>
  <si>
    <t>Chi thực hiện một số nhiệm vụ, mục tiêu khác
(vốn sự nghiệp)</t>
  </si>
  <si>
    <t>Hỗ trợ một phần do giảm thu dự toán thu 2021 so với dự toán thu 2020 (nếu có)</t>
  </si>
  <si>
    <t>Tỷ lệ theo cân đối ngân sách đảm bảo nhiệm vụ chi</t>
  </si>
  <si>
    <t>ĐIỀU CHỈNH GIẢM CHI TẠO NGUỒN CCTL (NẾU CÓ)</t>
  </si>
  <si>
    <t>Bổ sung đảm bảo nhiệm vụ chi thường xuyên do giảm dự toán thu</t>
  </si>
  <si>
    <t>Thu cân đối NSĐP không kể tiền sử dụng đất thu XSKT</t>
  </si>
  <si>
    <t xml:space="preserve">Giảm tỷ lệ đóng BHXH (18% xuống còn 17,5%) theo kiến nghị của Kiểm toán nhà nước </t>
  </si>
  <si>
    <t>Tổng chi quỹ lương do tăng tiền lương cơ sở 1.490.000 đồng/tháng (12 tháng năm 2021)</t>
  </si>
  <si>
    <t>4.1</t>
  </si>
  <si>
    <t>Quỹ lương, ngạch bậc chênh lệch năm 2020 và 2021 (12 tháng theo lương 1.490.000 đồng)</t>
  </si>
  <si>
    <t>4.2</t>
  </si>
  <si>
    <t>Hỗ trợ hợp đồng số 68/2020/NĐ-CP của các cơ sở giáo dục huyện</t>
  </si>
  <si>
    <t>Kinh phí các lớp trung cấp chính trị năm 2021 mở tại các huyện</t>
  </si>
  <si>
    <t>Thiếu bổ sung trong năm; chuyển nguồn</t>
  </si>
  <si>
    <t>Thừa nguồn bổ sung trong năm; chuyển nguồn</t>
  </si>
  <si>
    <t>Sử dụng nguồn CCTL của huyện</t>
  </si>
  <si>
    <t>Sử dụng nguồn bổ sung</t>
  </si>
  <si>
    <t xml:space="preserve">Ngân sách tỉnh còn phải bổ sung </t>
  </si>
  <si>
    <t>Còn lại chuyển nguồn sang năm 2021</t>
  </si>
  <si>
    <t>Thừa /thiếu (+/-) bổ sung trong năm; chuyển nguồn 2022</t>
  </si>
  <si>
    <t xml:space="preserve">Nguồn do giảm tỷ lệ đóng BHXH (18% xuống còn 17,5%) theo kiến nghị của Kiểm toán nhà nước </t>
  </si>
  <si>
    <t>Bổ sung chênh lệch thực hiện tiền lương năm 2020-2021 và Hỗ trợ hợp đồng số 68/2020/NĐ-CP của các cơ sở giáo dục huyện</t>
  </si>
  <si>
    <t>Chi tạo nguồn cải cách tiền lương và chính sách</t>
  </si>
  <si>
    <t>Chi tạo nguồn cải cách tiền lương, chính sách ASXH</t>
  </si>
  <si>
    <t>Giáo dục và đào tạo</t>
  </si>
  <si>
    <t>QLNS</t>
  </si>
  <si>
    <t>- Giáo dục:</t>
  </si>
  <si>
    <t>hợp đồng 68 giáo dục</t>
  </si>
  <si>
    <t>- Đào tạo</t>
  </si>
  <si>
    <t>Cán bộ công chức chuyên trách</t>
  </si>
  <si>
    <t>TP.Hồng Ngự</t>
  </si>
  <si>
    <t>Thành phố Hồng Ngự</t>
  </si>
  <si>
    <t>THÀNH PHỐ HỒNG NGỰ</t>
  </si>
  <si>
    <t>THÀNH PHỐ CAO LÃNH</t>
  </si>
  <si>
    <t>THÀNH PHỐ SA ĐÉC</t>
  </si>
  <si>
    <t>TP. Hồng Ngự</t>
  </si>
  <si>
    <t>TP. HỒNG NGỰ</t>
  </si>
  <si>
    <t>Tổng công 12 huyện, thành phố</t>
  </si>
  <si>
    <t>Chênh lệch giữa thu NSH không kể tiền sử dụng đất dự toán năm 2021 so với dự toán thu NSH năm 2017</t>
  </si>
  <si>
    <t>Bổ sung nguồn đảm bảo CCTL và nhiệm vụ chi do giảm dự toán thu</t>
  </si>
  <si>
    <t>Giáo dục đào tạo (không kể HĐ 68 GD)</t>
  </si>
  <si>
    <t>Hỗ trợ theo số xã, phường, thị trấn</t>
  </si>
  <si>
    <t>Bổ sung đảm bảo nhiệm vụ chi do giảm dự toán thu các năm trước</t>
  </si>
  <si>
    <t>Tổng thu NSNN trên địa bàn huyện, thành phố
năm 2021</t>
  </si>
  <si>
    <t>Huyện, thành phố</t>
  </si>
  <si>
    <t>Tổng thu ngân sách huyện, thành phố</t>
  </si>
  <si>
    <t>BẢNG CÂN ĐỐI DỰ TOÁN THU-CHI NĂM 2021 NGÂN SÁCH HUYỆN, THÀNH PHỐ</t>
  </si>
  <si>
    <t>Dự toán chi ngân sách huyện, thành phố năm 2021</t>
  </si>
  <si>
    <t>Tổng chi NS huyện, thành phố năm 2021</t>
  </si>
  <si>
    <t>DỰ TOÁN CHI NGÂN SÁCH HUYỆN, THÀNH PHỐ NĂM 2021</t>
  </si>
  <si>
    <t>DỰ TOÁN THU NSNN NĂM 2021 TRÊN ĐỊA BÀN HUYỆN, THÀNH PHỐ</t>
  </si>
  <si>
    <t>Phí, lệ phí do cơ quan nhà nước huyện, thành phố thực hiện thu</t>
  </si>
  <si>
    <t>Thu do cơ quan, tổ chức, đơn vị thuộc huyện, thành phố quản lý</t>
  </si>
  <si>
    <t>Thu khác ngân sách huyện, thành phố</t>
  </si>
  <si>
    <t>CÂN ĐỐI NGÂN SÁCH HUYỆN, THÀNH PHỐ NĂM 2020-2021</t>
  </si>
  <si>
    <t>NGUỒN VÀ NHU CẦU KINH PHÍ ĐỂ THỰC HIỆN CẢI CÁCH TIỀN LƯƠNG CỦA HUYỆN, THÀNH PHỐ NĂM 2020-2021</t>
  </si>
  <si>
    <t>Tỷ lệ điều chỉnh tiền lương cho đào tạo năm 2021</t>
  </si>
  <si>
    <t>đ</t>
  </si>
  <si>
    <t>Bổ sung bảo đảm nhiệm vụ chi do giảm thu dự toán các năm trước</t>
  </si>
  <si>
    <t>Hỗ trợ một phần do giảm thu dự toán các năm trước (nếu có)</t>
  </si>
  <si>
    <t>CHI NGÂN SÁCH HUYỆN, THÀNH PHỐ</t>
  </si>
  <si>
    <t>THU NGÂN SÁCH HUYỆN, THÀNH PHỐ</t>
  </si>
  <si>
    <t>Hỗ trợ theo số xã, phường, thị trấn (đvt: triệu đồng)</t>
  </si>
  <si>
    <t>ƯỚC THỰC HIỆN THU NSNN NĂM 2020 VÀ DỰ TOÁN THU  NSNN NĂM 2021 
HUYỆN, THÀNH PHỐ</t>
  </si>
  <si>
    <t>1. Chi đầu tư phát triển</t>
  </si>
  <si>
    <t>Thuế bảo vệ môi trường</t>
  </si>
  <si>
    <t>Thu NSĐP theo phân cấp</t>
  </si>
  <si>
    <t>Phí, lệ phí do cơ quan nhà nước cấp huyện thực hiện thu</t>
  </si>
  <si>
    <t>Thu do cơ quan, tổ chức, đơn vị thuộc cấp tỉnh quản lý</t>
  </si>
  <si>
    <t>Thu sử dụng vốn NS và thu khác</t>
  </si>
  <si>
    <t xml:space="preserve"> - Chi đầu tư từ nguồn thu XSKT</t>
  </si>
  <si>
    <t>Trong đó: chi sự nghiệp GD-ĐT</t>
  </si>
  <si>
    <t>3. Chi điều chỉnh tiền lương cơ sở</t>
  </si>
  <si>
    <t>Hỗ trợ kinh phí đào tạo cán bộ quân sự cấp xã (GD&amp;ĐT)</t>
  </si>
  <si>
    <t>Tổng chi (I+II+III+IV)</t>
  </si>
  <si>
    <t>Chi từ NSTW bổ sung có mục tiêu (MTQG)</t>
  </si>
  <si>
    <t>Phần so sánh</t>
  </si>
  <si>
    <t>Chi sự nghiệp văn hoá- thông tin</t>
  </si>
  <si>
    <t>Chi đảm bảo xã hội</t>
  </si>
  <si>
    <t>Chi ngân sách địa phương</t>
  </si>
  <si>
    <t xml:space="preserve"> - Số đã sử dụng đến thời điểm 30/6/2020</t>
  </si>
  <si>
    <t>Trả nợ vay Chi nhánh Ngân hàng Phát triển</t>
  </si>
  <si>
    <t>Trả nợ vay trong nước khác theo quy định của pháp luật</t>
  </si>
  <si>
    <t>GRDP/ người</t>
  </si>
  <si>
    <t>Giáo dục, đào tạo</t>
  </si>
  <si>
    <t>- Số trường đại học, cao đẳng, dạy nghề công lập do địa phương quản lý</t>
  </si>
  <si>
    <t>Vốn ngân sách nhà nước</t>
  </si>
  <si>
    <t>Kim ngạch xuất khẩu</t>
  </si>
  <si>
    <t>TÊN QUỸ</t>
  </si>
  <si>
    <t>Nội dung chính sách, chế độ</t>
  </si>
  <si>
    <t>TỔNG CHI NGÂN SÁCH HUYỆN</t>
  </si>
  <si>
    <t>3. Chi tạo nguồn cải cách tiền lương</t>
  </si>
  <si>
    <t>4. Chi bổ sung quỹ dự trữ tài chính</t>
  </si>
  <si>
    <t>5. Dự phòng ngân sách</t>
  </si>
  <si>
    <t>6. Chi trả lãi tiền vay</t>
  </si>
  <si>
    <t>Hỗ trợ một phần do giảm thu dự toán thu các năm trước</t>
  </si>
  <si>
    <t xml:space="preserve">               * Thu bổ sung thực hiện tiền lương cơ sở đến 1.490.000 đồng/tháng</t>
  </si>
  <si>
    <t xml:space="preserve">                * Thu bổ sung tăng định mức hoạt động QLHC cấp xã</t>
  </si>
  <si>
    <t xml:space="preserve">                * Thu bổ sung đảm bảo nhiệm vụ chi do giảm dự toán thu các năm trước</t>
  </si>
  <si>
    <t>(3)- Dự toán chi thường xuyên đã bao gồm toàn bộ nhu cầu tiền lương theo mức lương cơ sở đến 1.490.000 đồng/tháng.</t>
  </si>
  <si>
    <t>CÂN ĐỐI NGÂN SÁCH ĐỊA PHƯƠNG NĂM 2021</t>
  </si>
  <si>
    <t>CÂN ĐỐI NGÂN SÁCH CẤP TỈNH NĂM 2021</t>
  </si>
  <si>
    <t>Dự toán 
năm 2021</t>
  </si>
  <si>
    <t>DỰ TOÁN THU NGÂN SÁCH NHÀ NƯỚC NĂM 2021</t>
  </si>
  <si>
    <t>DỰ TOÁN CHI NGÂN SÁCH ĐỊA PHƯƠNG NĂM 2021</t>
  </si>
  <si>
    <t>Ngân sách huyện, thành phố</t>
  </si>
  <si>
    <r>
      <t xml:space="preserve">  (1)- Dự toán chi ngân sách cấp Tỉnh chưa kể chi bổ sung cho ngân sách huyện, thành phố:</t>
    </r>
    <r>
      <rPr>
        <b/>
        <sz val="10"/>
        <rFont val="Times New Roman"/>
        <family val="1"/>
      </rPr>
      <t xml:space="preserve"> </t>
    </r>
  </si>
  <si>
    <t>TỔNG HỢP VỐN ĐẦU TƯ TỪ NGUỒN THU XỔ SỐ KIẾN THIẾT NĂM 2020 VÀ NĂM 2021</t>
  </si>
  <si>
    <t>Ước thực hiện
 năm 2020</t>
  </si>
  <si>
    <t>So sánh 
DT 2021/DT 2020</t>
  </si>
  <si>
    <t>CÂN ĐỐI NGÂN SÁCH ĐỊA PHƯƠNG NĂM 2021
(Kèm theo Báo cáo  số           /BC-UBND ngày       tháng 12 năm 2020 của Uỷ ban nhân dân tỉnh Đồng Tháp)</t>
  </si>
  <si>
    <t>DỰ TOÁN THU NGÂN SÁCH NHÀ NƯỚC NĂM 2021
(Kèm theo Báo cáo  số           /BC-UBND ngày       tháng 12 năm 2020 của Uỷ ban nhân dân tỉnh Đồng Tháp)</t>
  </si>
  <si>
    <t>DỰ TOÁN CHI NGÂN SÁCH ĐỊA PHƯƠNG NĂM 2021
(Kèm theo Báo cáo  số           /BC-UBND ngày       tháng 12 năm 2020 của Uỷ ban nhân dân tỉnh Đồng Tháp)</t>
  </si>
  <si>
    <t>DỰ TOÁN CHI NGÂN SÁCH CHO CÁC DỰ ÁN CHƯƠNG TRÌNH MỤC TIÊU QUỐC GIA, MỘT SỐ CHƯƠNG TRÌNH, DỰ ÁN, NHIỆM VỤ KHÁC QUAN TRỌNG NĂM 2021
(Kèm theo Báo cáo  số           /BC-UBND ngày       tháng 12 năm 2020 của Uỷ ban nhân dân tỉnh Đồng Tháp)</t>
  </si>
  <si>
    <t>KẾT QUẢ PHÂN BỔ VỐN ĐẦU TƯ DỰ TOÁN NĂM 2021 VÀ 
TÌNH HÌNH HUY ĐỘNG VỐN ĐẦU TƯ PHÁT TRIỂN</t>
  </si>
  <si>
    <t>(Kèm theo Báo cáo  số           /BC-UBND ngày       tháng 12 năm 2020 của Uỷ ban nhân dân tỉnh Đồng Tháp)</t>
  </si>
  <si>
    <t>Dư nợ 31/12/2020</t>
  </si>
  <si>
    <t>CÂN ĐỐI NGÂN SÁCH ĐỊA PHƯƠNG NĂM 2021
(Ban hành kèm theo Quyết định số         /QĐ-UBND.HC ngày      tháng 12 năm 2020 của Uỷ ban nhân dân tỉnh Đồng Tháp)</t>
  </si>
  <si>
    <t>CÂN ĐỐI NGÂN SÁCH CẤP TỈNH NĂM 2021
(Ban hành kèm theo Quyết định số         /QĐ-UBND.HC ngày      tháng 12 năm 2020 của Uỷ ban nhân dân tỉnh Đồng Tháp)</t>
  </si>
  <si>
    <t>DỰ TOÁN THU NGÂN SÁCH NHÀ NƯỚC NĂM 2021
(Ban hành kèm theo Quyết định số         /QĐ-UBND.HC ngày      tháng 12 năm 2020 của Uỷ ban nhân dân tỉnh Đồng Tháp)</t>
  </si>
  <si>
    <t>DỰ TOÁN CHI NGÂN SÁCH ĐỊA PHƯƠNG NĂM 2021
(Ban hành kèm theo Quyết định số         /QĐ-UBND.HC ngày      tháng 12 năm 2020 của Uỷ ban nhân dân tỉnh Đồng Tháp)</t>
  </si>
  <si>
    <t>DỰ TOÁN CHI NGÂN SÁCH CẤP TỈNH CHO TỪNG  ĐƠN VỊ  THEO LĨNH VỰC NĂM 2021
(Ban hành kèm theo Quyết định số         /QĐ-UBND.HC ngày      tháng 12 năm 2020 của Uỷ ban nhân dân tỉnh Đồng Tháp)</t>
  </si>
  <si>
    <t>DỰ TOÁN CHI NGÂN SÁCH CHO CÁC DỰ ÁN CHƯƠNG TRÌNH MỤC TIÊU QUỐC GIA, MỘT SỐ CHƯƠNG TRÌNH, DỰ ÁN, NHIỆM VỤ KHÁC QUAN TRỌNG NĂM 2021
(Ban hành kèm theo Quyết định số         /QĐ-UBND.HC ngày      tháng 12 năm 2020 của Uỷ ban nhân dân tỉnh Đồng Tháp)</t>
  </si>
  <si>
    <t>BẢNG CÂN ĐỐI DỰ TOÁN THU-CHI NĂM 2021 NGÂN SÁCH HUYỆN, THÀNH PHỐ
(Ban hành kèm theo Quyết định số         /QĐ-UBND.HC ngày      tháng 12 năm 2020 của Uỷ ban nhân dân tỉnh Đồng Tháp)</t>
  </si>
  <si>
    <t>4=5+8+20</t>
  </si>
  <si>
    <t>10=11+…+19</t>
  </si>
  <si>
    <t>TỶ LỆ PHẦN TRĂM ( % ) PHÂN CHIA CÁC KHOẢN THU CHO TỪNG HUYỆN, THÀNH PHỐ THUỘC TỈNH NĂM 2021
(Ban hành kèm theo Quyết định số         /QĐ-UBND.HC ngày      tháng 12 năm 2020 của Uỷ ban nhân dân tỉnh Đồng Tháp)</t>
  </si>
  <si>
    <t>Tên huyện, thành phố</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</si>
  <si>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</si>
  <si>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CHO TỪNG XÃ, PHƯỜNG, THỊ TRẤN NĂM 2021
(Ban hành kèm theo Quyết định số         /QĐ-UBND.HC ngày      tháng 12 năm 2020 của Uỷ ban nhân dân tỉnh Đồng Tháp)</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</si>
  <si>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</si>
  <si>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</si>
  <si>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THỰC HIỆN 9 THÁNG ĐẦU NĂM 2019</t>
  </si>
  <si>
    <t>THỰC HIỆN 9 THÁNG ĐẦU NĂM 2020</t>
  </si>
  <si>
    <t>9 tháng đầu so với dự toán (%)</t>
  </si>
  <si>
    <t xml:space="preserve">TH 9 tháng </t>
  </si>
  <si>
    <t>So sánh TH 9 tháng/dự toán 2020</t>
  </si>
  <si>
    <t xml:space="preserve">Chi bổ sung cho ngân sách huyện, thành phố thuộc tỉnh </t>
  </si>
  <si>
    <t>Phường An Bình A</t>
  </si>
  <si>
    <t>Phường An Bình B</t>
  </si>
  <si>
    <t>Thị trấn Sa Rày</t>
  </si>
  <si>
    <t>20=21+24+28+29</t>
  </si>
  <si>
    <t>21+22+23</t>
  </si>
  <si>
    <t>24+25+26+27</t>
  </si>
  <si>
    <t>Văn phòng Uỷ ban nhân dân Tỉnh</t>
  </si>
  <si>
    <t>Văn phòng Hội đồng nhân dân Tỉnh</t>
  </si>
  <si>
    <t>Tăng thu DK2022/DT 2021</t>
  </si>
  <si>
    <t>Tăng thu DK2023/DK 2022</t>
  </si>
  <si>
    <t>Tăng thu DK2024/DK 2023</t>
  </si>
  <si>
    <t>Tăng thu DK2025/DK 2024</t>
  </si>
  <si>
    <t>Hỗ trợ các xã thực hiện nông thôn mới</t>
  </si>
  <si>
    <t>Kinh phí nâng cấp đô thị (thành phố Cao Lãnh, Sa Đéc lên đô thi loại 2, thành phố Hổng Ngự loại 3) (SNKT)</t>
  </si>
  <si>
    <t>Hỗ trợ kinh phí ăn trưa đối với trẻ em mẫu giáo và chính sách đối với giáo viên mầm non; Chính sách ưu tiên đối với học sinh mẫu giáo học sinh dân tộc rất ít người (ĐBXH)</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</si>
  <si>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</si>
  <si>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</si>
  <si>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Kinh phí hỗ trợ an ninh- quốc phòng (AN-QP)</t>
  </si>
  <si>
    <t>Vốn đầu tư theo ngành, lĩnh vực</t>
  </si>
  <si>
    <t>Trong đó: Đầu tư các dự án dự án kết nối , có tác động liên vùng có ý nghĩa thúc đẩy phát triển kinh tế - xã hội nhanh, bền vững</t>
  </si>
  <si>
    <t xml:space="preserve">             Thu hồi các khoản vốn ứng trước của các chương trình mục tiêu (số vốn thiểu địa phương phải bố trí)</t>
  </si>
  <si>
    <t>Bổ sung vốn đầu tư theo ngành, lĩnh vực (vốn trong nước)</t>
  </si>
  <si>
    <t>Bổ sung vốn đầu tư theo ngành, lĩnh vực (vốn ngoài nước)</t>
  </si>
  <si>
    <t xml:space="preserve">                * Thu bổ sung hoạt động Trung tâm Dịch vụ nông nghiêp</t>
  </si>
  <si>
    <t>Bổ sung hoạt động Trung tâm Dịch vụ nông nghiêp</t>
  </si>
  <si>
    <t xml:space="preserve">                * Thu bổ sung hoạt động Trung tâm Dịch vụ nông nghiệp</t>
  </si>
  <si>
    <t>CÂN ĐỐI NGÂN SÁCH ĐỊA PHƯƠNG NĂM 2020-2021
(không kể thu chi điều chỉnh giữa các cấp ngân sách địa phương)</t>
  </si>
  <si>
    <t>SO SÁNH CHI NGÂN SÁCH NĂM 2021 GIỮA TW VÀ ĐỊA PHƯƠNG</t>
  </si>
  <si>
    <t>DỰ TOÁN TW GIAO
(TL 1,49)</t>
  </si>
  <si>
    <t>DỰ TOÁN ĐP GIAO
 (TL 1,49)</t>
  </si>
  <si>
    <t>TUYỆT ĐỐI DT2021/DT2020 GIỮA TW VỚI ĐP</t>
  </si>
  <si>
    <t>TUYỆT ĐỐI GIỮA DT2021/DT2020</t>
  </si>
  <si>
    <t>6=3/2</t>
  </si>
  <si>
    <t>DỰ TOÁN NĂM 2020
(TL 1,49)</t>
  </si>
  <si>
    <t>5=4-2</t>
  </si>
  <si>
    <t xml:space="preserve">4. Thu chuyển nguồn làm lương </t>
  </si>
  <si>
    <t>1. Chi Chương trình MTQG</t>
  </si>
  <si>
    <t>2. Chi thực hiện mục tiêu, nhiệm vụ quan trọng (kinh phí xây dựng cơ bản)</t>
  </si>
  <si>
    <t>3. Chi thực hiện các chế độ chính sách mới và một số nhiệm vụ theo quy định (vốn sự nghiệp)</t>
  </si>
  <si>
    <t>II. Chi từ nguồn NSTW b/s có MT</t>
  </si>
  <si>
    <t>Thừa nguồn để thực hiện cải cách tiền lương năm 2021</t>
  </si>
  <si>
    <t>Đề xuất đối với huyện thừa nguồn năm 2021 chuyển sang năm sau, kỳ sau</t>
  </si>
  <si>
    <t>Bù trừ 50% giảm thu dự toán năm 2021 so với dự toán  2020</t>
  </si>
  <si>
    <t>Giảm bổ sung các chế độ, chính sách tăng thêm</t>
  </si>
  <si>
    <t>Giảm bổ sung tăng định mức cấp xã</t>
  </si>
  <si>
    <t>Giảm bổ sung hoạt động Trung tâm Dịch vụ nông nghiệp</t>
  </si>
  <si>
    <t>Thừa nguồn các chế độ chính sách các năm trước chuyển sang</t>
  </si>
  <si>
    <t>Bù trừ nguồn bổ sung từ ngân sách cấp tỉnh</t>
  </si>
  <si>
    <t>3.1</t>
  </si>
  <si>
    <t>3.2</t>
  </si>
  <si>
    <t>3.3</t>
  </si>
  <si>
    <t>3.4</t>
  </si>
  <si>
    <t>3.5</t>
  </si>
  <si>
    <t>Giảm bổ sung đảm bảo mặt bằng chi không thấp hơn năm 2017</t>
  </si>
  <si>
    <t>Trong đó: Chi đầu tư giáo dục, đào tạo và dạy nghề</t>
  </si>
  <si>
    <t xml:space="preserve">                Chi đầu tư y tế</t>
  </si>
  <si>
    <t>Dự toán thu NSH năm 2017 không kể tiền sử dụng đất</t>
  </si>
  <si>
    <t>Chênh lệch (+/-) giữa dự toán thu NSH năm 2021 không kể tiền sử dụng đất với dự toán thu NSH năm 2017</t>
  </si>
  <si>
    <t>Đã dành 50% chênh lệch dự toán NSH năm 2021 với dự toán NSH năm 2017 để thực hiện cải cách tiền lương</t>
  </si>
  <si>
    <t>Số tăng thu NSH dự toán 2021 so với dự toán thu NSH năm 2017 còn lại</t>
  </si>
  <si>
    <t>Bù trừ 50% giảm dự toán thu NSH năm 2021 so với dự toán năm 2020 với số tăng thu NSH dự toán 2021 so với dự toán thu NSH năm 2017 còn lại</t>
  </si>
  <si>
    <t>Chi tạo nguồn, chuyển nguồn cải cách tiền lương, chính sách ASXH</t>
  </si>
  <si>
    <t>Đ</t>
  </si>
  <si>
    <t>CHI TRẢ NỢ GỐC CỦA NSĐP</t>
  </si>
  <si>
    <t>Từ nguồn bội thu, tăng thu, tiết kiệm, kết dư ngân sách cấp tỉnh</t>
  </si>
  <si>
    <t>TỔNG MỨC VAY CỦA NSĐP</t>
  </si>
  <si>
    <r>
      <t xml:space="preserve">CÂN ĐỐI NGÂN SÁCH ĐỊA PHƯƠNG NĂM 2021
</t>
    </r>
    <r>
      <rPr>
        <sz val="12"/>
        <rFont val="Times New Roman"/>
        <family val="1"/>
      </rPr>
      <t>(Dự toán đã được Hội đồng nhân dân quyết định)</t>
    </r>
  </si>
  <si>
    <t>DỰ TOÁN BỔ SUNG CÓ MỤC TIÊU TỪ NGÂN SÁCH CẤP TỈNH CHO NGÂN SÁCH HUYỆN, THÀNH PHỐ NĂM 2022</t>
  </si>
  <si>
    <t>Dự toán thu bổ sung có mục tiêu từ ngân sách cấp tỉnh năm 2022</t>
  </si>
  <si>
    <t>Kinh phí hỗ trợ giá sản phẩm, dịch vụ công ích thủy lợi</t>
  </si>
  <si>
    <t>Kinh phí hỗ trợ địa phương sản xuất lúa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</si>
</sst>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4" formatCode="_(&quot;$&quot;* #,##0.00_);_(&quot;$&quot;* \(#,##0.00\);_(&quot;$&quot;* &quot;-&quot;??_);_(@_)"/>
    <numFmt numFmtId="43" formatCode="_(* #,##0.00_);_(* \(#,##0.00\);_(* &quot;-&quot;??_);_(@_)"/>
    <numFmt numFmtId="164" formatCode="_-* #,##0.00_-;\-* #,##0.00_-;_-* &quot;-&quot;??_-;_-@_-"/>
    <numFmt numFmtId="165" formatCode="_-* #,##0.00\ _₫_-;\-* #,##0.00\ _₫_-;_-* &quot;-&quot;??\ _₫_-;_-@_-"/>
    <numFmt numFmtId="166" formatCode="_(* #,##0_);_(* \(#,##0\);_(* &quot;-&quot;??_);_(@_)"/>
    <numFmt numFmtId="167" formatCode="00"/>
    <numFmt numFmtId="168" formatCode="#,##0.000"/>
    <numFmt numFmtId="169" formatCode="#,##0;[Red]\-#,##0;&quot; &quot;"/>
    <numFmt numFmtId="170" formatCode="#,##0_ ;[Red]\-#,##0\ "/>
    <numFmt numFmtId="171" formatCode="#,###;[Red]\-#,###"/>
    <numFmt numFmtId="172" formatCode="_-* #,##0_-;\-* #,##0_-;_-* &quot;-&quot;??_-;_-@_-"/>
    <numFmt numFmtId="173" formatCode="_-* #,##0.0_-;\-* #,##0.0_-;_-* &quot;-&quot;??_-;_-@_-"/>
    <numFmt numFmtId="174" formatCode="#,##0;[Red]\-#,##0;&quot;&quot;"/>
    <numFmt numFmtId="175" formatCode="0.0%"/>
    <numFmt numFmtId="176" formatCode="_(* #,##0.0_);_(* \(#,##0.0\);_(* &quot;-&quot;??_);_(@_)"/>
    <numFmt numFmtId="177" formatCode="###,###,###"/>
    <numFmt numFmtId="178" formatCode="0.0"/>
    <numFmt numFmtId="179" formatCode="_###,###,###"/>
    <numFmt numFmtId="180" formatCode="0.000"/>
  </numFmts>
  <fonts count="102" x14ac:knownFonts="1">
    <font>
      <sz val="12"/>
      <name val="Times New Roman"/>
    </font>
    <font>
      <sz val="12"/>
      <color theme="1"/>
      <name val="Arial"/>
      <family val="2"/>
    </font>
    <font>
      <sz val="12"/>
      <color theme="1"/>
      <name val="Arial"/>
      <family val="2"/>
    </font>
    <font>
      <sz val="12"/>
      <color theme="1"/>
      <name val="Times New Roman"/>
      <family val="2"/>
    </font>
    <font>
      <sz val="12"/>
      <name val="Times New Roman"/>
      <family val="1"/>
    </font>
    <font>
      <sz val="8"/>
      <name val="Times New Roman"/>
      <family val="1"/>
    </font>
    <font>
      <b/>
      <sz val="12"/>
      <name val="Times New Roman"/>
      <family val="1"/>
    </font>
    <font>
      <sz val="12"/>
      <name val="Times New Roman"/>
      <family val="1"/>
    </font>
    <font>
      <b/>
      <sz val="8"/>
      <color indexed="81"/>
      <name val="Tahoma"/>
      <family val="2"/>
    </font>
    <font>
      <sz val="8"/>
      <color indexed="81"/>
      <name val="Tahoma"/>
      <family val="2"/>
    </font>
    <font>
      <sz val="11"/>
      <name val="Times New Roman"/>
      <family val="1"/>
    </font>
    <font>
      <b/>
      <u/>
      <sz val="12"/>
      <name val="Times New Roman"/>
      <family val="1"/>
    </font>
    <font>
      <b/>
      <sz val="11"/>
      <name val="Times New Roman"/>
      <family val="1"/>
    </font>
    <font>
      <u/>
      <sz val="12"/>
      <name val="Times New Roman"/>
      <family val="1"/>
    </font>
    <font>
      <b/>
      <sz val="13"/>
      <name val="Times New Roman"/>
      <family val="1"/>
    </font>
    <font>
      <sz val="13"/>
      <name val="Times New Roman"/>
      <family val="1"/>
    </font>
    <font>
      <b/>
      <sz val="10"/>
      <color indexed="81"/>
      <name val="Tahoma"/>
      <family val="2"/>
    </font>
    <font>
      <sz val="10"/>
      <color indexed="81"/>
      <name val="Tahoma"/>
      <family val="2"/>
    </font>
    <font>
      <sz val="12"/>
      <color indexed="10"/>
      <name val="Times New Roman"/>
      <family val="1"/>
    </font>
    <font>
      <i/>
      <sz val="12"/>
      <name val="Times New Roman"/>
      <family val="1"/>
    </font>
    <font>
      <b/>
      <sz val="10"/>
      <name val="Times New Roman"/>
      <family val="1"/>
    </font>
    <font>
      <b/>
      <sz val="10"/>
      <name val="Arial"/>
      <family val="2"/>
    </font>
    <font>
      <b/>
      <u/>
      <sz val="11"/>
      <name val="Times New Roman"/>
      <family val="1"/>
    </font>
    <font>
      <sz val="10"/>
      <name val="Times New Roman"/>
      <family val="1"/>
    </font>
    <font>
      <b/>
      <sz val="10.5"/>
      <name val="Times New Roman"/>
      <family val="1"/>
    </font>
    <font>
      <sz val="10.5"/>
      <name val="Times New Roman"/>
      <family val="1"/>
    </font>
    <font>
      <sz val="12"/>
      <name val="VNI-Times"/>
    </font>
    <font>
      <b/>
      <u/>
      <sz val="10.5"/>
      <name val="Times New Roman"/>
      <family val="1"/>
    </font>
    <font>
      <b/>
      <u/>
      <sz val="10"/>
      <name val="Times New Roman"/>
      <family val="1"/>
    </font>
    <font>
      <b/>
      <i/>
      <u/>
      <sz val="12"/>
      <name val="Times New Roman"/>
      <family val="1"/>
    </font>
    <font>
      <i/>
      <u/>
      <sz val="12"/>
      <name val="Times New Roman"/>
      <family val="1"/>
    </font>
    <font>
      <sz val="11"/>
      <name val=".VnArial Narrow"/>
      <family val="2"/>
    </font>
    <font>
      <i/>
      <sz val="10"/>
      <name val="Times New Roman"/>
      <family val="1"/>
    </font>
    <font>
      <sz val="13"/>
      <name val=".VnTime"/>
      <family val="2"/>
    </font>
    <font>
      <sz val="10"/>
      <name val="Helv"/>
      <family val="2"/>
    </font>
    <font>
      <b/>
      <sz val="9"/>
      <color indexed="81"/>
      <name val="Tahoma"/>
      <family val="2"/>
    </font>
    <font>
      <sz val="9"/>
      <color indexed="81"/>
      <name val="Tahoma"/>
      <family val="2"/>
    </font>
    <font>
      <sz val="12"/>
      <name val="Times New Roman"/>
      <family val="1"/>
    </font>
    <font>
      <sz val="12"/>
      <name val="Times New Roman"/>
      <family val="1"/>
      <charset val="163"/>
    </font>
    <font>
      <sz val="12"/>
      <color rgb="FFFF0000"/>
      <name val="Times New Roman"/>
      <family val="1"/>
    </font>
    <font>
      <i/>
      <sz val="12"/>
      <color rgb="FFFF0000"/>
      <name val="Times New Roman"/>
      <family val="1"/>
    </font>
    <font>
      <i/>
      <sz val="12"/>
      <name val="Times New Roman"/>
      <family val="1"/>
      <charset val="163"/>
    </font>
    <font>
      <b/>
      <u/>
      <sz val="10"/>
      <name val="Times New Roman"/>
      <family val="1"/>
      <charset val="163"/>
    </font>
    <font>
      <b/>
      <i/>
      <sz val="12"/>
      <name val="Times New Roman"/>
      <family val="1"/>
    </font>
    <font>
      <sz val="10"/>
      <color rgb="FFFF0000"/>
      <name val="Times New Roman"/>
      <family val="1"/>
    </font>
    <font>
      <sz val="10"/>
      <name val="Times New Roman"/>
      <family val="1"/>
      <charset val="163"/>
    </font>
    <font>
      <i/>
      <sz val="10"/>
      <name val="Helv"/>
      <family val="2"/>
    </font>
    <font>
      <sz val="9"/>
      <name val="Times New Roman"/>
      <family val="1"/>
    </font>
    <font>
      <b/>
      <sz val="9"/>
      <name val="Times New Roman"/>
      <family val="1"/>
    </font>
    <font>
      <i/>
      <sz val="11"/>
      <name val="Times New Roman"/>
      <family val="1"/>
    </font>
    <font>
      <sz val="10"/>
      <name val="Arial"/>
      <family val="2"/>
    </font>
    <font>
      <b/>
      <sz val="12"/>
      <name val="Arial"/>
      <family val="2"/>
    </font>
    <font>
      <sz val="12"/>
      <name val="Arial"/>
      <family val="2"/>
    </font>
    <font>
      <sz val="11"/>
      <color theme="1"/>
      <name val="Calibri"/>
      <family val="2"/>
      <scheme val="minor"/>
    </font>
    <font>
      <u/>
      <sz val="10"/>
      <name val="Helv"/>
      <family val="2"/>
    </font>
    <font>
      <b/>
      <u/>
      <sz val="8"/>
      <name val="Times New Roman"/>
      <family val="1"/>
    </font>
    <font>
      <sz val="12"/>
      <name val=".VnTime"/>
      <family val="2"/>
    </font>
    <font>
      <b/>
      <sz val="14"/>
      <name val="Times New Roman"/>
      <family val="1"/>
    </font>
    <font>
      <sz val="14"/>
      <name val="Times New Roman"/>
      <family val="1"/>
    </font>
    <font>
      <b/>
      <i/>
      <sz val="14"/>
      <name val="Times New Roman"/>
      <family val="1"/>
    </font>
    <font>
      <i/>
      <sz val="14"/>
      <name val="Times New Roman"/>
      <family val="1"/>
    </font>
    <font>
      <b/>
      <sz val="13"/>
      <name val="Arial"/>
      <family val="2"/>
    </font>
    <font>
      <sz val="13"/>
      <name val="Calibri"/>
      <family val="2"/>
      <scheme val="minor"/>
    </font>
    <font>
      <i/>
      <sz val="13"/>
      <name val="Times New Roman"/>
      <family val="1"/>
    </font>
    <font>
      <b/>
      <sz val="13"/>
      <name val="Calibri"/>
      <family val="2"/>
      <scheme val="minor"/>
    </font>
    <font>
      <sz val="13"/>
      <color rgb="FFFF0000"/>
      <name val="Calibri"/>
      <family val="2"/>
      <scheme val="minor"/>
    </font>
    <font>
      <b/>
      <sz val="12"/>
      <color rgb="FFFFC000"/>
      <name val="Times New Roman"/>
      <family val="1"/>
    </font>
    <font>
      <sz val="12"/>
      <color indexed="81"/>
      <name val="Tahoma"/>
      <family val="2"/>
    </font>
    <font>
      <i/>
      <u/>
      <sz val="10.5"/>
      <name val="Times New Roman"/>
      <family val="1"/>
    </font>
    <font>
      <i/>
      <sz val="10.5"/>
      <name val="Times New Roman"/>
      <family val="1"/>
    </font>
    <font>
      <sz val="12"/>
      <name val="Times New Roman"/>
      <family val="1"/>
    </font>
    <font>
      <b/>
      <u/>
      <sz val="14"/>
      <name val="Times New Roman"/>
      <family val="1"/>
    </font>
    <font>
      <b/>
      <sz val="12"/>
      <color rgb="FFFF0000"/>
      <name val="Times New Roman"/>
      <family val="1"/>
    </font>
    <font>
      <b/>
      <i/>
      <sz val="13"/>
      <name val="Times New Roman"/>
      <family val="1"/>
    </font>
    <font>
      <i/>
      <sz val="13"/>
      <name val="Calibri"/>
      <family val="2"/>
      <scheme val="minor"/>
    </font>
    <font>
      <b/>
      <i/>
      <sz val="13"/>
      <name val="Calibri"/>
      <family val="2"/>
      <scheme val="minor"/>
    </font>
    <font>
      <b/>
      <sz val="13"/>
      <color rgb="FFFF0000"/>
      <name val="Calibri"/>
      <family val="2"/>
      <scheme val="minor"/>
    </font>
    <font>
      <b/>
      <i/>
      <sz val="10"/>
      <color rgb="FF000000"/>
      <name val="Arial"/>
      <family val="2"/>
    </font>
    <font>
      <i/>
      <sz val="10"/>
      <color rgb="FF000000"/>
      <name val="Arial"/>
      <family val="2"/>
    </font>
    <font>
      <b/>
      <u/>
      <sz val="12"/>
      <color rgb="FFFF0000"/>
      <name val="Times New Roman"/>
      <family val="1"/>
    </font>
    <font>
      <b/>
      <sz val="9"/>
      <color indexed="81"/>
      <name val="Times New Roman"/>
      <family val="1"/>
    </font>
    <font>
      <u/>
      <sz val="12"/>
      <color theme="10"/>
      <name val="Times New Roman"/>
      <family val="1"/>
    </font>
    <font>
      <sz val="9"/>
      <color indexed="53"/>
      <name val="Tahoma"/>
      <family val="2"/>
    </font>
    <font>
      <sz val="12"/>
      <name val="Calibri"/>
      <family val="2"/>
      <scheme val="minor"/>
    </font>
    <font>
      <b/>
      <sz val="12"/>
      <name val="Calibri"/>
      <family val="2"/>
      <scheme val="minor"/>
    </font>
    <font>
      <sz val="10.5"/>
      <color rgb="FFFF0000"/>
      <name val="Times New Roman"/>
      <family val="1"/>
    </font>
    <font>
      <sz val="10"/>
      <color rgb="FF00B050"/>
      <name val="Times New Roman"/>
      <family val="1"/>
    </font>
    <font>
      <i/>
      <sz val="10"/>
      <color rgb="FF00B050"/>
      <name val="Times New Roman"/>
      <family val="1"/>
    </font>
    <font>
      <sz val="11"/>
      <color indexed="8"/>
      <name val="Calibri"/>
      <family val="2"/>
    </font>
    <font>
      <b/>
      <u val="singleAccounting"/>
      <sz val="12"/>
      <name val="Times New Roman"/>
      <family val="1"/>
    </font>
    <font>
      <b/>
      <u val="singleAccounting"/>
      <sz val="10"/>
      <name val="Times New Roman"/>
      <family val="1"/>
    </font>
    <font>
      <u val="singleAccounting"/>
      <sz val="12"/>
      <name val="Times New Roman"/>
      <family val="1"/>
    </font>
    <font>
      <i/>
      <sz val="13"/>
      <color rgb="FF00B050"/>
      <name val="Times New Roman"/>
      <family val="1"/>
    </font>
    <font>
      <sz val="13"/>
      <color rgb="FF00B050"/>
      <name val="Times New Roman"/>
      <family val="1"/>
    </font>
    <font>
      <sz val="12"/>
      <name val="Times New Roman"/>
      <family val="1"/>
    </font>
    <font>
      <b/>
      <i/>
      <sz val="10"/>
      <name val="Times New Roman"/>
      <family val="1"/>
    </font>
    <font>
      <b/>
      <sz val="13"/>
      <color rgb="FFFFC000"/>
      <name val="Times New Roman"/>
      <family val="1"/>
    </font>
    <font>
      <sz val="12"/>
      <color theme="1"/>
      <name val="Times New Roman"/>
      <family val="1"/>
    </font>
    <font>
      <i/>
      <sz val="12"/>
      <color theme="1"/>
      <name val="Times New Roman"/>
      <family val="1"/>
    </font>
    <font>
      <b/>
      <sz val="12"/>
      <color indexed="81"/>
      <name val="Times New Roman"/>
      <family val="1"/>
    </font>
    <font>
      <sz val="12"/>
      <color indexed="81"/>
      <name val="Times New Roman"/>
      <family val="1"/>
    </font>
    <font>
      <b/>
      <sz val="10"/>
      <color rgb="FFFF0000"/>
      <name val="Times New Roman"/>
      <family val="1"/>
    </font>
  </fonts>
  <fills count="9">
    <fill>
      <patternFill patternType="none"/>
    </fill>
    <fill>
      <patternFill patternType="gray125"/>
    </fill>
    <fill>
      <patternFill patternType="gray0625"/>
    </fill>
    <fill>
      <patternFill patternType="solid">
        <fgColor rgb="FFFFFFFF"/>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gray0625">
        <bgColor auto="1"/>
      </patternFill>
    </fill>
  </fills>
  <borders count="7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hair">
        <color indexed="64"/>
      </top>
      <bottom style="hair">
        <color indexed="64"/>
      </bottom>
      <diagonal style="thin">
        <color indexed="0"/>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top style="thin">
        <color indexed="64"/>
      </top>
      <bottom style="thin">
        <color indexed="64"/>
      </bottom>
      <diagonal/>
    </border>
    <border>
      <left/>
      <right/>
      <top style="thin">
        <color rgb="FF000000"/>
      </top>
      <bottom style="thin">
        <color indexed="64"/>
      </bottom>
      <diagonal/>
    </border>
    <border>
      <left style="thin">
        <color rgb="FF000000"/>
      </left>
      <right style="thin">
        <color rgb="FF000000"/>
      </right>
      <top style="hair">
        <color rgb="FF000000"/>
      </top>
      <bottom style="thin">
        <color indexed="64"/>
      </bottom>
      <diagonal/>
    </border>
    <border>
      <left style="thin">
        <color rgb="FF000000"/>
      </left>
      <right/>
      <top/>
      <bottom style="thin">
        <color rgb="FF000000"/>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s>
  <cellStyleXfs count="28">
    <xf numFmtId="0" fontId="0" fillId="0" borderId="0"/>
    <xf numFmtId="43" fontId="4" fillId="0" borderId="0" applyFont="0" applyFill="0" applyBorder="0" applyAlignment="0" applyProtection="0"/>
    <xf numFmtId="165" fontId="37" fillId="0" borderId="0" applyFont="0" applyFill="0" applyBorder="0" applyAlignment="0" applyProtection="0"/>
    <xf numFmtId="0" fontId="33" fillId="0" borderId="0"/>
    <xf numFmtId="0" fontId="26" fillId="0" borderId="0"/>
    <xf numFmtId="0" fontId="26" fillId="0" borderId="0"/>
    <xf numFmtId="0" fontId="31" fillId="0" borderId="0"/>
    <xf numFmtId="0" fontId="50" fillId="0" borderId="0"/>
    <xf numFmtId="0" fontId="53" fillId="0" borderId="0"/>
    <xf numFmtId="164" fontId="53" fillId="0" borderId="0" applyFont="0" applyFill="0" applyBorder="0" applyAlignment="0" applyProtection="0"/>
    <xf numFmtId="165" fontId="4" fillId="0" borderId="0" applyFont="0" applyFill="0" applyBorder="0" applyAlignment="0" applyProtection="0"/>
    <xf numFmtId="0" fontId="3" fillId="0" borderId="0"/>
    <xf numFmtId="164" fontId="3" fillId="0" borderId="0" applyFont="0" applyFill="0" applyBorder="0" applyAlignment="0" applyProtection="0"/>
    <xf numFmtId="0" fontId="56" fillId="0" borderId="0"/>
    <xf numFmtId="164" fontId="4" fillId="0" borderId="0" applyFont="0" applyFill="0" applyBorder="0" applyAlignment="0" applyProtection="0"/>
    <xf numFmtId="0" fontId="33" fillId="0" borderId="0"/>
    <xf numFmtId="9" fontId="70" fillId="0" borderId="0" applyFont="0" applyFill="0" applyBorder="0" applyAlignment="0" applyProtection="0"/>
    <xf numFmtId="0" fontId="81" fillId="0" borderId="0" applyNumberFormat="0" applyFill="0" applyBorder="0" applyAlignment="0" applyProtection="0"/>
    <xf numFmtId="0" fontId="50" fillId="0" borderId="0"/>
    <xf numFmtId="43" fontId="88"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4" fontId="94" fillId="0" borderId="0" applyFont="0" applyFill="0" applyBorder="0" applyAlignment="0" applyProtection="0"/>
    <xf numFmtId="0" fontId="4" fillId="0" borderId="0"/>
    <xf numFmtId="0" fontId="2" fillId="0" borderId="0"/>
    <xf numFmtId="0" fontId="1" fillId="0" borderId="0"/>
    <xf numFmtId="164" fontId="1" fillId="0" borderId="0" applyFont="0" applyFill="0" applyBorder="0" applyAlignment="0" applyProtection="0"/>
    <xf numFmtId="9" fontId="1" fillId="0" borderId="0" applyFont="0" applyFill="0" applyBorder="0" applyAlignment="0" applyProtection="0"/>
  </cellStyleXfs>
  <cellXfs count="1585">
    <xf numFmtId="0" fontId="0" fillId="0" borderId="0" xfId="0"/>
    <xf numFmtId="3" fontId="6" fillId="0" borderId="0" xfId="0" applyNumberFormat="1" applyFont="1"/>
    <xf numFmtId="0" fontId="7" fillId="0" borderId="0" xfId="0" applyFont="1" applyAlignment="1">
      <alignment horizontal="center"/>
    </xf>
    <xf numFmtId="3" fontId="7" fillId="0" borderId="0" xfId="0" applyNumberFormat="1" applyFont="1"/>
    <xf numFmtId="3" fontId="6" fillId="0" borderId="2" xfId="0" applyNumberFormat="1" applyFont="1" applyBorder="1" applyAlignment="1">
      <alignment horizontal="centerContinuous" wrapText="1"/>
    </xf>
    <xf numFmtId="3" fontId="6" fillId="0" borderId="3" xfId="0" applyNumberFormat="1" applyFont="1" applyBorder="1" applyAlignment="1">
      <alignment horizontal="centerContinuous" wrapText="1"/>
    </xf>
    <xf numFmtId="3" fontId="6" fillId="0" borderId="4" xfId="0" applyNumberFormat="1" applyFont="1" applyBorder="1" applyAlignment="1">
      <alignment horizontal="centerContinuous" wrapText="1"/>
    </xf>
    <xf numFmtId="3" fontId="6" fillId="0" borderId="0" xfId="0" applyNumberFormat="1" applyFont="1" applyBorder="1" applyAlignment="1">
      <alignment horizontal="center" wrapText="1"/>
    </xf>
    <xf numFmtId="3" fontId="6" fillId="0" borderId="5" xfId="0" applyNumberFormat="1" applyFont="1" applyBorder="1" applyAlignment="1">
      <alignment horizontal="center" vertical="center" wrapText="1"/>
    </xf>
    <xf numFmtId="3" fontId="6" fillId="0" borderId="0" xfId="0" applyNumberFormat="1" applyFont="1" applyBorder="1"/>
    <xf numFmtId="3" fontId="7" fillId="0" borderId="0" xfId="0" applyNumberFormat="1" applyFont="1" applyBorder="1"/>
    <xf numFmtId="3" fontId="6" fillId="0" borderId="0" xfId="0" applyNumberFormat="1" applyFont="1" applyBorder="1" applyAlignment="1"/>
    <xf numFmtId="0" fontId="6" fillId="0" borderId="0" xfId="0" applyFont="1" applyAlignment="1"/>
    <xf numFmtId="0" fontId="6" fillId="0" borderId="0" xfId="0" applyFont="1" applyAlignment="1">
      <alignment horizontal="center"/>
    </xf>
    <xf numFmtId="0" fontId="6" fillId="0" borderId="0" xfId="0" applyFont="1"/>
    <xf numFmtId="3" fontId="7" fillId="0" borderId="0" xfId="0" applyNumberFormat="1" applyFont="1" applyAlignment="1">
      <alignment horizontal="centerContinuous"/>
    </xf>
    <xf numFmtId="3" fontId="6" fillId="0" borderId="1" xfId="0" applyNumberFormat="1" applyFont="1" applyBorder="1" applyAlignment="1"/>
    <xf numFmtId="3" fontId="11" fillId="0" borderId="0" xfId="0" applyNumberFormat="1" applyFont="1" applyBorder="1" applyAlignment="1"/>
    <xf numFmtId="3" fontId="11" fillId="0" borderId="0" xfId="0" applyNumberFormat="1" applyFont="1" applyBorder="1"/>
    <xf numFmtId="3" fontId="11" fillId="0" borderId="6" xfId="0" applyNumberFormat="1" applyFont="1" applyBorder="1" applyAlignment="1">
      <alignment shrinkToFit="1"/>
    </xf>
    <xf numFmtId="3" fontId="11" fillId="0" borderId="6" xfId="0" applyNumberFormat="1" applyFont="1" applyBorder="1" applyAlignment="1">
      <alignment horizontal="center"/>
    </xf>
    <xf numFmtId="3" fontId="6" fillId="0" borderId="8" xfId="0" applyNumberFormat="1" applyFont="1" applyBorder="1" applyAlignment="1">
      <alignment horizontal="center"/>
    </xf>
    <xf numFmtId="3" fontId="7" fillId="0" borderId="8" xfId="0" applyNumberFormat="1" applyFont="1" applyBorder="1" applyAlignment="1">
      <alignment horizontal="center"/>
    </xf>
    <xf numFmtId="3" fontId="11" fillId="0" borderId="8" xfId="0" applyNumberFormat="1" applyFont="1" applyBorder="1" applyAlignment="1">
      <alignment horizontal="center"/>
    </xf>
    <xf numFmtId="3" fontId="7" fillId="0" borderId="8" xfId="0" applyNumberFormat="1" applyFont="1" applyBorder="1" applyAlignment="1">
      <alignment vertical="center" wrapText="1" shrinkToFit="1"/>
    </xf>
    <xf numFmtId="3" fontId="6" fillId="0" borderId="0" xfId="0" applyNumberFormat="1" applyFont="1" applyBorder="1" applyAlignment="1">
      <alignment vertical="center" wrapText="1"/>
    </xf>
    <xf numFmtId="3" fontId="6" fillId="0" borderId="8" xfId="0" applyNumberFormat="1" applyFont="1" applyBorder="1" applyAlignment="1">
      <alignment vertical="center" shrinkToFit="1"/>
    </xf>
    <xf numFmtId="3" fontId="6" fillId="0" borderId="0" xfId="0" applyNumberFormat="1" applyFont="1" applyAlignment="1">
      <alignment horizontal="centerContinuous" vertical="center" wrapText="1"/>
    </xf>
    <xf numFmtId="3" fontId="6" fillId="0" borderId="5" xfId="0" applyNumberFormat="1" applyFont="1" applyBorder="1" applyAlignment="1">
      <alignment horizontal="center" shrinkToFit="1"/>
    </xf>
    <xf numFmtId="0" fontId="6" fillId="0" borderId="5" xfId="0" applyFont="1" applyBorder="1" applyAlignment="1">
      <alignment horizontal="center" shrinkToFit="1"/>
    </xf>
    <xf numFmtId="3" fontId="10" fillId="0" borderId="7" xfId="0" applyNumberFormat="1" applyFont="1" applyBorder="1" applyAlignment="1">
      <alignment horizontal="center" vertical="center" shrinkToFit="1"/>
    </xf>
    <xf numFmtId="3" fontId="6" fillId="0" borderId="0" xfId="0" applyNumberFormat="1" applyFont="1" applyBorder="1" applyAlignment="1">
      <alignment horizontal="right"/>
    </xf>
    <xf numFmtId="3" fontId="7" fillId="0" borderId="0" xfId="0" applyNumberFormat="1" applyFont="1" applyBorder="1" applyAlignment="1">
      <alignment shrinkToFit="1"/>
    </xf>
    <xf numFmtId="0" fontId="6" fillId="0" borderId="5" xfId="0" applyFont="1" applyBorder="1" applyAlignment="1">
      <alignment horizontal="center" vertical="center" wrapText="1"/>
    </xf>
    <xf numFmtId="3" fontId="6" fillId="0" borderId="0" xfId="0" applyNumberFormat="1" applyFont="1" applyAlignment="1">
      <alignment horizontal="right"/>
    </xf>
    <xf numFmtId="3" fontId="11" fillId="0" borderId="9" xfId="0" applyNumberFormat="1" applyFont="1" applyBorder="1" applyAlignment="1">
      <alignment vertical="center" shrinkToFit="1"/>
    </xf>
    <xf numFmtId="3" fontId="6" fillId="0" borderId="0" xfId="0" applyNumberFormat="1" applyFont="1" applyBorder="1" applyAlignment="1">
      <alignment wrapText="1"/>
    </xf>
    <xf numFmtId="3" fontId="13" fillId="0" borderId="0" xfId="0" applyNumberFormat="1" applyFont="1" applyBorder="1"/>
    <xf numFmtId="0" fontId="11" fillId="0" borderId="6" xfId="0" applyFont="1" applyBorder="1" applyAlignment="1">
      <alignment horizontal="center" shrinkToFit="1"/>
    </xf>
    <xf numFmtId="43" fontId="7" fillId="0" borderId="0" xfId="1" applyFont="1"/>
    <xf numFmtId="0" fontId="7" fillId="0" borderId="0" xfId="0" applyFont="1"/>
    <xf numFmtId="3" fontId="11" fillId="0" borderId="8" xfId="0" applyNumberFormat="1" applyFont="1" applyBorder="1" applyAlignment="1">
      <alignment vertical="center" shrinkToFit="1"/>
    </xf>
    <xf numFmtId="0" fontId="15" fillId="0" borderId="0" xfId="0" applyFont="1"/>
    <xf numFmtId="0" fontId="14" fillId="0" borderId="0" xfId="0" applyFont="1" applyAlignment="1">
      <alignment horizontal="center"/>
    </xf>
    <xf numFmtId="0" fontId="14" fillId="0" borderId="0" xfId="0" applyFont="1"/>
    <xf numFmtId="0" fontId="15" fillId="0" borderId="0" xfId="0" applyFont="1" applyAlignment="1">
      <alignment horizontal="center"/>
    </xf>
    <xf numFmtId="0" fontId="6" fillId="0" borderId="7" xfId="0" applyFont="1" applyBorder="1" applyAlignment="1">
      <alignment horizontal="center"/>
    </xf>
    <xf numFmtId="3" fontId="11" fillId="0" borderId="6" xfId="0" applyNumberFormat="1" applyFont="1" applyBorder="1" applyAlignment="1">
      <alignment vertical="center" shrinkToFit="1"/>
    </xf>
    <xf numFmtId="0" fontId="11" fillId="0" borderId="6" xfId="0" applyFont="1" applyBorder="1" applyAlignment="1">
      <alignment horizontal="center" vertical="center" shrinkToFit="1"/>
    </xf>
    <xf numFmtId="3" fontId="11" fillId="0" borderId="8" xfId="0" applyNumberFormat="1" applyFont="1" applyBorder="1" applyAlignment="1">
      <alignment shrinkToFit="1"/>
    </xf>
    <xf numFmtId="3" fontId="7" fillId="0" borderId="8" xfId="0" applyNumberFormat="1" applyFont="1" applyBorder="1" applyAlignment="1">
      <alignment shrinkToFit="1"/>
    </xf>
    <xf numFmtId="3" fontId="11" fillId="0" borderId="8" xfId="0" applyNumberFormat="1" applyFont="1" applyBorder="1" applyAlignment="1">
      <alignment horizontal="center" shrinkToFit="1"/>
    </xf>
    <xf numFmtId="0" fontId="6" fillId="0" borderId="1" xfId="0" applyFont="1" applyBorder="1" applyAlignment="1">
      <alignment horizontal="right"/>
    </xf>
    <xf numFmtId="3" fontId="7" fillId="0" borderId="0" xfId="0" applyNumberFormat="1" applyFont="1" applyAlignment="1">
      <alignment horizontal="left"/>
    </xf>
    <xf numFmtId="3" fontId="6" fillId="0" borderId="0" xfId="0" applyNumberFormat="1" applyFont="1" applyAlignment="1"/>
    <xf numFmtId="3" fontId="6" fillId="0" borderId="0" xfId="0" applyNumberFormat="1" applyFont="1" applyAlignment="1">
      <alignment horizontal="centerContinuous"/>
    </xf>
    <xf numFmtId="4" fontId="7" fillId="0" borderId="0" xfId="0" applyNumberFormat="1" applyFont="1"/>
    <xf numFmtId="3" fontId="6" fillId="0" borderId="5" xfId="0" applyNumberFormat="1" applyFont="1" applyBorder="1" applyAlignment="1">
      <alignment horizontal="center" vertical="center" shrinkToFit="1"/>
    </xf>
    <xf numFmtId="3" fontId="11" fillId="0" borderId="6" xfId="0" applyNumberFormat="1" applyFont="1" applyBorder="1" applyAlignment="1">
      <alignment horizontal="center" shrinkToFit="1"/>
    </xf>
    <xf numFmtId="3" fontId="13" fillId="0" borderId="0" xfId="0" applyNumberFormat="1" applyFont="1"/>
    <xf numFmtId="3" fontId="7" fillId="0" borderId="8" xfId="0" applyNumberFormat="1" applyFont="1" applyBorder="1" applyAlignment="1">
      <alignment horizontal="center" shrinkToFit="1"/>
    </xf>
    <xf numFmtId="3" fontId="11" fillId="0" borderId="0" xfId="0" applyNumberFormat="1" applyFont="1"/>
    <xf numFmtId="3" fontId="11" fillId="0" borderId="9" xfId="0" applyNumberFormat="1" applyFont="1" applyBorder="1" applyAlignment="1">
      <alignment horizontal="center" shrinkToFit="1"/>
    </xf>
    <xf numFmtId="3" fontId="7" fillId="0" borderId="0" xfId="0" applyNumberFormat="1" applyFont="1" applyBorder="1" applyAlignment="1">
      <alignment horizontal="centerContinuous"/>
    </xf>
    <xf numFmtId="3" fontId="19" fillId="0" borderId="8" xfId="0" applyNumberFormat="1" applyFont="1" applyBorder="1" applyAlignment="1">
      <alignment vertical="center" shrinkToFit="1"/>
    </xf>
    <xf numFmtId="3" fontId="19" fillId="0" borderId="0" xfId="0" applyNumberFormat="1" applyFont="1"/>
    <xf numFmtId="0" fontId="24" fillId="0" borderId="0" xfId="0" applyFont="1" applyAlignment="1">
      <alignment wrapText="1"/>
    </xf>
    <xf numFmtId="0" fontId="25" fillId="0" borderId="0" xfId="0" applyFont="1"/>
    <xf numFmtId="0" fontId="24" fillId="0" borderId="0" xfId="0" applyFont="1" applyAlignment="1">
      <alignment horizontal="right"/>
    </xf>
    <xf numFmtId="0" fontId="24" fillId="0" borderId="5" xfId="5" applyFont="1" applyBorder="1" applyAlignment="1">
      <alignment horizontal="center" vertical="center" wrapText="1" shrinkToFit="1"/>
    </xf>
    <xf numFmtId="0" fontId="6" fillId="0" borderId="7" xfId="0" applyFont="1" applyBorder="1" applyAlignment="1">
      <alignment horizontal="center" vertical="center" shrinkToFit="1"/>
    </xf>
    <xf numFmtId="0" fontId="0" fillId="0" borderId="0" xfId="0" applyAlignment="1">
      <alignment horizontal="center"/>
    </xf>
    <xf numFmtId="0" fontId="6" fillId="0" borderId="0" xfId="0" applyFont="1" applyAlignment="1">
      <alignment horizontal="center" vertical="center" wrapText="1"/>
    </xf>
    <xf numFmtId="0" fontId="0" fillId="0" borderId="6" xfId="0" applyBorder="1" applyAlignment="1">
      <alignment horizontal="center"/>
    </xf>
    <xf numFmtId="9" fontId="6" fillId="0" borderId="6" xfId="0" applyNumberFormat="1" applyFont="1" applyBorder="1" applyAlignment="1">
      <alignment horizontal="center"/>
    </xf>
    <xf numFmtId="0" fontId="6" fillId="0" borderId="8" xfId="0" applyFont="1" applyBorder="1" applyAlignment="1">
      <alignment horizontal="center"/>
    </xf>
    <xf numFmtId="0" fontId="6" fillId="0" borderId="8" xfId="0" applyFont="1" applyBorder="1" applyAlignment="1">
      <alignment shrinkToFit="1"/>
    </xf>
    <xf numFmtId="9" fontId="6" fillId="0" borderId="8" xfId="0" applyNumberFormat="1" applyFont="1" applyBorder="1" applyAlignment="1">
      <alignment horizontal="center"/>
    </xf>
    <xf numFmtId="0" fontId="20" fillId="0" borderId="0" xfId="0" applyFont="1"/>
    <xf numFmtId="0" fontId="23" fillId="0" borderId="0" xfId="0" applyFont="1"/>
    <xf numFmtId="0" fontId="6" fillId="0" borderId="6" xfId="0" applyFont="1" applyBorder="1" applyAlignment="1">
      <alignment horizontal="center"/>
    </xf>
    <xf numFmtId="0" fontId="6" fillId="0" borderId="6" xfId="0" applyFont="1" applyBorder="1" applyAlignment="1">
      <alignment shrinkToFit="1"/>
    </xf>
    <xf numFmtId="0" fontId="6" fillId="0" borderId="8" xfId="0" applyFont="1" applyBorder="1"/>
    <xf numFmtId="0" fontId="0" fillId="0" borderId="8" xfId="0" applyBorder="1"/>
    <xf numFmtId="0" fontId="19" fillId="0" borderId="0" xfId="0" applyFont="1" applyBorder="1" applyAlignment="1">
      <alignment horizontal="center"/>
    </xf>
    <xf numFmtId="0" fontId="20" fillId="0" borderId="0" xfId="0" applyFont="1" applyAlignment="1">
      <alignment shrinkToFit="1"/>
    </xf>
    <xf numFmtId="0" fontId="11" fillId="0" borderId="0" xfId="0" applyFont="1"/>
    <xf numFmtId="0" fontId="6" fillId="0" borderId="8" xfId="0" applyFont="1" applyBorder="1" applyAlignment="1">
      <alignment horizontal="center" vertical="center"/>
    </xf>
    <xf numFmtId="0" fontId="6" fillId="0" borderId="8" xfId="0" applyFont="1" applyBorder="1" applyAlignment="1">
      <alignment vertical="center"/>
    </xf>
    <xf numFmtId="0" fontId="11" fillId="0" borderId="8" xfId="0" applyFont="1" applyBorder="1" applyAlignment="1">
      <alignment horizontal="center" vertical="center"/>
    </xf>
    <xf numFmtId="0" fontId="11" fillId="0" borderId="8" xfId="0" applyFont="1" applyBorder="1" applyAlignment="1">
      <alignment vertical="center"/>
    </xf>
    <xf numFmtId="0" fontId="7" fillId="0" borderId="8" xfId="0" applyFont="1" applyBorder="1" applyAlignment="1">
      <alignment horizontal="center" vertical="center"/>
    </xf>
    <xf numFmtId="0" fontId="7" fillId="0" borderId="8" xfId="0" applyFont="1" applyBorder="1" applyAlignment="1">
      <alignment vertical="center"/>
    </xf>
    <xf numFmtId="0" fontId="19" fillId="0" borderId="8" xfId="0" applyFont="1" applyBorder="1" applyAlignment="1">
      <alignment horizontal="center" vertical="center"/>
    </xf>
    <xf numFmtId="0" fontId="19" fillId="0" borderId="8" xfId="0" applyFont="1" applyBorder="1" applyAlignment="1">
      <alignment vertical="center"/>
    </xf>
    <xf numFmtId="0" fontId="19" fillId="0" borderId="0" xfId="0" applyFont="1"/>
    <xf numFmtId="0" fontId="19" fillId="0" borderId="8" xfId="0" applyFont="1" applyBorder="1" applyAlignment="1">
      <alignment horizontal="center" vertical="center" wrapText="1"/>
    </xf>
    <xf numFmtId="0" fontId="19" fillId="0" borderId="8" xfId="0" applyFont="1" applyBorder="1" applyAlignment="1">
      <alignment vertical="center" wrapText="1"/>
    </xf>
    <xf numFmtId="0" fontId="6" fillId="0" borderId="8" xfId="0" applyFont="1" applyBorder="1" applyAlignment="1">
      <alignment vertical="center" shrinkToFit="1"/>
    </xf>
    <xf numFmtId="0" fontId="11" fillId="0" borderId="6" xfId="0" applyFont="1" applyBorder="1"/>
    <xf numFmtId="0" fontId="19" fillId="0" borderId="8" xfId="0" applyFont="1" applyBorder="1" applyAlignment="1">
      <alignment vertical="center" shrinkToFit="1"/>
    </xf>
    <xf numFmtId="0" fontId="11" fillId="0" borderId="8" xfId="0" applyFont="1" applyBorder="1" applyAlignment="1">
      <alignment horizontal="center" vertical="center" wrapText="1"/>
    </xf>
    <xf numFmtId="0" fontId="11" fillId="0" borderId="8" xfId="0" applyFont="1" applyBorder="1" applyAlignment="1">
      <alignment vertical="center" wrapText="1"/>
    </xf>
    <xf numFmtId="3" fontId="11" fillId="0" borderId="0" xfId="0" applyNumberFormat="1" applyFont="1" applyAlignment="1">
      <alignment vertical="center" wrapText="1"/>
    </xf>
    <xf numFmtId="0" fontId="11" fillId="0" borderId="0" xfId="0" applyFont="1" applyAlignment="1">
      <alignment vertical="center" wrapText="1"/>
    </xf>
    <xf numFmtId="3" fontId="11" fillId="0" borderId="8" xfId="0" applyNumberFormat="1" applyFont="1" applyBorder="1" applyAlignment="1">
      <alignment horizontal="center" vertical="center"/>
    </xf>
    <xf numFmtId="3" fontId="19" fillId="0" borderId="8" xfId="0" applyNumberFormat="1" applyFont="1" applyBorder="1" applyAlignment="1">
      <alignment horizontal="center" vertical="center"/>
    </xf>
    <xf numFmtId="3" fontId="19" fillId="0" borderId="0" xfId="0" applyNumberFormat="1" applyFont="1" applyAlignment="1">
      <alignment vertical="center" wrapText="1"/>
    </xf>
    <xf numFmtId="0" fontId="19" fillId="0" borderId="0" xfId="0" applyFont="1" applyAlignment="1">
      <alignment vertical="center" wrapText="1"/>
    </xf>
    <xf numFmtId="3" fontId="6" fillId="0" borderId="8" xfId="0" applyNumberFormat="1" applyFont="1" applyBorder="1" applyAlignment="1">
      <alignment horizontal="center" vertical="center"/>
    </xf>
    <xf numFmtId="3" fontId="6" fillId="0" borderId="0" xfId="0" applyNumberFormat="1" applyFont="1" applyAlignment="1">
      <alignment vertical="center" wrapText="1"/>
    </xf>
    <xf numFmtId="0" fontId="6" fillId="0" borderId="0" xfId="0" applyFont="1" applyAlignment="1">
      <alignment vertical="center" wrapText="1"/>
    </xf>
    <xf numFmtId="0" fontId="11" fillId="0" borderId="9" xfId="0" applyFont="1" applyBorder="1" applyAlignment="1">
      <alignment horizontal="center" vertical="center"/>
    </xf>
    <xf numFmtId="0" fontId="11" fillId="0" borderId="9" xfId="0" applyFont="1" applyBorder="1" applyAlignment="1">
      <alignment vertical="center"/>
    </xf>
    <xf numFmtId="3" fontId="6" fillId="0" borderId="0" xfId="4" applyNumberFormat="1" applyFont="1"/>
    <xf numFmtId="3" fontId="7" fillId="0" borderId="0" xfId="4" applyNumberFormat="1" applyFont="1"/>
    <xf numFmtId="0" fontId="7" fillId="0" borderId="0" xfId="4" applyFont="1" applyAlignment="1"/>
    <xf numFmtId="3" fontId="7" fillId="0" borderId="0" xfId="4" applyNumberFormat="1" applyFont="1" applyAlignment="1">
      <alignment horizontal="center"/>
    </xf>
    <xf numFmtId="3" fontId="6" fillId="0" borderId="0" xfId="4" applyNumberFormat="1" applyFont="1" applyAlignment="1">
      <alignment horizontal="centerContinuous"/>
    </xf>
    <xf numFmtId="3" fontId="7" fillId="0" borderId="0" xfId="4" applyNumberFormat="1" applyFont="1" applyAlignment="1">
      <alignment horizontal="centerContinuous"/>
    </xf>
    <xf numFmtId="3" fontId="6" fillId="0" borderId="0" xfId="4" applyNumberFormat="1" applyFont="1" applyAlignment="1">
      <alignment horizontal="right"/>
    </xf>
    <xf numFmtId="3" fontId="6" fillId="0" borderId="0" xfId="4" applyNumberFormat="1" applyFont="1" applyBorder="1" applyAlignment="1">
      <alignment horizontal="center" wrapText="1"/>
    </xf>
    <xf numFmtId="3" fontId="11" fillId="0" borderId="6" xfId="4" applyNumberFormat="1" applyFont="1" applyBorder="1" applyAlignment="1">
      <alignment horizontal="center" vertical="center"/>
    </xf>
    <xf numFmtId="3" fontId="11" fillId="0" borderId="6" xfId="4" applyNumberFormat="1" applyFont="1" applyBorder="1" applyAlignment="1">
      <alignment vertical="center" wrapText="1"/>
    </xf>
    <xf numFmtId="3" fontId="11" fillId="0" borderId="0" xfId="4" applyNumberFormat="1" applyFont="1" applyBorder="1"/>
    <xf numFmtId="3" fontId="11" fillId="0" borderId="8" xfId="4" applyNumberFormat="1" applyFont="1" applyBorder="1" applyAlignment="1">
      <alignment horizontal="center" vertical="center"/>
    </xf>
    <xf numFmtId="3" fontId="11" fillId="0" borderId="8" xfId="4" applyNumberFormat="1" applyFont="1" applyBorder="1" applyAlignment="1">
      <alignment vertical="center" shrinkToFit="1"/>
    </xf>
    <xf numFmtId="3" fontId="7" fillId="0" borderId="8" xfId="4" applyNumberFormat="1" applyFont="1" applyBorder="1" applyAlignment="1">
      <alignment horizontal="center" vertical="center"/>
    </xf>
    <xf numFmtId="3" fontId="7" fillId="0" borderId="8" xfId="4" applyNumberFormat="1" applyFont="1" applyBorder="1" applyAlignment="1">
      <alignment vertical="center" shrinkToFit="1"/>
    </xf>
    <xf numFmtId="3" fontId="7" fillId="0" borderId="0" xfId="4" applyNumberFormat="1" applyFont="1" applyBorder="1"/>
    <xf numFmtId="3" fontId="6" fillId="0" borderId="0" xfId="4" applyNumberFormat="1" applyFont="1" applyBorder="1"/>
    <xf numFmtId="3" fontId="13" fillId="0" borderId="0" xfId="4" applyNumberFormat="1" applyFont="1" applyBorder="1"/>
    <xf numFmtId="3" fontId="11" fillId="0" borderId="8" xfId="4" applyNumberFormat="1" applyFont="1" applyBorder="1" applyAlignment="1">
      <alignment horizontal="center" shrinkToFit="1"/>
    </xf>
    <xf numFmtId="3" fontId="6" fillId="0" borderId="8" xfId="4" applyNumberFormat="1" applyFont="1" applyBorder="1" applyAlignment="1">
      <alignment horizontal="center" vertical="center"/>
    </xf>
    <xf numFmtId="3" fontId="6" fillId="0" borderId="8" xfId="4" applyNumberFormat="1" applyFont="1" applyBorder="1" applyAlignment="1">
      <alignment vertical="center" shrinkToFit="1"/>
    </xf>
    <xf numFmtId="3" fontId="11" fillId="0" borderId="9" xfId="4" applyNumberFormat="1" applyFont="1" applyBorder="1" applyAlignment="1">
      <alignment horizontal="center" vertical="center"/>
    </xf>
    <xf numFmtId="0" fontId="6" fillId="0" borderId="0" xfId="0" applyFont="1" applyAlignment="1">
      <alignment horizontal="right"/>
    </xf>
    <xf numFmtId="0" fontId="11" fillId="0" borderId="8" xfId="0" applyFont="1" applyBorder="1" applyAlignment="1">
      <alignment vertical="center" shrinkToFit="1"/>
    </xf>
    <xf numFmtId="0" fontId="11" fillId="0" borderId="9" xfId="0" applyFont="1" applyBorder="1" applyAlignment="1">
      <alignment horizontal="center" vertical="center" wrapText="1"/>
    </xf>
    <xf numFmtId="0" fontId="7" fillId="0" borderId="0" xfId="0" applyFont="1" applyAlignment="1">
      <alignment vertical="justify"/>
    </xf>
    <xf numFmtId="0" fontId="28" fillId="0" borderId="0" xfId="0" applyFont="1"/>
    <xf numFmtId="3" fontId="23" fillId="0" borderId="0" xfId="0" applyNumberFormat="1" applyFont="1"/>
    <xf numFmtId="3" fontId="20" fillId="0" borderId="0" xfId="0" applyNumberFormat="1" applyFont="1"/>
    <xf numFmtId="0" fontId="7" fillId="0" borderId="6" xfId="0" applyFont="1" applyBorder="1" applyAlignment="1">
      <alignment vertical="center" shrinkToFit="1"/>
    </xf>
    <xf numFmtId="0" fontId="7" fillId="0" borderId="8" xfId="0" applyFont="1" applyBorder="1" applyAlignment="1">
      <alignment vertical="center" shrinkToFit="1"/>
    </xf>
    <xf numFmtId="0" fontId="7" fillId="0" borderId="9" xfId="0" applyFont="1" applyBorder="1" applyAlignment="1">
      <alignment vertical="center" shrinkToFit="1"/>
    </xf>
    <xf numFmtId="0" fontId="7" fillId="0" borderId="6" xfId="0" applyFont="1" applyBorder="1" applyAlignment="1">
      <alignment horizontal="center" vertical="center"/>
    </xf>
    <xf numFmtId="0" fontId="7" fillId="0" borderId="9" xfId="0" applyFont="1" applyBorder="1" applyAlignment="1">
      <alignment horizontal="center" vertical="center"/>
    </xf>
    <xf numFmtId="3" fontId="6" fillId="0" borderId="8" xfId="0" applyNumberFormat="1" applyFont="1" applyBorder="1" applyAlignment="1">
      <alignment horizontal="center" shrinkToFit="1"/>
    </xf>
    <xf numFmtId="0" fontId="6" fillId="0" borderId="0" xfId="0" applyFont="1" applyAlignment="1">
      <alignment horizontal="centerContinuous" vertical="center" wrapText="1"/>
    </xf>
    <xf numFmtId="0" fontId="6" fillId="0" borderId="0" xfId="0" applyFont="1" applyAlignment="1">
      <alignment horizontal="centerContinuous" vertical="center"/>
    </xf>
    <xf numFmtId="0" fontId="6" fillId="0" borderId="1" xfId="0" applyFont="1" applyBorder="1" applyAlignment="1"/>
    <xf numFmtId="0" fontId="13" fillId="0" borderId="8" xfId="0" applyFont="1" applyBorder="1" applyAlignment="1">
      <alignment horizontal="center" shrinkToFit="1"/>
    </xf>
    <xf numFmtId="0" fontId="13" fillId="0" borderId="8" xfId="0" applyFont="1" applyBorder="1" applyAlignment="1">
      <alignment shrinkToFit="1"/>
    </xf>
    <xf numFmtId="0" fontId="13" fillId="0" borderId="0" xfId="0" applyFont="1"/>
    <xf numFmtId="0" fontId="13" fillId="0" borderId="9" xfId="0" applyFont="1" applyBorder="1" applyAlignment="1">
      <alignment horizontal="center" shrinkToFit="1"/>
    </xf>
    <xf numFmtId="0" fontId="6" fillId="0" borderId="8" xfId="0" applyFont="1" applyBorder="1" applyAlignment="1">
      <alignment horizontal="center" shrinkToFit="1"/>
    </xf>
    <xf numFmtId="0" fontId="11" fillId="0" borderId="8" xfId="0" applyFont="1" applyBorder="1" applyAlignment="1">
      <alignment horizontal="center" shrinkToFit="1"/>
    </xf>
    <xf numFmtId="0" fontId="11" fillId="0" borderId="9" xfId="0" applyFont="1" applyBorder="1" applyAlignment="1">
      <alignment horizontal="center" shrinkToFit="1"/>
    </xf>
    <xf numFmtId="0" fontId="6" fillId="0" borderId="17" xfId="0" applyFont="1" applyBorder="1" applyAlignment="1">
      <alignment horizontal="center" vertical="center" shrinkToFit="1"/>
    </xf>
    <xf numFmtId="0" fontId="0" fillId="0" borderId="6" xfId="0" applyBorder="1"/>
    <xf numFmtId="167" fontId="23" fillId="0" borderId="0" xfId="0" applyNumberFormat="1" applyFont="1" applyAlignment="1">
      <alignment horizontal="center"/>
    </xf>
    <xf numFmtId="3" fontId="0" fillId="0" borderId="6" xfId="0" applyNumberFormat="1" applyBorder="1" applyAlignment="1">
      <alignment shrinkToFit="1"/>
    </xf>
    <xf numFmtId="3" fontId="0" fillId="0" borderId="8" xfId="0" applyNumberFormat="1" applyBorder="1" applyAlignment="1">
      <alignment shrinkToFit="1"/>
    </xf>
    <xf numFmtId="3" fontId="6" fillId="0" borderId="5" xfId="0" applyNumberFormat="1" applyFont="1" applyBorder="1" applyAlignment="1">
      <alignment shrinkToFit="1"/>
    </xf>
    <xf numFmtId="3" fontId="19" fillId="0" borderId="8" xfId="0" applyNumberFormat="1" applyFont="1" applyBorder="1" applyAlignment="1">
      <alignment horizontal="center"/>
    </xf>
    <xf numFmtId="3" fontId="19" fillId="0" borderId="8" xfId="0" applyNumberFormat="1" applyFont="1" applyBorder="1" applyAlignment="1">
      <alignment shrinkToFit="1"/>
    </xf>
    <xf numFmtId="0" fontId="34" fillId="0" borderId="0" xfId="0" applyFont="1"/>
    <xf numFmtId="166" fontId="6" fillId="0" borderId="0" xfId="1" applyNumberFormat="1" applyFont="1" applyBorder="1" applyAlignment="1">
      <alignment horizontal="center"/>
    </xf>
    <xf numFmtId="166" fontId="6" fillId="0" borderId="0" xfId="1" applyNumberFormat="1" applyFont="1" applyAlignment="1">
      <alignment horizontal="centerContinuous" vertical="center" wrapText="1"/>
    </xf>
    <xf numFmtId="166" fontId="6" fillId="0" borderId="5" xfId="1" applyNumberFormat="1" applyFont="1" applyBorder="1" applyAlignment="1">
      <alignment horizontal="center" vertical="center" wrapText="1"/>
    </xf>
    <xf numFmtId="166" fontId="6" fillId="0" borderId="5" xfId="1" applyNumberFormat="1" applyFont="1" applyBorder="1" applyAlignment="1">
      <alignment horizontal="center" shrinkToFit="1"/>
    </xf>
    <xf numFmtId="0" fontId="6" fillId="0" borderId="2" xfId="0" applyFont="1" applyBorder="1" applyAlignment="1">
      <alignment horizontal="center" vertical="center" wrapText="1"/>
    </xf>
    <xf numFmtId="167" fontId="20" fillId="0" borderId="5" xfId="0" applyNumberFormat="1" applyFont="1" applyBorder="1" applyAlignment="1">
      <alignment horizontal="center" vertical="center" shrinkToFit="1"/>
    </xf>
    <xf numFmtId="0" fontId="20" fillId="0" borderId="5" xfId="0" applyFont="1" applyBorder="1" applyAlignment="1">
      <alignment horizontal="center" vertical="center" shrinkToFit="1"/>
    </xf>
    <xf numFmtId="3" fontId="6" fillId="0" borderId="0" xfId="4" applyNumberFormat="1" applyFont="1" applyAlignment="1">
      <alignment horizontal="centerContinuous" wrapText="1"/>
    </xf>
    <xf numFmtId="0" fontId="7" fillId="0" borderId="0" xfId="0" applyFont="1" applyAlignment="1">
      <alignment horizontal="centerContinuous" vertical="center" wrapText="1"/>
    </xf>
    <xf numFmtId="0" fontId="19" fillId="0" borderId="8" xfId="0" applyFont="1" applyBorder="1" applyAlignment="1">
      <alignment shrinkToFit="1"/>
    </xf>
    <xf numFmtId="3" fontId="18" fillId="0" borderId="0" xfId="0" applyNumberFormat="1" applyFont="1"/>
    <xf numFmtId="3" fontId="18" fillId="0" borderId="9" xfId="0" applyNumberFormat="1" applyFont="1" applyBorder="1" applyAlignment="1">
      <alignment horizontal="centerContinuous"/>
    </xf>
    <xf numFmtId="3" fontId="18" fillId="0" borderId="9" xfId="0" applyNumberFormat="1" applyFont="1" applyBorder="1" applyAlignment="1">
      <alignment shrinkToFit="1"/>
    </xf>
    <xf numFmtId="0" fontId="23" fillId="0" borderId="8" xfId="0" applyFont="1" applyFill="1" applyBorder="1" applyAlignment="1">
      <alignment horizontal="left" vertical="center" wrapText="1"/>
    </xf>
    <xf numFmtId="3" fontId="6" fillId="0" borderId="0" xfId="0" applyNumberFormat="1" applyFont="1" applyFill="1" applyAlignment="1">
      <alignment horizontal="centerContinuous"/>
    </xf>
    <xf numFmtId="3" fontId="6" fillId="0" borderId="0" xfId="0" applyNumberFormat="1" applyFont="1" applyFill="1" applyAlignment="1">
      <alignment shrinkToFit="1"/>
    </xf>
    <xf numFmtId="3" fontId="6" fillId="0" borderId="0" xfId="0" applyNumberFormat="1" applyFont="1" applyFill="1" applyAlignment="1">
      <alignment horizontal="centerContinuous" shrinkToFit="1"/>
    </xf>
    <xf numFmtId="3" fontId="6" fillId="0" borderId="0" xfId="0" applyNumberFormat="1" applyFont="1" applyFill="1"/>
    <xf numFmtId="0" fontId="11" fillId="0" borderId="5" xfId="0" applyFont="1" applyBorder="1" applyAlignment="1">
      <alignment horizontal="center"/>
    </xf>
    <xf numFmtId="0" fontId="11" fillId="0" borderId="5" xfId="0" applyFont="1" applyBorder="1"/>
    <xf numFmtId="0" fontId="13" fillId="0" borderId="8" xfId="0" applyFont="1" applyBorder="1" applyAlignment="1">
      <alignment horizontal="center"/>
    </xf>
    <xf numFmtId="0" fontId="30" fillId="0" borderId="0" xfId="0" applyFont="1"/>
    <xf numFmtId="0" fontId="19" fillId="0" borderId="8" xfId="0" applyFont="1" applyBorder="1" applyAlignment="1">
      <alignment horizontal="center"/>
    </xf>
    <xf numFmtId="170" fontId="18" fillId="0" borderId="8" xfId="0" applyNumberFormat="1" applyFont="1" applyBorder="1" applyAlignment="1">
      <alignment shrinkToFit="1"/>
    </xf>
    <xf numFmtId="170" fontId="18" fillId="0" borderId="9" xfId="0" applyNumberFormat="1" applyFont="1" applyBorder="1" applyAlignment="1">
      <alignment shrinkToFit="1"/>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5" xfId="0" applyNumberFormat="1" applyFont="1" applyBorder="1" applyAlignment="1">
      <alignment horizontal="center" vertical="center" shrinkToFit="1"/>
    </xf>
    <xf numFmtId="3" fontId="11" fillId="0" borderId="9" xfId="0" applyNumberFormat="1" applyFont="1" applyBorder="1" applyAlignment="1">
      <alignment shrinkToFit="1"/>
    </xf>
    <xf numFmtId="0" fontId="11" fillId="0" borderId="6" xfId="0" applyFont="1" applyBorder="1" applyAlignment="1">
      <alignment horizontal="center" vertical="center"/>
    </xf>
    <xf numFmtId="0" fontId="11" fillId="0" borderId="6" xfId="0" applyFont="1" applyBorder="1" applyAlignment="1">
      <alignment vertical="center"/>
    </xf>
    <xf numFmtId="0" fontId="41" fillId="0" borderId="8" xfId="0" applyFont="1" applyBorder="1" applyAlignment="1">
      <alignment horizontal="center" vertical="center"/>
    </xf>
    <xf numFmtId="0" fontId="41" fillId="0" borderId="8" xfId="0" applyFont="1" applyBorder="1" applyAlignment="1">
      <alignment vertical="center"/>
    </xf>
    <xf numFmtId="0" fontId="41" fillId="0" borderId="0" xfId="0" applyFont="1"/>
    <xf numFmtId="0" fontId="38" fillId="0" borderId="8" xfId="0" applyFont="1" applyBorder="1" applyAlignment="1">
      <alignment horizontal="center" vertical="center"/>
    </xf>
    <xf numFmtId="0" fontId="38" fillId="0" borderId="8" xfId="0" applyFont="1" applyBorder="1" applyAlignment="1">
      <alignment vertical="center"/>
    </xf>
    <xf numFmtId="0" fontId="38" fillId="0" borderId="0" xfId="0" applyFont="1"/>
    <xf numFmtId="0" fontId="42" fillId="0" borderId="0" xfId="0" applyFont="1"/>
    <xf numFmtId="3" fontId="42" fillId="0" borderId="8" xfId="0" applyNumberFormat="1" applyFont="1" applyBorder="1" applyAlignment="1">
      <alignment horizontal="center" vertical="center"/>
    </xf>
    <xf numFmtId="0" fontId="10" fillId="0" borderId="8" xfId="0" applyFont="1" applyFill="1" applyBorder="1" applyAlignment="1">
      <alignment horizontal="left" vertical="center" wrapText="1"/>
    </xf>
    <xf numFmtId="3" fontId="4" fillId="0" borderId="8" xfId="0" applyNumberFormat="1" applyFont="1" applyBorder="1" applyAlignment="1">
      <alignment vertical="center" shrinkToFit="1"/>
    </xf>
    <xf numFmtId="0" fontId="4" fillId="0" borderId="0" xfId="0" applyFont="1"/>
    <xf numFmtId="3" fontId="4" fillId="0" borderId="0" xfId="0" applyNumberFormat="1" applyFont="1"/>
    <xf numFmtId="0" fontId="11" fillId="0" borderId="6" xfId="0" applyFont="1" applyBorder="1" applyAlignment="1">
      <alignment vertical="center" shrinkToFit="1"/>
    </xf>
    <xf numFmtId="38" fontId="11" fillId="0" borderId="6" xfId="0" applyNumberFormat="1" applyFont="1" applyBorder="1" applyAlignment="1">
      <alignment vertical="center" shrinkToFit="1"/>
    </xf>
    <xf numFmtId="0" fontId="11" fillId="0" borderId="10" xfId="0" applyFont="1" applyBorder="1" applyAlignment="1">
      <alignment horizontal="center" vertical="center" shrinkToFit="1"/>
    </xf>
    <xf numFmtId="0" fontId="11" fillId="0" borderId="10" xfId="0" applyFont="1" applyBorder="1" applyAlignment="1">
      <alignment vertical="center" shrinkToFit="1"/>
    </xf>
    <xf numFmtId="0" fontId="13" fillId="0" borderId="8" xfId="0" applyFont="1" applyBorder="1" applyAlignment="1">
      <alignment horizontal="center" vertical="center" shrinkToFit="1"/>
    </xf>
    <xf numFmtId="0" fontId="13" fillId="0" borderId="8" xfId="0" applyFont="1" applyBorder="1" applyAlignment="1">
      <alignment vertical="center" shrinkToFit="1"/>
    </xf>
    <xf numFmtId="0" fontId="4" fillId="0" borderId="8" xfId="0" applyFont="1" applyBorder="1" applyAlignment="1">
      <alignment horizontal="center" vertical="center" shrinkToFit="1"/>
    </xf>
    <xf numFmtId="0" fontId="4" fillId="0" borderId="8" xfId="0" applyFont="1" applyBorder="1" applyAlignment="1">
      <alignment vertical="center" shrinkToFit="1"/>
    </xf>
    <xf numFmtId="38" fontId="4" fillId="0" borderId="8" xfId="0" applyNumberFormat="1" applyFont="1" applyBorder="1" applyAlignment="1">
      <alignment vertical="center" shrinkToFit="1"/>
    </xf>
    <xf numFmtId="0" fontId="39" fillId="0" borderId="0" xfId="0" applyFont="1"/>
    <xf numFmtId="49" fontId="4" fillId="0" borderId="8" xfId="0" applyNumberFormat="1" applyFont="1" applyBorder="1" applyAlignment="1">
      <alignment vertical="center" shrinkToFit="1"/>
    </xf>
    <xf numFmtId="38" fontId="6" fillId="0" borderId="8" xfId="0" applyNumberFormat="1" applyFont="1" applyBorder="1" applyAlignment="1">
      <alignment vertical="center" shrinkToFit="1"/>
    </xf>
    <xf numFmtId="49" fontId="6" fillId="0" borderId="8" xfId="0" applyNumberFormat="1" applyFont="1" applyBorder="1" applyAlignment="1">
      <alignment vertical="center" shrinkToFit="1"/>
    </xf>
    <xf numFmtId="49" fontId="11" fillId="0" borderId="8" xfId="0" applyNumberFormat="1" applyFont="1" applyBorder="1" applyAlignment="1">
      <alignment vertical="center" shrinkToFit="1"/>
    </xf>
    <xf numFmtId="38" fontId="11" fillId="0" borderId="8" xfId="0" applyNumberFormat="1" applyFont="1" applyBorder="1" applyAlignment="1">
      <alignment vertical="center" shrinkToFit="1"/>
    </xf>
    <xf numFmtId="49" fontId="11" fillId="0" borderId="9" xfId="0" applyNumberFormat="1" applyFont="1" applyBorder="1" applyAlignment="1">
      <alignment vertical="center" shrinkToFit="1"/>
    </xf>
    <xf numFmtId="38" fontId="11" fillId="0" borderId="9" xfId="0" applyNumberFormat="1" applyFont="1" applyBorder="1" applyAlignment="1">
      <alignment vertical="center" shrinkToFit="1"/>
    </xf>
    <xf numFmtId="0" fontId="4" fillId="0" borderId="0" xfId="0" applyFont="1" applyAlignment="1">
      <alignment shrinkToFit="1"/>
    </xf>
    <xf numFmtId="43" fontId="4" fillId="0" borderId="0" xfId="1" applyFont="1"/>
    <xf numFmtId="3" fontId="4" fillId="0" borderId="0" xfId="0" applyNumberFormat="1" applyFont="1" applyBorder="1" applyAlignment="1"/>
    <xf numFmtId="0" fontId="4" fillId="0" borderId="5" xfId="0" applyFont="1" applyBorder="1" applyAlignment="1">
      <alignment horizontal="center" vertical="center"/>
    </xf>
    <xf numFmtId="3" fontId="4" fillId="0" borderId="8" xfId="0" applyNumberFormat="1" applyFont="1" applyBorder="1" applyAlignment="1">
      <alignment shrinkToFit="1"/>
    </xf>
    <xf numFmtId="0" fontId="6" fillId="0" borderId="5" xfId="0" applyFont="1" applyBorder="1" applyAlignment="1">
      <alignment horizontal="center" vertical="center" wrapText="1"/>
    </xf>
    <xf numFmtId="0" fontId="4" fillId="0" borderId="8" xfId="0" applyFont="1" applyBorder="1" applyAlignment="1">
      <alignment horizontal="center" vertical="center"/>
    </xf>
    <xf numFmtId="0" fontId="43" fillId="0" borderId="0" xfId="0" applyFont="1"/>
    <xf numFmtId="0" fontId="4" fillId="0" borderId="8" xfId="0" applyFont="1" applyBorder="1" applyAlignment="1">
      <alignment vertical="center"/>
    </xf>
    <xf numFmtId="3" fontId="4" fillId="0" borderId="8" xfId="4" applyNumberFormat="1" applyFont="1" applyBorder="1" applyAlignment="1">
      <alignment vertical="center" shrinkToFit="1"/>
    </xf>
    <xf numFmtId="3" fontId="44" fillId="0" borderId="0" xfId="0" applyNumberFormat="1" applyFont="1"/>
    <xf numFmtId="0" fontId="44" fillId="0" borderId="0" xfId="0" applyFont="1"/>
    <xf numFmtId="0" fontId="4" fillId="0" borderId="0" xfId="0" applyFont="1" applyAlignment="1">
      <alignment horizontal="centerContinuous" vertical="center" wrapText="1"/>
    </xf>
    <xf numFmtId="0" fontId="20" fillId="0" borderId="0" xfId="0" applyFont="1" applyAlignment="1">
      <alignment horizontal="center"/>
    </xf>
    <xf numFmtId="0" fontId="45" fillId="0" borderId="0" xfId="0" applyFont="1"/>
    <xf numFmtId="3" fontId="4" fillId="0" borderId="1" xfId="0" applyNumberFormat="1" applyFont="1" applyBorder="1" applyAlignment="1">
      <alignment horizontal="center"/>
    </xf>
    <xf numFmtId="3" fontId="4" fillId="0" borderId="0" xfId="0" applyNumberFormat="1" applyFont="1" applyFill="1" applyAlignment="1">
      <alignment horizontal="right"/>
    </xf>
    <xf numFmtId="3" fontId="4" fillId="0" borderId="0" xfId="0" applyNumberFormat="1" applyFont="1" applyFill="1" applyAlignment="1">
      <alignment horizontal="right" shrinkToFit="1"/>
    </xf>
    <xf numFmtId="168" fontId="4" fillId="0" borderId="0" xfId="0" applyNumberFormat="1" applyFont="1" applyAlignment="1">
      <alignment horizontal="right"/>
    </xf>
    <xf numFmtId="3" fontId="4" fillId="0" borderId="7" xfId="0" applyNumberFormat="1" applyFont="1" applyBorder="1" applyAlignment="1">
      <alignment horizontal="center" vertical="center" shrinkToFit="1"/>
    </xf>
    <xf numFmtId="3" fontId="4" fillId="0" borderId="0" xfId="0" applyNumberFormat="1" applyFont="1" applyBorder="1" applyAlignment="1">
      <alignment horizontal="center" vertical="center" wrapText="1"/>
    </xf>
    <xf numFmtId="3" fontId="4" fillId="0" borderId="0" xfId="0" applyNumberFormat="1" applyFont="1" applyBorder="1"/>
    <xf numFmtId="3" fontId="4" fillId="0" borderId="8" xfId="0" applyNumberFormat="1" applyFont="1" applyBorder="1" applyAlignment="1">
      <alignment horizontal="center" shrinkToFit="1"/>
    </xf>
    <xf numFmtId="3" fontId="4" fillId="0" borderId="8" xfId="0" applyNumberFormat="1" applyFont="1" applyBorder="1" applyAlignment="1">
      <alignment horizontal="center" vertical="center" shrinkToFit="1"/>
    </xf>
    <xf numFmtId="3" fontId="4" fillId="0" borderId="8" xfId="0" applyNumberFormat="1" applyFont="1" applyBorder="1" applyAlignment="1">
      <alignment vertical="center" wrapText="1" shrinkToFit="1"/>
    </xf>
    <xf numFmtId="3" fontId="4" fillId="0" borderId="0" xfId="0" applyNumberFormat="1" applyFont="1" applyBorder="1" applyAlignment="1">
      <alignment horizontal="centerContinuous" vertical="center" wrapText="1"/>
    </xf>
    <xf numFmtId="3" fontId="4" fillId="0" borderId="0" xfId="0" applyNumberFormat="1" applyFont="1" applyBorder="1" applyAlignment="1">
      <alignment shrinkToFit="1"/>
    </xf>
    <xf numFmtId="166" fontId="4" fillId="0" borderId="0" xfId="1" applyNumberFormat="1" applyFont="1" applyBorder="1" applyAlignment="1"/>
    <xf numFmtId="3" fontId="4" fillId="0" borderId="8" xfId="0" applyNumberFormat="1" applyFont="1" applyBorder="1" applyAlignment="1">
      <alignment horizontal="center"/>
    </xf>
    <xf numFmtId="3" fontId="4" fillId="0" borderId="8" xfId="0" applyNumberFormat="1" applyFont="1" applyBorder="1" applyAlignment="1">
      <alignment horizontal="center" vertical="center" wrapText="1"/>
    </xf>
    <xf numFmtId="3" fontId="4" fillId="0" borderId="0" xfId="0" applyNumberFormat="1" applyFont="1" applyAlignment="1">
      <alignment horizontal="centerContinuous"/>
    </xf>
    <xf numFmtId="3" fontId="6" fillId="0" borderId="0" xfId="0" applyNumberFormat="1" applyFont="1" applyAlignment="1">
      <alignment horizontal="left"/>
    </xf>
    <xf numFmtId="3" fontId="11" fillId="0" borderId="9" xfId="0" applyNumberFormat="1" applyFont="1" applyBorder="1" applyAlignment="1">
      <alignment horizontal="center"/>
    </xf>
    <xf numFmtId="170" fontId="19" fillId="0" borderId="8" xfId="0" applyNumberFormat="1" applyFont="1" applyFill="1" applyBorder="1" applyAlignment="1">
      <alignment horizontal="center"/>
    </xf>
    <xf numFmtId="170" fontId="19" fillId="0" borderId="8" xfId="0" applyNumberFormat="1" applyFont="1" applyFill="1" applyBorder="1" applyAlignment="1">
      <alignment vertical="center" wrapText="1" shrinkToFit="1"/>
    </xf>
    <xf numFmtId="3" fontId="11" fillId="0" borderId="8" xfId="4" applyNumberFormat="1" applyFont="1" applyBorder="1" applyAlignment="1">
      <alignment shrinkToFit="1"/>
    </xf>
    <xf numFmtId="0" fontId="4" fillId="0" borderId="0" xfId="0" applyFont="1" applyAlignment="1">
      <alignment horizontal="center"/>
    </xf>
    <xf numFmtId="0" fontId="6" fillId="0" borderId="5" xfId="0" applyFont="1" applyBorder="1" applyAlignment="1">
      <alignment horizontal="center" vertical="center" wrapText="1"/>
    </xf>
    <xf numFmtId="0" fontId="4" fillId="0" borderId="8" xfId="0" applyFont="1" applyBorder="1" applyAlignment="1">
      <alignment shrinkToFit="1"/>
    </xf>
    <xf numFmtId="0" fontId="4" fillId="0" borderId="0" xfId="0" applyFont="1" applyAlignment="1">
      <alignment horizontal="center" vertical="center" wrapText="1"/>
    </xf>
    <xf numFmtId="0" fontId="4" fillId="0" borderId="8" xfId="0" applyFont="1" applyBorder="1" applyAlignment="1">
      <alignment horizontal="center"/>
    </xf>
    <xf numFmtId="9" fontId="4" fillId="0" borderId="8" xfId="0" applyNumberFormat="1" applyFont="1" applyBorder="1" applyAlignment="1">
      <alignment horizontal="center"/>
    </xf>
    <xf numFmtId="0" fontId="4" fillId="0" borderId="8" xfId="0" applyFont="1" applyBorder="1"/>
    <xf numFmtId="0" fontId="4" fillId="0" borderId="8" xfId="0" applyFont="1" applyBorder="1" applyAlignment="1">
      <alignment vertical="center" wrapText="1"/>
    </xf>
    <xf numFmtId="0" fontId="4" fillId="0" borderId="9" xfId="0" applyFont="1" applyBorder="1" applyAlignment="1">
      <alignment horizontal="center"/>
    </xf>
    <xf numFmtId="0" fontId="4" fillId="0" borderId="9" xfId="0" applyFont="1" applyBorder="1"/>
    <xf numFmtId="9" fontId="4" fillId="0" borderId="9" xfId="0" applyNumberFormat="1" applyFont="1" applyBorder="1" applyAlignment="1">
      <alignment horizontal="center"/>
    </xf>
    <xf numFmtId="0" fontId="6" fillId="0" borderId="5" xfId="0" applyFont="1" applyBorder="1" applyAlignment="1">
      <alignment horizontal="center" vertical="center" wrapText="1"/>
    </xf>
    <xf numFmtId="0" fontId="19" fillId="0" borderId="9" xfId="0" applyFont="1" applyBorder="1" applyAlignment="1">
      <alignment horizontal="center" vertical="center"/>
    </xf>
    <xf numFmtId="0" fontId="19" fillId="0" borderId="9" xfId="0" applyFont="1" applyBorder="1" applyAlignment="1">
      <alignment vertical="center"/>
    </xf>
    <xf numFmtId="0" fontId="4" fillId="0" borderId="6" xfId="0" applyFont="1" applyBorder="1" applyAlignment="1">
      <alignment horizontal="center"/>
    </xf>
    <xf numFmtId="0" fontId="4" fillId="0" borderId="6" xfId="0" applyFont="1" applyBorder="1" applyAlignment="1">
      <alignment shrinkToFit="1"/>
    </xf>
    <xf numFmtId="9" fontId="4" fillId="0" borderId="6" xfId="0" applyNumberFormat="1" applyFont="1" applyBorder="1" applyAlignment="1">
      <alignment horizontal="center"/>
    </xf>
    <xf numFmtId="0" fontId="4" fillId="0" borderId="9" xfId="0" applyFont="1" applyBorder="1" applyAlignment="1">
      <alignment shrinkToFit="1"/>
    </xf>
    <xf numFmtId="3" fontId="6" fillId="0" borderId="8" xfId="0" applyNumberFormat="1" applyFont="1" applyBorder="1" applyAlignment="1">
      <alignment shrinkToFit="1"/>
    </xf>
    <xf numFmtId="0" fontId="6" fillId="0" borderId="0" xfId="0" applyFont="1" applyBorder="1" applyAlignment="1">
      <alignment horizontal="right"/>
    </xf>
    <xf numFmtId="0" fontId="6" fillId="0" borderId="5" xfId="0" applyFont="1" applyFill="1" applyBorder="1" applyAlignment="1">
      <alignment horizontal="center" vertical="center" wrapText="1"/>
    </xf>
    <xf numFmtId="3" fontId="11" fillId="0" borderId="6" xfId="0" applyNumberFormat="1" applyFont="1" applyFill="1" applyBorder="1" applyAlignment="1">
      <alignment horizontal="center" vertical="center"/>
    </xf>
    <xf numFmtId="3" fontId="11" fillId="0" borderId="6" xfId="0" applyNumberFormat="1" applyFont="1" applyFill="1" applyBorder="1" applyAlignment="1">
      <alignment horizontal="center" vertical="center" shrinkToFit="1"/>
    </xf>
    <xf numFmtId="3" fontId="4" fillId="0" borderId="8" xfId="0" applyNumberFormat="1" applyFont="1" applyFill="1" applyBorder="1" applyAlignment="1">
      <alignment vertical="center" shrinkToFit="1"/>
    </xf>
    <xf numFmtId="3" fontId="6" fillId="0" borderId="9" xfId="0" applyNumberFormat="1" applyFont="1" applyFill="1" applyBorder="1" applyAlignment="1">
      <alignment horizontal="center" vertical="center"/>
    </xf>
    <xf numFmtId="3" fontId="6" fillId="0" borderId="9" xfId="0" applyNumberFormat="1" applyFont="1" applyFill="1" applyBorder="1" applyAlignment="1">
      <alignment vertical="center" wrapText="1" shrinkToFit="1"/>
    </xf>
    <xf numFmtId="3" fontId="4" fillId="0" borderId="8" xfId="0" applyNumberFormat="1" applyFont="1" applyFill="1" applyBorder="1" applyAlignment="1">
      <alignment horizontal="center" vertical="center"/>
    </xf>
    <xf numFmtId="0" fontId="4" fillId="0" borderId="8" xfId="0" applyFont="1" applyBorder="1" applyAlignment="1">
      <alignment horizontal="center" shrinkToFit="1"/>
    </xf>
    <xf numFmtId="0" fontId="13" fillId="0" borderId="9" xfId="0" applyFont="1" applyBorder="1" applyAlignment="1">
      <alignment vertical="center" shrinkToFit="1"/>
    </xf>
    <xf numFmtId="0" fontId="6" fillId="0" borderId="0" xfId="0" applyFont="1" applyFill="1" applyAlignment="1"/>
    <xf numFmtId="0" fontId="6" fillId="0" borderId="0" xfId="0" applyFont="1" applyFill="1" applyAlignment="1">
      <alignment horizontal="center"/>
    </xf>
    <xf numFmtId="3" fontId="4" fillId="0" borderId="0" xfId="0" applyNumberFormat="1" applyFont="1" applyFill="1" applyBorder="1" applyAlignment="1"/>
    <xf numFmtId="0" fontId="4" fillId="0" borderId="0" xfId="3" applyFont="1" applyFill="1"/>
    <xf numFmtId="0" fontId="4" fillId="0" borderId="0" xfId="3" applyFont="1" applyFill="1" applyAlignment="1">
      <alignment horizontal="right"/>
    </xf>
    <xf numFmtId="0" fontId="6" fillId="0" borderId="0" xfId="3" applyFont="1" applyFill="1"/>
    <xf numFmtId="0" fontId="11" fillId="0" borderId="8" xfId="3" applyFont="1" applyFill="1" applyBorder="1" applyAlignment="1">
      <alignment horizontal="center" vertical="center" shrinkToFit="1"/>
    </xf>
    <xf numFmtId="0" fontId="11" fillId="0" borderId="0" xfId="3" applyFont="1" applyFill="1"/>
    <xf numFmtId="49" fontId="4" fillId="0" borderId="8" xfId="3" applyNumberFormat="1" applyFont="1" applyFill="1" applyBorder="1" applyAlignment="1">
      <alignment horizontal="center" vertical="center"/>
    </xf>
    <xf numFmtId="49" fontId="10" fillId="0" borderId="8" xfId="3" applyNumberFormat="1" applyFont="1" applyFill="1" applyBorder="1" applyAlignment="1">
      <alignment horizontal="center" vertical="center"/>
    </xf>
    <xf numFmtId="49" fontId="10" fillId="0" borderId="8" xfId="3" applyNumberFormat="1" applyFont="1" applyFill="1" applyBorder="1" applyAlignment="1">
      <alignment vertical="center" shrinkToFit="1"/>
    </xf>
    <xf numFmtId="49" fontId="22" fillId="0" borderId="8" xfId="3" applyNumberFormat="1" applyFont="1" applyFill="1" applyBorder="1" applyAlignment="1">
      <alignment horizontal="center" vertical="center"/>
    </xf>
    <xf numFmtId="49" fontId="22" fillId="0" borderId="8" xfId="3" applyNumberFormat="1" applyFont="1" applyFill="1" applyBorder="1" applyAlignment="1">
      <alignment vertical="center" shrinkToFit="1"/>
    </xf>
    <xf numFmtId="0" fontId="10" fillId="0" borderId="8" xfId="0" applyFont="1" applyFill="1" applyBorder="1" applyAlignment="1">
      <alignment vertical="center" shrinkToFit="1"/>
    </xf>
    <xf numFmtId="0" fontId="10" fillId="0" borderId="8" xfId="3" applyNumberFormat="1" applyFont="1" applyFill="1" applyBorder="1" applyAlignment="1">
      <alignment vertical="center" shrinkToFit="1"/>
    </xf>
    <xf numFmtId="0" fontId="10" fillId="0" borderId="8" xfId="3" applyFont="1" applyFill="1" applyBorder="1" applyAlignment="1">
      <alignment horizontal="center" shrinkToFit="1"/>
    </xf>
    <xf numFmtId="0" fontId="22" fillId="0" borderId="8" xfId="0" applyFont="1" applyFill="1" applyBorder="1" applyAlignment="1">
      <alignment vertical="center" shrinkToFit="1"/>
    </xf>
    <xf numFmtId="49" fontId="11" fillId="0" borderId="8" xfId="3" applyNumberFormat="1" applyFont="1" applyFill="1" applyBorder="1" applyAlignment="1">
      <alignment horizontal="center" vertical="center"/>
    </xf>
    <xf numFmtId="49" fontId="19" fillId="0" borderId="8" xfId="3" applyNumberFormat="1" applyFont="1" applyFill="1" applyBorder="1" applyAlignment="1">
      <alignment horizontal="center" vertical="center"/>
    </xf>
    <xf numFmtId="49" fontId="49" fillId="0" borderId="8" xfId="3" applyNumberFormat="1" applyFont="1" applyFill="1" applyBorder="1" applyAlignment="1">
      <alignment horizontal="center" vertical="center"/>
    </xf>
    <xf numFmtId="49" fontId="49" fillId="0" borderId="8" xfId="3" applyNumberFormat="1" applyFont="1" applyFill="1" applyBorder="1" applyAlignment="1">
      <alignment vertical="center" shrinkToFit="1"/>
    </xf>
    <xf numFmtId="0" fontId="19" fillId="0" borderId="0" xfId="3" applyFont="1" applyFill="1"/>
    <xf numFmtId="0" fontId="22" fillId="0" borderId="6" xfId="3" applyFont="1" applyFill="1" applyBorder="1" applyAlignment="1">
      <alignment horizontal="center" shrinkToFit="1"/>
    </xf>
    <xf numFmtId="0" fontId="22" fillId="0" borderId="6" xfId="3" applyNumberFormat="1" applyFont="1" applyFill="1" applyBorder="1" applyAlignment="1">
      <alignment vertical="center" shrinkToFit="1"/>
    </xf>
    <xf numFmtId="0" fontId="52" fillId="0" borderId="0" xfId="7" applyFont="1"/>
    <xf numFmtId="0" fontId="52" fillId="0" borderId="0" xfId="7" applyFont="1" applyAlignment="1">
      <alignment vertical="center" wrapText="1"/>
    </xf>
    <xf numFmtId="0" fontId="6" fillId="0" borderId="5" xfId="0" applyFont="1" applyBorder="1" applyAlignment="1">
      <alignment horizontal="center" vertical="center" wrapText="1"/>
    </xf>
    <xf numFmtId="3" fontId="6" fillId="0" borderId="9" xfId="0" applyNumberFormat="1" applyFont="1" applyBorder="1" applyAlignment="1">
      <alignment vertical="center" wrapText="1"/>
    </xf>
    <xf numFmtId="0" fontId="23" fillId="0" borderId="0" xfId="6" applyFont="1" applyFill="1"/>
    <xf numFmtId="0" fontId="20" fillId="0" borderId="0" xfId="6" applyNumberFormat="1" applyFont="1" applyFill="1" applyAlignment="1">
      <alignment horizontal="centerContinuous" vertical="center"/>
    </xf>
    <xf numFmtId="0" fontId="23" fillId="0" borderId="0" xfId="6" applyFont="1" applyFill="1" applyAlignment="1">
      <alignment horizontal="centerContinuous" vertical="center"/>
    </xf>
    <xf numFmtId="0" fontId="20" fillId="0" borderId="0" xfId="6" applyFont="1" applyFill="1" applyAlignment="1">
      <alignment horizontal="centerContinuous" vertical="center"/>
    </xf>
    <xf numFmtId="0" fontId="20" fillId="0" borderId="0" xfId="6" applyFont="1" applyFill="1"/>
    <xf numFmtId="0" fontId="20" fillId="0" borderId="0" xfId="6" applyFont="1" applyFill="1" applyAlignment="1">
      <alignment horizontal="centerContinuous"/>
    </xf>
    <xf numFmtId="169" fontId="20" fillId="0" borderId="0" xfId="6" applyNumberFormat="1" applyFont="1" applyFill="1" applyAlignment="1">
      <alignment horizontal="centerContinuous"/>
    </xf>
    <xf numFmtId="0" fontId="20" fillId="0" borderId="0" xfId="6" applyFont="1" applyFill="1" applyAlignment="1">
      <alignment horizontal="right"/>
    </xf>
    <xf numFmtId="0" fontId="32" fillId="0" borderId="0" xfId="6" applyFont="1" applyFill="1" applyAlignment="1">
      <alignment vertical="center"/>
    </xf>
    <xf numFmtId="0" fontId="20" fillId="0" borderId="0" xfId="6" applyFont="1" applyFill="1" applyAlignment="1">
      <alignment horizontal="center" vertical="center"/>
    </xf>
    <xf numFmtId="169" fontId="20" fillId="0" borderId="5" xfId="6" applyNumberFormat="1" applyFont="1" applyFill="1" applyBorder="1" applyAlignment="1">
      <alignment horizontal="center" vertical="center" wrapText="1"/>
    </xf>
    <xf numFmtId="0" fontId="20" fillId="0" borderId="12" xfId="6" applyFont="1" applyFill="1" applyBorder="1" applyAlignment="1">
      <alignment horizontal="center"/>
    </xf>
    <xf numFmtId="0" fontId="20" fillId="0" borderId="5" xfId="6" applyFont="1" applyFill="1" applyBorder="1" applyAlignment="1">
      <alignment horizontal="center"/>
    </xf>
    <xf numFmtId="169" fontId="20" fillId="0" borderId="5" xfId="6" applyNumberFormat="1" applyFont="1" applyFill="1" applyBorder="1" applyAlignment="1">
      <alignment horizontal="center"/>
    </xf>
    <xf numFmtId="0" fontId="20" fillId="0" borderId="0" xfId="6" applyFont="1" applyFill="1" applyAlignment="1">
      <alignment horizontal="center"/>
    </xf>
    <xf numFmtId="0" fontId="28" fillId="0" borderId="13" xfId="6" applyFont="1" applyFill="1" applyBorder="1" applyAlignment="1">
      <alignment horizontal="center"/>
    </xf>
    <xf numFmtId="0" fontId="28" fillId="0" borderId="10" xfId="6" applyFont="1" applyFill="1" applyBorder="1" applyAlignment="1">
      <alignment horizontal="left" shrinkToFit="1"/>
    </xf>
    <xf numFmtId="0" fontId="28" fillId="0" borderId="0" xfId="6" applyFont="1" applyFill="1" applyAlignment="1">
      <alignment horizontal="center"/>
    </xf>
    <xf numFmtId="0" fontId="23" fillId="0" borderId="8" xfId="6" applyFont="1" applyFill="1" applyBorder="1" applyAlignment="1">
      <alignment horizontal="left" shrinkToFit="1"/>
    </xf>
    <xf numFmtId="0" fontId="28" fillId="0" borderId="14" xfId="6" applyFont="1" applyFill="1" applyBorder="1" applyAlignment="1">
      <alignment horizontal="center"/>
    </xf>
    <xf numFmtId="0" fontId="28" fillId="0" borderId="8" xfId="6" applyNumberFormat="1" applyFont="1" applyFill="1" applyBorder="1" applyAlignment="1">
      <alignment shrinkToFit="1"/>
    </xf>
    <xf numFmtId="0" fontId="28" fillId="0" borderId="0" xfId="6" applyFont="1" applyFill="1"/>
    <xf numFmtId="0" fontId="20" fillId="0" borderId="14" xfId="6" applyFont="1" applyFill="1" applyBorder="1" applyAlignment="1">
      <alignment horizontal="center"/>
    </xf>
    <xf numFmtId="0" fontId="23" fillId="0" borderId="8" xfId="6" quotePrefix="1" applyNumberFormat="1" applyFont="1" applyFill="1" applyBorder="1" applyAlignment="1">
      <alignment shrinkToFit="1"/>
    </xf>
    <xf numFmtId="0" fontId="32" fillId="0" borderId="14" xfId="6" applyFont="1" applyFill="1" applyBorder="1" applyAlignment="1">
      <alignment horizontal="center"/>
    </xf>
    <xf numFmtId="0" fontId="23" fillId="0" borderId="8" xfId="6" applyNumberFormat="1" applyFont="1" applyFill="1" applyBorder="1" applyAlignment="1">
      <alignment shrinkToFit="1"/>
    </xf>
    <xf numFmtId="0" fontId="32" fillId="0" borderId="0" xfId="6" applyFont="1" applyFill="1"/>
    <xf numFmtId="0" fontId="23" fillId="0" borderId="8" xfId="6" applyFont="1" applyFill="1" applyBorder="1" applyAlignment="1">
      <alignment shrinkToFit="1"/>
    </xf>
    <xf numFmtId="0" fontId="28" fillId="0" borderId="15" xfId="6" applyFont="1" applyFill="1" applyBorder="1" applyAlignment="1">
      <alignment horizontal="center"/>
    </xf>
    <xf numFmtId="0" fontId="28" fillId="0" borderId="16" xfId="6" applyNumberFormat="1" applyFont="1" applyFill="1" applyBorder="1" applyAlignment="1">
      <alignment shrinkToFit="1"/>
    </xf>
    <xf numFmtId="169" fontId="23" fillId="0" borderId="0" xfId="6" applyNumberFormat="1" applyFont="1" applyFill="1"/>
    <xf numFmtId="38" fontId="4" fillId="0" borderId="8" xfId="0" applyNumberFormat="1" applyFont="1" applyFill="1" applyBorder="1" applyAlignment="1">
      <alignment vertical="center" shrinkToFit="1"/>
    </xf>
    <xf numFmtId="0" fontId="6" fillId="0" borderId="0" xfId="0" applyFont="1" applyAlignment="1">
      <alignment horizontal="center" vertical="center" wrapText="1"/>
    </xf>
    <xf numFmtId="0" fontId="6" fillId="0" borderId="17" xfId="0" applyFont="1" applyBorder="1" applyAlignment="1">
      <alignment horizontal="center" vertical="center" wrapText="1"/>
    </xf>
    <xf numFmtId="3" fontId="6" fillId="0" borderId="9" xfId="4" applyNumberFormat="1" applyFont="1" applyBorder="1" applyAlignment="1">
      <alignment horizontal="center" vertical="center"/>
    </xf>
    <xf numFmtId="3" fontId="4" fillId="0" borderId="8" xfId="4" applyNumberFormat="1" applyFont="1" applyBorder="1" applyAlignment="1">
      <alignment horizontal="center" vertical="center"/>
    </xf>
    <xf numFmtId="3" fontId="4" fillId="0" borderId="0" xfId="4" applyNumberFormat="1" applyFont="1" applyBorder="1"/>
    <xf numFmtId="0" fontId="11" fillId="0" borderId="6" xfId="1" applyNumberFormat="1" applyFont="1" applyFill="1" applyBorder="1" applyAlignment="1">
      <alignment horizontal="center" vertical="center" wrapText="1"/>
    </xf>
    <xf numFmtId="0" fontId="11" fillId="0" borderId="6" xfId="1" applyNumberFormat="1" applyFont="1" applyFill="1" applyBorder="1" applyAlignment="1">
      <alignment vertical="center" wrapText="1"/>
    </xf>
    <xf numFmtId="0" fontId="4" fillId="0" borderId="8" xfId="1" applyNumberFormat="1" applyFont="1" applyFill="1" applyBorder="1" applyAlignment="1">
      <alignment horizontal="center" vertical="center"/>
    </xf>
    <xf numFmtId="0" fontId="4" fillId="0" borderId="8" xfId="1" applyNumberFormat="1" applyFont="1" applyFill="1" applyBorder="1" applyAlignment="1">
      <alignment vertical="center" wrapText="1"/>
    </xf>
    <xf numFmtId="0" fontId="4" fillId="0" borderId="8" xfId="1" applyNumberFormat="1" applyFont="1" applyFill="1" applyBorder="1" applyAlignment="1">
      <alignment horizontal="center" vertical="center" wrapText="1"/>
    </xf>
    <xf numFmtId="0" fontId="4" fillId="0" borderId="8" xfId="1" applyNumberFormat="1" applyFont="1" applyFill="1" applyBorder="1" applyAlignment="1">
      <alignment horizontal="left" vertical="center" wrapText="1"/>
    </xf>
    <xf numFmtId="0" fontId="11" fillId="0" borderId="8" xfId="1" applyNumberFormat="1" applyFont="1" applyFill="1" applyBorder="1" applyAlignment="1">
      <alignment horizontal="center" vertical="center" wrapText="1"/>
    </xf>
    <xf numFmtId="0" fontId="11" fillId="0" borderId="8" xfId="1" applyNumberFormat="1" applyFont="1" applyFill="1" applyBorder="1" applyAlignment="1">
      <alignment horizontal="left" vertical="center" wrapText="1"/>
    </xf>
    <xf numFmtId="3" fontId="11" fillId="0" borderId="8" xfId="0" applyNumberFormat="1" applyFont="1" applyFill="1" applyBorder="1" applyAlignment="1">
      <alignment horizontal="center" vertical="center"/>
    </xf>
    <xf numFmtId="3" fontId="11" fillId="0" borderId="8" xfId="0" applyNumberFormat="1" applyFont="1" applyFill="1" applyBorder="1" applyAlignment="1">
      <alignment vertical="center" shrinkToFit="1"/>
    </xf>
    <xf numFmtId="38" fontId="11" fillId="0" borderId="6" xfId="0" applyNumberFormat="1" applyFont="1" applyFill="1" applyBorder="1" applyAlignment="1">
      <alignment vertical="center"/>
    </xf>
    <xf numFmtId="38" fontId="11" fillId="0" borderId="8" xfId="0" applyNumberFormat="1" applyFont="1" applyFill="1" applyBorder="1" applyAlignment="1">
      <alignment vertical="center"/>
    </xf>
    <xf numFmtId="38" fontId="11" fillId="0" borderId="8" xfId="0" applyNumberFormat="1" applyFont="1" applyFill="1" applyBorder="1" applyAlignment="1">
      <alignment vertical="center" shrinkToFit="1"/>
    </xf>
    <xf numFmtId="38" fontId="6" fillId="0" borderId="9" xfId="0" applyNumberFormat="1" applyFont="1" applyFill="1" applyBorder="1" applyAlignment="1">
      <alignment vertical="center" wrapText="1" shrinkToFit="1"/>
    </xf>
    <xf numFmtId="0" fontId="4" fillId="0" borderId="6" xfId="0" applyFont="1" applyBorder="1" applyAlignment="1">
      <alignment wrapText="1"/>
    </xf>
    <xf numFmtId="0" fontId="4" fillId="0" borderId="8" xfId="0" applyFont="1" applyBorder="1" applyAlignment="1">
      <alignment wrapText="1"/>
    </xf>
    <xf numFmtId="3" fontId="30" fillId="0" borderId="8" xfId="0" applyNumberFormat="1" applyFont="1" applyBorder="1" applyAlignment="1">
      <alignment horizontal="center" vertical="center"/>
    </xf>
    <xf numFmtId="3" fontId="30" fillId="0" borderId="0" xfId="0" applyNumberFormat="1" applyFont="1" applyAlignment="1">
      <alignment vertical="center" wrapText="1"/>
    </xf>
    <xf numFmtId="0" fontId="30" fillId="0" borderId="0" xfId="0" applyFont="1" applyAlignment="1">
      <alignment vertical="center" wrapText="1"/>
    </xf>
    <xf numFmtId="0" fontId="4" fillId="0" borderId="0" xfId="0" applyFont="1" applyAlignment="1">
      <alignment horizontal="center"/>
    </xf>
    <xf numFmtId="0" fontId="6" fillId="0" borderId="0" xfId="0" applyFont="1" applyAlignment="1">
      <alignment horizontal="center"/>
    </xf>
    <xf numFmtId="38" fontId="11" fillId="0" borderId="5" xfId="0" applyNumberFormat="1" applyFont="1" applyBorder="1"/>
    <xf numFmtId="38" fontId="13" fillId="0" borderId="8" xfId="0" applyNumberFormat="1" applyFont="1" applyBorder="1" applyAlignment="1">
      <alignment shrinkToFit="1"/>
    </xf>
    <xf numFmtId="38" fontId="19" fillId="0" borderId="8" xfId="0" applyNumberFormat="1" applyFont="1" applyBorder="1" applyAlignment="1">
      <alignment shrinkToFit="1"/>
    </xf>
    <xf numFmtId="38" fontId="13" fillId="0" borderId="18" xfId="0" applyNumberFormat="1" applyFont="1" applyBorder="1" applyAlignment="1">
      <alignment shrinkToFit="1"/>
    </xf>
    <xf numFmtId="38" fontId="4" fillId="0" borderId="8" xfId="0" applyNumberFormat="1" applyFont="1" applyBorder="1" applyAlignment="1">
      <alignment shrinkToFit="1"/>
    </xf>
    <xf numFmtId="38" fontId="11" fillId="0" borderId="6" xfId="0" applyNumberFormat="1" applyFont="1" applyBorder="1" applyAlignment="1">
      <alignment vertical="center"/>
    </xf>
    <xf numFmtId="38" fontId="6" fillId="0" borderId="8" xfId="0" applyNumberFormat="1" applyFont="1" applyBorder="1" applyAlignment="1">
      <alignment vertical="center"/>
    </xf>
    <xf numFmtId="38" fontId="4" fillId="0" borderId="8" xfId="0" applyNumberFormat="1" applyFont="1" applyBorder="1" applyAlignment="1">
      <alignment vertical="center"/>
    </xf>
    <xf numFmtId="38" fontId="19" fillId="0" borderId="8" xfId="0" applyNumberFormat="1" applyFont="1" applyBorder="1" applyAlignment="1">
      <alignment vertical="center"/>
    </xf>
    <xf numFmtId="38" fontId="11" fillId="0" borderId="8" xfId="0" applyNumberFormat="1" applyFont="1" applyBorder="1" applyAlignment="1">
      <alignment vertical="center"/>
    </xf>
    <xf numFmtId="38" fontId="41" fillId="0" borderId="8" xfId="0" applyNumberFormat="1" applyFont="1" applyBorder="1" applyAlignment="1">
      <alignment vertical="center"/>
    </xf>
    <xf numFmtId="38" fontId="38" fillId="0" borderId="8" xfId="0" applyNumberFormat="1" applyFont="1" applyBorder="1" applyAlignment="1">
      <alignment vertical="center"/>
    </xf>
    <xf numFmtId="38" fontId="11" fillId="0" borderId="8" xfId="0" applyNumberFormat="1" applyFont="1" applyBorder="1" applyAlignment="1">
      <alignment vertical="center" wrapText="1"/>
    </xf>
    <xf numFmtId="38" fontId="19" fillId="0" borderId="8" xfId="0" applyNumberFormat="1" applyFont="1" applyBorder="1" applyAlignment="1">
      <alignment vertical="center" wrapText="1"/>
    </xf>
    <xf numFmtId="38" fontId="6" fillId="0" borderId="8" xfId="0" applyNumberFormat="1" applyFont="1" applyBorder="1" applyAlignment="1">
      <alignment vertical="center" wrapText="1"/>
    </xf>
    <xf numFmtId="38" fontId="11" fillId="0" borderId="9" xfId="0" applyNumberFormat="1" applyFont="1" applyBorder="1" applyAlignment="1">
      <alignment vertical="center"/>
    </xf>
    <xf numFmtId="38" fontId="11" fillId="0" borderId="6" xfId="4" applyNumberFormat="1" applyFont="1" applyBorder="1" applyAlignment="1">
      <alignment vertical="center"/>
    </xf>
    <xf numFmtId="38" fontId="11" fillId="0" borderId="8" xfId="4" applyNumberFormat="1" applyFont="1" applyBorder="1" applyAlignment="1">
      <alignment vertical="center"/>
    </xf>
    <xf numFmtId="38" fontId="7" fillId="0" borderId="8" xfId="4" applyNumberFormat="1" applyFont="1" applyBorder="1" applyAlignment="1">
      <alignment vertical="center"/>
    </xf>
    <xf numFmtId="38" fontId="7" fillId="0" borderId="8" xfId="4" applyNumberFormat="1" applyFont="1" applyBorder="1" applyAlignment="1">
      <alignment vertical="center" shrinkToFit="1"/>
    </xf>
    <xf numFmtId="38" fontId="4" fillId="0" borderId="8" xfId="4" applyNumberFormat="1" applyFont="1" applyBorder="1" applyAlignment="1">
      <alignment vertical="center"/>
    </xf>
    <xf numFmtId="38" fontId="11" fillId="0" borderId="8" xfId="4" applyNumberFormat="1" applyFont="1" applyBorder="1" applyAlignment="1">
      <alignment vertical="center" shrinkToFit="1"/>
    </xf>
    <xf numFmtId="38" fontId="6" fillId="0" borderId="8" xfId="4" applyNumberFormat="1" applyFont="1" applyBorder="1" applyAlignment="1">
      <alignment vertical="center" shrinkToFit="1"/>
    </xf>
    <xf numFmtId="38" fontId="6" fillId="0" borderId="8" xfId="4" applyNumberFormat="1" applyFont="1" applyBorder="1" applyAlignment="1">
      <alignment vertical="center"/>
    </xf>
    <xf numFmtId="38" fontId="6" fillId="0" borderId="9" xfId="4" applyNumberFormat="1" applyFont="1" applyBorder="1" applyAlignment="1">
      <alignment vertical="center"/>
    </xf>
    <xf numFmtId="38" fontId="38" fillId="0" borderId="8" xfId="0" applyNumberFormat="1" applyFont="1" applyBorder="1" applyAlignment="1">
      <alignment vertical="center" shrinkToFit="1"/>
    </xf>
    <xf numFmtId="38" fontId="7" fillId="0" borderId="8" xfId="0" applyNumberFormat="1" applyFont="1" applyBorder="1" applyAlignment="1">
      <alignment vertical="center" shrinkToFit="1"/>
    </xf>
    <xf numFmtId="38" fontId="11" fillId="0" borderId="9" xfId="4" applyNumberFormat="1" applyFont="1" applyBorder="1" applyAlignment="1">
      <alignment vertical="center"/>
    </xf>
    <xf numFmtId="38" fontId="19" fillId="0" borderId="9" xfId="0" applyNumberFormat="1" applyFont="1" applyBorder="1" applyAlignment="1">
      <alignment vertical="center"/>
    </xf>
    <xf numFmtId="38" fontId="7" fillId="0" borderId="6" xfId="0" applyNumberFormat="1" applyFont="1" applyBorder="1" applyAlignment="1">
      <alignment vertical="center" shrinkToFit="1"/>
    </xf>
    <xf numFmtId="38" fontId="7" fillId="2" borderId="6" xfId="0" applyNumberFormat="1" applyFont="1" applyFill="1" applyBorder="1" applyAlignment="1">
      <alignment vertical="center" shrinkToFit="1"/>
    </xf>
    <xf numFmtId="38" fontId="7" fillId="0" borderId="6" xfId="0" applyNumberFormat="1" applyFont="1" applyBorder="1" applyAlignment="1">
      <alignment horizontal="right" vertical="center" shrinkToFit="1"/>
    </xf>
    <xf numFmtId="38" fontId="7" fillId="2" borderId="8" xfId="0" applyNumberFormat="1" applyFont="1" applyFill="1" applyBorder="1" applyAlignment="1">
      <alignment vertical="center" shrinkToFit="1"/>
    </xf>
    <xf numFmtId="38" fontId="7" fillId="0" borderId="9" xfId="0" applyNumberFormat="1" applyFont="1" applyBorder="1" applyAlignment="1">
      <alignment vertical="center" shrinkToFit="1"/>
    </xf>
    <xf numFmtId="38" fontId="7" fillId="2" borderId="9" xfId="0" applyNumberFormat="1" applyFont="1" applyFill="1" applyBorder="1" applyAlignment="1">
      <alignment vertical="center" shrinkToFit="1"/>
    </xf>
    <xf numFmtId="38" fontId="6" fillId="2" borderId="5" xfId="0" applyNumberFormat="1" applyFont="1" applyFill="1" applyBorder="1" applyAlignment="1">
      <alignment vertical="center" shrinkToFit="1"/>
    </xf>
    <xf numFmtId="38" fontId="28" fillId="0" borderId="6" xfId="0" applyNumberFormat="1" applyFont="1" applyBorder="1" applyAlignment="1">
      <alignment shrinkToFit="1"/>
    </xf>
    <xf numFmtId="38" fontId="28" fillId="0" borderId="8" xfId="0" applyNumberFormat="1" applyFont="1" applyBorder="1" applyAlignment="1">
      <alignment shrinkToFit="1"/>
    </xf>
    <xf numFmtId="38" fontId="20" fillId="0" borderId="8" xfId="0" applyNumberFormat="1" applyFont="1" applyBorder="1" applyAlignment="1">
      <alignment shrinkToFit="1"/>
    </xf>
    <xf numFmtId="38" fontId="23" fillId="0" borderId="8" xfId="0" applyNumberFormat="1" applyFont="1" applyBorder="1" applyAlignment="1">
      <alignment shrinkToFit="1"/>
    </xf>
    <xf numFmtId="38" fontId="45" fillId="0" borderId="8" xfId="0" applyNumberFormat="1" applyFont="1" applyBorder="1" applyAlignment="1">
      <alignment shrinkToFit="1"/>
    </xf>
    <xf numFmtId="38" fontId="42" fillId="0" borderId="8" xfId="0" applyNumberFormat="1" applyFont="1" applyBorder="1" applyAlignment="1">
      <alignment shrinkToFit="1"/>
    </xf>
    <xf numFmtId="38" fontId="23" fillId="0" borderId="8" xfId="0" applyNumberFormat="1" applyFont="1" applyBorder="1"/>
    <xf numFmtId="38" fontId="42" fillId="0" borderId="8" xfId="0" applyNumberFormat="1" applyFont="1" applyBorder="1"/>
    <xf numFmtId="0" fontId="34" fillId="0" borderId="0" xfId="0" applyFont="1" applyFill="1"/>
    <xf numFmtId="0" fontId="6" fillId="0" borderId="0" xfId="0" applyFont="1" applyFill="1" applyAlignment="1">
      <alignment horizontal="right"/>
    </xf>
    <xf numFmtId="0" fontId="11" fillId="0" borderId="0" xfId="0" applyFont="1" applyFill="1"/>
    <xf numFmtId="0" fontId="54" fillId="0" borderId="0" xfId="0" applyFont="1" applyFill="1"/>
    <xf numFmtId="0" fontId="4" fillId="0" borderId="6" xfId="0" applyFont="1" applyBorder="1" applyAlignment="1">
      <alignment horizontal="center" vertical="center"/>
    </xf>
    <xf numFmtId="0" fontId="28" fillId="0" borderId="6" xfId="0" applyFont="1" applyBorder="1" applyAlignment="1">
      <alignment horizontal="center" shrinkToFit="1"/>
    </xf>
    <xf numFmtId="38" fontId="28" fillId="0" borderId="8" xfId="0" applyNumberFormat="1" applyFont="1" applyBorder="1"/>
    <xf numFmtId="38" fontId="28" fillId="0" borderId="9" xfId="0" applyNumberFormat="1" applyFont="1" applyBorder="1"/>
    <xf numFmtId="0" fontId="28" fillId="0" borderId="8" xfId="0" applyFont="1" applyBorder="1"/>
    <xf numFmtId="0" fontId="28" fillId="0" borderId="9" xfId="0" applyFont="1" applyBorder="1"/>
    <xf numFmtId="38" fontId="25" fillId="0" borderId="8" xfId="5" applyNumberFormat="1" applyFont="1" applyFill="1" applyBorder="1" applyAlignment="1">
      <alignment vertical="center" wrapText="1"/>
    </xf>
    <xf numFmtId="0" fontId="25" fillId="0" borderId="8" xfId="5" applyFont="1" applyFill="1" applyBorder="1" applyAlignment="1">
      <alignment horizontal="center" vertical="center" wrapText="1"/>
    </xf>
    <xf numFmtId="0" fontId="25" fillId="0" borderId="8" xfId="5" applyFont="1" applyFill="1" applyBorder="1" applyAlignment="1">
      <alignment vertical="center" wrapText="1"/>
    </xf>
    <xf numFmtId="0" fontId="25" fillId="0" borderId="0" xfId="0" applyFont="1" applyFill="1"/>
    <xf numFmtId="0" fontId="24" fillId="0" borderId="0" xfId="0" applyFont="1" applyFill="1" applyAlignment="1">
      <alignment horizontal="right"/>
    </xf>
    <xf numFmtId="0" fontId="24" fillId="0" borderId="0" xfId="0" applyFont="1" applyFill="1" applyAlignment="1">
      <alignment horizontal="center" vertical="center" wrapText="1"/>
    </xf>
    <xf numFmtId="0" fontId="24" fillId="0" borderId="5" xfId="5" applyFont="1" applyFill="1" applyBorder="1" applyAlignment="1">
      <alignment horizontal="center" vertical="center" wrapText="1" shrinkToFit="1"/>
    </xf>
    <xf numFmtId="0" fontId="27" fillId="0" borderId="6" xfId="5" applyFont="1" applyFill="1" applyBorder="1" applyAlignment="1">
      <alignment horizontal="center" vertical="center" wrapText="1"/>
    </xf>
    <xf numFmtId="0" fontId="27" fillId="0" borderId="6" xfId="5" applyFont="1" applyFill="1" applyBorder="1" applyAlignment="1">
      <alignment vertical="center" wrapText="1"/>
    </xf>
    <xf numFmtId="38" fontId="27" fillId="0" borderId="6" xfId="5" applyNumberFormat="1" applyFont="1" applyFill="1" applyBorder="1" applyAlignment="1">
      <alignment vertical="center"/>
    </xf>
    <xf numFmtId="38" fontId="25" fillId="0" borderId="8" xfId="5" applyNumberFormat="1" applyFont="1" applyFill="1" applyBorder="1" applyAlignment="1">
      <alignment vertical="center"/>
    </xf>
    <xf numFmtId="0" fontId="25" fillId="0" borderId="8" xfId="5" applyFont="1" applyFill="1" applyBorder="1" applyAlignment="1">
      <alignment vertical="center" shrinkToFit="1"/>
    </xf>
    <xf numFmtId="0" fontId="27" fillId="0" borderId="8" xfId="5" applyFont="1" applyFill="1" applyBorder="1" applyAlignment="1">
      <alignment horizontal="center" vertical="center" shrinkToFit="1"/>
    </xf>
    <xf numFmtId="0" fontId="27" fillId="0" borderId="8" xfId="5" applyFont="1" applyFill="1" applyBorder="1" applyAlignment="1">
      <alignment vertical="center" shrinkToFit="1"/>
    </xf>
    <xf numFmtId="38" fontId="27" fillId="0" borderId="8" xfId="5" applyNumberFormat="1" applyFont="1" applyFill="1" applyBorder="1" applyAlignment="1">
      <alignment vertical="center"/>
    </xf>
    <xf numFmtId="0" fontId="27" fillId="0" borderId="8" xfId="5" applyFont="1" applyFill="1" applyBorder="1" applyAlignment="1">
      <alignment horizontal="center" vertical="center" wrapText="1"/>
    </xf>
    <xf numFmtId="0" fontId="27" fillId="0" borderId="8" xfId="5" applyFont="1" applyFill="1" applyBorder="1" applyAlignment="1">
      <alignment vertical="center" wrapText="1"/>
    </xf>
    <xf numFmtId="0" fontId="25" fillId="0" borderId="8" xfId="5" applyFont="1" applyFill="1" applyBorder="1" applyAlignment="1">
      <alignment horizontal="center" vertical="center" shrinkToFit="1"/>
    </xf>
    <xf numFmtId="0" fontId="24" fillId="0" borderId="8" xfId="5" applyFont="1" applyFill="1" applyBorder="1" applyAlignment="1">
      <alignment horizontal="center" vertical="center" wrapText="1"/>
    </xf>
    <xf numFmtId="38" fontId="24" fillId="0" borderId="8" xfId="5" applyNumberFormat="1" applyFont="1" applyFill="1" applyBorder="1" applyAlignment="1">
      <alignment vertical="center" wrapText="1"/>
    </xf>
    <xf numFmtId="0" fontId="24" fillId="0" borderId="0" xfId="0" applyFont="1" applyFill="1"/>
    <xf numFmtId="0" fontId="24" fillId="0" borderId="8" xfId="5" applyFont="1" applyFill="1" applyBorder="1" applyAlignment="1">
      <alignment vertical="center" wrapText="1"/>
    </xf>
    <xf numFmtId="38" fontId="27" fillId="0" borderId="8" xfId="5" applyNumberFormat="1" applyFont="1" applyFill="1" applyBorder="1" applyAlignment="1">
      <alignment vertical="center" wrapText="1"/>
    </xf>
    <xf numFmtId="0" fontId="27" fillId="0" borderId="0" xfId="0" applyFont="1" applyFill="1"/>
    <xf numFmtId="0" fontId="24" fillId="0" borderId="8" xfId="5" applyFont="1" applyFill="1" applyBorder="1" applyAlignment="1">
      <alignment horizontal="center" vertical="center" shrinkToFit="1"/>
    </xf>
    <xf numFmtId="0" fontId="4" fillId="0" borderId="0" xfId="0" applyFont="1" applyAlignment="1">
      <alignment horizontal="center"/>
    </xf>
    <xf numFmtId="0" fontId="6" fillId="0" borderId="5" xfId="0" applyFont="1" applyBorder="1" applyAlignment="1">
      <alignment horizontal="center" vertical="center" wrapText="1"/>
    </xf>
    <xf numFmtId="0" fontId="6" fillId="0" borderId="0" xfId="0" applyFont="1" applyAlignment="1">
      <alignment horizontal="center"/>
    </xf>
    <xf numFmtId="0" fontId="6" fillId="0" borderId="5" xfId="0" applyFont="1" applyBorder="1" applyAlignment="1">
      <alignment horizontal="center" vertical="center"/>
    </xf>
    <xf numFmtId="0" fontId="6" fillId="0" borderId="0" xfId="0" applyFont="1" applyAlignment="1">
      <alignment horizontal="center" vertical="center"/>
    </xf>
    <xf numFmtId="3" fontId="4" fillId="0" borderId="0" xfId="0" applyNumberFormat="1" applyFont="1" applyBorder="1" applyAlignment="1">
      <alignment horizontal="center"/>
    </xf>
    <xf numFmtId="3" fontId="6" fillId="0" borderId="7" xfId="0" applyNumberFormat="1" applyFont="1" applyBorder="1" applyAlignment="1">
      <alignment horizontal="center" vertical="center" shrinkToFit="1"/>
    </xf>
    <xf numFmtId="3" fontId="6" fillId="0" borderId="0" xfId="0" applyNumberFormat="1" applyFont="1" applyBorder="1" applyAlignment="1">
      <alignment horizontal="center" vertical="center" wrapText="1"/>
    </xf>
    <xf numFmtId="3" fontId="39" fillId="0" borderId="0" xfId="0" applyNumberFormat="1" applyFont="1" applyBorder="1"/>
    <xf numFmtId="171" fontId="4" fillId="0" borderId="8" xfId="0" applyNumberFormat="1" applyFont="1" applyBorder="1" applyAlignment="1">
      <alignment vertical="center" shrinkToFit="1"/>
    </xf>
    <xf numFmtId="3" fontId="20" fillId="0" borderId="5" xfId="0" applyNumberFormat="1" applyFont="1" applyBorder="1" applyAlignment="1">
      <alignment horizontal="center" vertical="center" wrapText="1"/>
    </xf>
    <xf numFmtId="3" fontId="20" fillId="0" borderId="7" xfId="0" applyNumberFormat="1" applyFont="1" applyBorder="1" applyAlignment="1">
      <alignment horizontal="center" vertical="center" shrinkToFit="1"/>
    </xf>
    <xf numFmtId="43" fontId="20" fillId="0" borderId="5" xfId="1" applyFont="1" applyBorder="1" applyAlignment="1">
      <alignment horizontal="center" vertical="center" shrinkToFit="1"/>
    </xf>
    <xf numFmtId="171" fontId="11" fillId="0" borderId="6" xfId="0" applyNumberFormat="1" applyFont="1" applyBorder="1" applyAlignment="1">
      <alignment shrinkToFit="1"/>
    </xf>
    <xf numFmtId="43" fontId="11" fillId="0" borderId="6" xfId="1" applyFont="1" applyBorder="1" applyAlignment="1">
      <alignment shrinkToFit="1"/>
    </xf>
    <xf numFmtId="43" fontId="11" fillId="0" borderId="8" xfId="1" applyFont="1" applyBorder="1" applyAlignment="1">
      <alignment shrinkToFit="1"/>
    </xf>
    <xf numFmtId="171" fontId="11" fillId="0" borderId="8" xfId="0" applyNumberFormat="1" applyFont="1" applyBorder="1" applyAlignment="1">
      <alignment shrinkToFit="1"/>
    </xf>
    <xf numFmtId="43" fontId="6" fillId="0" borderId="8" xfId="1" applyFont="1" applyBorder="1" applyAlignment="1">
      <alignment shrinkToFit="1"/>
    </xf>
    <xf numFmtId="171" fontId="6" fillId="0" borderId="8" xfId="0" applyNumberFormat="1" applyFont="1" applyBorder="1" applyAlignment="1">
      <alignment shrinkToFit="1"/>
    </xf>
    <xf numFmtId="3" fontId="6" fillId="0" borderId="8" xfId="0" applyNumberFormat="1" applyFont="1" applyBorder="1"/>
    <xf numFmtId="3" fontId="4" fillId="0" borderId="8" xfId="0" applyNumberFormat="1" applyFont="1" applyBorder="1"/>
    <xf numFmtId="43" fontId="4" fillId="0" borderId="8" xfId="1" applyFont="1" applyBorder="1"/>
    <xf numFmtId="171" fontId="11" fillId="0" borderId="9" xfId="0" applyNumberFormat="1" applyFont="1" applyBorder="1" applyAlignment="1">
      <alignment shrinkToFit="1"/>
    </xf>
    <xf numFmtId="43" fontId="11" fillId="0" borderId="9" xfId="1" applyFont="1" applyBorder="1" applyAlignment="1">
      <alignment shrinkToFit="1"/>
    </xf>
    <xf numFmtId="3" fontId="6" fillId="0" borderId="5" xfId="0" applyNumberFormat="1" applyFont="1" applyBorder="1" applyAlignment="1">
      <alignment horizontal="center"/>
    </xf>
    <xf numFmtId="0" fontId="11" fillId="0" borderId="6" xfId="0" applyFont="1" applyBorder="1" applyAlignment="1">
      <alignment horizontal="center"/>
    </xf>
    <xf numFmtId="0" fontId="11" fillId="0" borderId="8" xfId="0" applyFont="1" applyBorder="1" applyAlignment="1">
      <alignment horizontal="center"/>
    </xf>
    <xf numFmtId="0" fontId="11" fillId="0" borderId="8" xfId="0" applyFont="1" applyBorder="1"/>
    <xf numFmtId="0" fontId="19" fillId="0" borderId="8" xfId="0" applyFont="1" applyBorder="1"/>
    <xf numFmtId="0" fontId="6" fillId="0" borderId="9" xfId="0" applyFont="1" applyBorder="1" applyAlignment="1">
      <alignment horizontal="center"/>
    </xf>
    <xf numFmtId="0" fontId="58" fillId="0" borderId="0" xfId="13" applyFont="1" applyFill="1"/>
    <xf numFmtId="0" fontId="57" fillId="0" borderId="0" xfId="13" applyNumberFormat="1" applyFont="1" applyFill="1" applyAlignment="1">
      <alignment horizontal="center" vertical="center"/>
    </xf>
    <xf numFmtId="0" fontId="58" fillId="0" borderId="0" xfId="13" applyNumberFormat="1" applyFont="1" applyFill="1" applyAlignment="1">
      <alignment horizontal="right" vertical="center"/>
    </xf>
    <xf numFmtId="0" fontId="58" fillId="0" borderId="0" xfId="13" applyNumberFormat="1" applyFont="1" applyFill="1" applyAlignment="1">
      <alignment horizontal="center" vertical="center"/>
    </xf>
    <xf numFmtId="0" fontId="58" fillId="0" borderId="0" xfId="13" applyFont="1" applyFill="1" applyAlignment="1">
      <alignment horizontal="center" vertical="center"/>
    </xf>
    <xf numFmtId="170" fontId="57" fillId="0" borderId="6" xfId="1" applyNumberFormat="1" applyFont="1" applyFill="1" applyBorder="1" applyAlignment="1">
      <alignment vertical="center" shrinkToFit="1"/>
    </xf>
    <xf numFmtId="0" fontId="57" fillId="0" borderId="0" xfId="13" applyFont="1" applyFill="1" applyAlignment="1">
      <alignment horizontal="center" vertical="center"/>
    </xf>
    <xf numFmtId="0" fontId="60" fillId="0" borderId="0" xfId="13" applyFont="1" applyFill="1" applyAlignment="1">
      <alignment horizontal="center" vertical="center"/>
    </xf>
    <xf numFmtId="0" fontId="57" fillId="0" borderId="0" xfId="13" applyFont="1" applyFill="1"/>
    <xf numFmtId="0" fontId="60" fillId="0" borderId="0" xfId="13" applyFont="1" applyFill="1"/>
    <xf numFmtId="0" fontId="58" fillId="0" borderId="0" xfId="13" applyFont="1" applyFill="1" applyAlignment="1">
      <alignment horizontal="right"/>
    </xf>
    <xf numFmtId="0" fontId="58" fillId="0" borderId="0" xfId="13" applyFont="1" applyFill="1" applyAlignment="1">
      <alignment horizontal="right" vertical="center"/>
    </xf>
    <xf numFmtId="0" fontId="57" fillId="0" borderId="0" xfId="13" applyFont="1" applyFill="1" applyAlignment="1">
      <alignment horizontal="right"/>
    </xf>
    <xf numFmtId="0" fontId="4" fillId="0" borderId="0" xfId="0" applyFont="1" applyAlignment="1"/>
    <xf numFmtId="0" fontId="6" fillId="0" borderId="5" xfId="0" applyFont="1" applyBorder="1" applyAlignment="1">
      <alignment horizontal="center" vertical="center" wrapText="1" shrinkToFit="1"/>
    </xf>
    <xf numFmtId="0" fontId="19" fillId="0" borderId="6" xfId="0" applyFont="1" applyBorder="1" applyAlignment="1">
      <alignment horizontal="center" shrinkToFit="1"/>
    </xf>
    <xf numFmtId="3" fontId="6" fillId="0" borderId="6" xfId="0" applyNumberFormat="1" applyFont="1" applyBorder="1"/>
    <xf numFmtId="4" fontId="6" fillId="0" borderId="6" xfId="0" applyNumberFormat="1" applyFont="1" applyBorder="1" applyAlignment="1">
      <alignment horizontal="center"/>
    </xf>
    <xf numFmtId="0" fontId="19" fillId="0" borderId="8" xfId="0" applyFont="1" applyBorder="1" applyAlignment="1">
      <alignment horizontal="center" shrinkToFit="1"/>
    </xf>
    <xf numFmtId="4" fontId="6" fillId="0" borderId="8" xfId="0" applyNumberFormat="1" applyFont="1" applyBorder="1" applyAlignment="1">
      <alignment horizontal="center"/>
    </xf>
    <xf numFmtId="4" fontId="4" fillId="0" borderId="8" xfId="0" applyNumberFormat="1" applyFont="1" applyBorder="1" applyAlignment="1">
      <alignment horizontal="center"/>
    </xf>
    <xf numFmtId="0" fontId="19" fillId="0" borderId="9" xfId="0" applyFont="1" applyBorder="1" applyAlignment="1">
      <alignment horizontal="center" shrinkToFit="1"/>
    </xf>
    <xf numFmtId="43" fontId="4" fillId="0" borderId="9" xfId="1" applyFont="1" applyBorder="1"/>
    <xf numFmtId="4" fontId="4" fillId="0" borderId="9" xfId="0" applyNumberFormat="1" applyFont="1" applyBorder="1" applyAlignment="1">
      <alignment horizontal="center"/>
    </xf>
    <xf numFmtId="0" fontId="61" fillId="0" borderId="0" xfId="0" applyFont="1" applyAlignment="1">
      <alignment vertical="center"/>
    </xf>
    <xf numFmtId="0" fontId="62" fillId="0" borderId="0" xfId="0" applyFont="1"/>
    <xf numFmtId="0" fontId="14" fillId="0" borderId="32" xfId="0" applyFont="1" applyFill="1" applyBorder="1" applyAlignment="1">
      <alignment horizontal="center" vertical="center" wrapText="1"/>
    </xf>
    <xf numFmtId="0" fontId="15" fillId="0" borderId="32" xfId="0" applyFont="1" applyFill="1" applyBorder="1" applyAlignment="1">
      <alignment vertical="center" wrapText="1"/>
    </xf>
    <xf numFmtId="0" fontId="15" fillId="0" borderId="32" xfId="0" applyFont="1" applyFill="1" applyBorder="1" applyAlignment="1">
      <alignment horizontal="center" vertical="center" shrinkToFit="1"/>
    </xf>
    <xf numFmtId="0" fontId="64" fillId="0" borderId="0" xfId="0" applyFont="1"/>
    <xf numFmtId="0" fontId="62" fillId="0" borderId="0" xfId="0" applyFont="1" applyBorder="1"/>
    <xf numFmtId="0" fontId="12" fillId="3" borderId="30" xfId="0" applyFont="1" applyFill="1" applyBorder="1" applyAlignment="1">
      <alignment horizontal="center" vertical="center" shrinkToFit="1"/>
    </xf>
    <xf numFmtId="0" fontId="14" fillId="0" borderId="31" xfId="0" applyFont="1" applyFill="1" applyBorder="1" applyAlignment="1">
      <alignment horizontal="center" vertical="center" wrapText="1"/>
    </xf>
    <xf numFmtId="0" fontId="15" fillId="0" borderId="31" xfId="0" applyFont="1" applyFill="1" applyBorder="1" applyAlignment="1">
      <alignment vertical="center" wrapText="1"/>
    </xf>
    <xf numFmtId="172" fontId="15" fillId="0" borderId="32" xfId="14" applyNumberFormat="1" applyFont="1" applyFill="1" applyBorder="1" applyAlignment="1">
      <alignment vertical="center" shrinkToFit="1"/>
    </xf>
    <xf numFmtId="0" fontId="63" fillId="0" borderId="32" xfId="0" applyFont="1" applyFill="1" applyBorder="1" applyAlignment="1">
      <alignment vertical="center" wrapText="1"/>
    </xf>
    <xf numFmtId="0" fontId="65" fillId="0" borderId="0" xfId="0" applyFont="1" applyBorder="1"/>
    <xf numFmtId="0" fontId="6" fillId="0" borderId="5" xfId="7" applyFont="1" applyFill="1" applyBorder="1" applyAlignment="1">
      <alignment horizontal="center" vertical="center" shrinkToFit="1"/>
    </xf>
    <xf numFmtId="0" fontId="6" fillId="0" borderId="2" xfId="7" applyFont="1" applyFill="1" applyBorder="1" applyAlignment="1">
      <alignment horizontal="center" vertical="center" shrinkToFit="1"/>
    </xf>
    <xf numFmtId="0" fontId="52" fillId="0" borderId="5" xfId="7" applyFont="1" applyBorder="1" applyAlignment="1">
      <alignment vertical="center" wrapText="1"/>
    </xf>
    <xf numFmtId="0" fontId="52" fillId="0" borderId="5" xfId="7" applyFont="1" applyBorder="1"/>
    <xf numFmtId="0" fontId="52" fillId="0" borderId="5" xfId="7" applyFont="1" applyBorder="1" applyAlignment="1">
      <alignment horizontal="right"/>
    </xf>
    <xf numFmtId="0" fontId="4" fillId="0" borderId="11" xfId="1" applyNumberFormat="1" applyFont="1" applyFill="1" applyBorder="1" applyAlignment="1">
      <alignment horizontal="center" vertical="center" wrapText="1"/>
    </xf>
    <xf numFmtId="0" fontId="4" fillId="0" borderId="11" xfId="1" applyNumberFormat="1" applyFont="1" applyFill="1" applyBorder="1" applyAlignment="1">
      <alignment vertical="center" wrapText="1"/>
    </xf>
    <xf numFmtId="0" fontId="51" fillId="0" borderId="0" xfId="7" applyFont="1" applyAlignment="1">
      <alignment horizontal="center"/>
    </xf>
    <xf numFmtId="169" fontId="11" fillId="0" borderId="6" xfId="1" applyNumberFormat="1" applyFont="1" applyFill="1" applyBorder="1" applyAlignment="1">
      <alignment vertical="center" shrinkToFit="1"/>
    </xf>
    <xf numFmtId="169" fontId="4" fillId="0" borderId="8" xfId="1" applyNumberFormat="1" applyFont="1" applyFill="1" applyBorder="1" applyAlignment="1">
      <alignment vertical="center" shrinkToFit="1"/>
    </xf>
    <xf numFmtId="169" fontId="11" fillId="0" borderId="8" xfId="1" applyNumberFormat="1" applyFont="1" applyFill="1" applyBorder="1" applyAlignment="1">
      <alignment vertical="center" shrinkToFit="1"/>
    </xf>
    <xf numFmtId="169" fontId="4" fillId="0" borderId="11" xfId="1" applyNumberFormat="1" applyFont="1" applyFill="1" applyBorder="1" applyAlignment="1">
      <alignment vertical="center" shrinkToFit="1"/>
    </xf>
    <xf numFmtId="169" fontId="6" fillId="0" borderId="5" xfId="1" applyNumberFormat="1" applyFont="1" applyFill="1" applyBorder="1" applyAlignment="1">
      <alignment vertical="center" shrinkToFit="1"/>
    </xf>
    <xf numFmtId="169" fontId="52" fillId="0" borderId="0" xfId="7" applyNumberFormat="1" applyFont="1"/>
    <xf numFmtId="169" fontId="11" fillId="0" borderId="6" xfId="0" applyNumberFormat="1" applyFont="1" applyBorder="1" applyAlignment="1">
      <alignment vertical="center" shrinkToFit="1"/>
    </xf>
    <xf numFmtId="169" fontId="11" fillId="0" borderId="10" xfId="0" applyNumberFormat="1" applyFont="1" applyBorder="1" applyAlignment="1">
      <alignment vertical="center" shrinkToFit="1"/>
    </xf>
    <xf numFmtId="169" fontId="13" fillId="0" borderId="8" xfId="0" applyNumberFormat="1" applyFont="1" applyBorder="1" applyAlignment="1">
      <alignment vertical="center" shrinkToFit="1"/>
    </xf>
    <xf numFmtId="169" fontId="4" fillId="0" borderId="8" xfId="0" applyNumberFormat="1" applyFont="1" applyBorder="1" applyAlignment="1">
      <alignment vertical="center" shrinkToFit="1"/>
    </xf>
    <xf numFmtId="169" fontId="4" fillId="0" borderId="8" xfId="0" applyNumberFormat="1" applyFont="1" applyFill="1" applyBorder="1" applyAlignment="1">
      <alignment horizontal="right" vertical="center" shrinkToFit="1"/>
    </xf>
    <xf numFmtId="169" fontId="4" fillId="0" borderId="8" xfId="0" applyNumberFormat="1" applyFont="1" applyBorder="1" applyAlignment="1">
      <alignment horizontal="right" vertical="center" shrinkToFit="1"/>
    </xf>
    <xf numFmtId="169" fontId="4" fillId="0" borderId="8" xfId="0" applyNumberFormat="1" applyFont="1" applyFill="1" applyBorder="1" applyAlignment="1">
      <alignment vertical="center" shrinkToFit="1"/>
    </xf>
    <xf numFmtId="169" fontId="13" fillId="0" borderId="9" xfId="0" applyNumberFormat="1" applyFont="1" applyBorder="1" applyAlignment="1">
      <alignment vertical="center" shrinkToFit="1"/>
    </xf>
    <xf numFmtId="169" fontId="13" fillId="0" borderId="8" xfId="0" applyNumberFormat="1" applyFont="1" applyBorder="1" applyAlignment="1">
      <alignment horizontal="right" shrinkToFit="1"/>
    </xf>
    <xf numFmtId="169" fontId="13" fillId="0" borderId="6" xfId="0" applyNumberFormat="1" applyFont="1" applyBorder="1" applyAlignment="1">
      <alignment vertical="center" shrinkToFit="1"/>
    </xf>
    <xf numFmtId="169" fontId="29" fillId="0" borderId="6" xfId="0" applyNumberFormat="1" applyFont="1" applyBorder="1" applyAlignment="1">
      <alignment vertical="center" shrinkToFit="1"/>
    </xf>
    <xf numFmtId="169" fontId="30" fillId="0" borderId="6" xfId="0" applyNumberFormat="1" applyFont="1" applyBorder="1" applyAlignment="1">
      <alignment vertical="center" shrinkToFit="1"/>
    </xf>
    <xf numFmtId="169" fontId="6" fillId="0" borderId="8" xfId="0" applyNumberFormat="1" applyFont="1" applyBorder="1" applyAlignment="1">
      <alignment vertical="center" shrinkToFit="1"/>
    </xf>
    <xf numFmtId="169" fontId="11" fillId="0" borderId="8" xfId="0" applyNumberFormat="1" applyFont="1" applyBorder="1" applyAlignment="1">
      <alignment vertical="center" shrinkToFit="1"/>
    </xf>
    <xf numFmtId="169" fontId="11" fillId="0" borderId="9" xfId="0" applyNumberFormat="1" applyFont="1" applyBorder="1" applyAlignment="1">
      <alignment vertical="center" shrinkToFit="1"/>
    </xf>
    <xf numFmtId="169" fontId="4" fillId="0" borderId="6" xfId="1" applyNumberFormat="1" applyFont="1" applyBorder="1" applyAlignment="1">
      <alignment shrinkToFit="1"/>
    </xf>
    <xf numFmtId="169" fontId="4" fillId="0" borderId="8" xfId="1" applyNumberFormat="1" applyFont="1" applyBorder="1" applyAlignment="1">
      <alignment shrinkToFit="1"/>
    </xf>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1" xfId="0" applyNumberFormat="1" applyFont="1" applyBorder="1" applyAlignment="1">
      <alignment horizontal="right"/>
    </xf>
    <xf numFmtId="169" fontId="28" fillId="0" borderId="6" xfId="6" applyNumberFormat="1" applyFont="1" applyFill="1" applyBorder="1" applyAlignment="1">
      <alignment horizontal="right" shrinkToFit="1"/>
    </xf>
    <xf numFmtId="169" fontId="28" fillId="0" borderId="8" xfId="1" applyNumberFormat="1" applyFont="1" applyFill="1" applyBorder="1" applyAlignment="1">
      <alignment horizontal="right" shrinkToFit="1"/>
    </xf>
    <xf numFmtId="169" fontId="28" fillId="0" borderId="8" xfId="6" applyNumberFormat="1" applyFont="1" applyFill="1" applyBorder="1" applyAlignment="1">
      <alignment horizontal="right" shrinkToFit="1"/>
    </xf>
    <xf numFmtId="169" fontId="23" fillId="0" borderId="8" xfId="6" applyNumberFormat="1" applyFont="1" applyFill="1" applyBorder="1" applyAlignment="1">
      <alignment horizontal="right" shrinkToFit="1"/>
    </xf>
    <xf numFmtId="169" fontId="23" fillId="0" borderId="8" xfId="1" applyNumberFormat="1" applyFont="1" applyFill="1" applyBorder="1" applyAlignment="1">
      <alignment horizontal="right" shrinkToFit="1"/>
    </xf>
    <xf numFmtId="169" fontId="23" fillId="0" borderId="8" xfId="0" applyNumberFormat="1" applyFont="1" applyFill="1" applyBorder="1" applyAlignment="1">
      <alignment horizontal="right" shrinkToFit="1"/>
    </xf>
    <xf numFmtId="169" fontId="28" fillId="0" borderId="16" xfId="6" applyNumberFormat="1" applyFont="1" applyFill="1" applyBorder="1" applyAlignment="1">
      <alignment horizontal="right" shrinkToFit="1"/>
    </xf>
    <xf numFmtId="169" fontId="28" fillId="0" borderId="16" xfId="1" applyNumberFormat="1" applyFont="1" applyFill="1" applyBorder="1" applyAlignment="1">
      <alignment horizontal="right" shrinkToFit="1"/>
    </xf>
    <xf numFmtId="169" fontId="11" fillId="0" borderId="6" xfId="0" applyNumberFormat="1" applyFont="1" applyBorder="1" applyAlignment="1">
      <alignment shrinkToFit="1"/>
    </xf>
    <xf numFmtId="169" fontId="11" fillId="0" borderId="8" xfId="0" applyNumberFormat="1" applyFont="1" applyBorder="1" applyAlignment="1">
      <alignment shrinkToFit="1"/>
    </xf>
    <xf numFmtId="169" fontId="40" fillId="0" borderId="8" xfId="0" applyNumberFormat="1" applyFont="1" applyFill="1" applyBorder="1" applyAlignment="1">
      <alignment shrinkToFit="1"/>
    </xf>
    <xf numFmtId="169" fontId="7" fillId="0" borderId="8" xfId="0" applyNumberFormat="1" applyFont="1" applyBorder="1" applyAlignment="1">
      <alignment shrinkToFit="1"/>
    </xf>
    <xf numFmtId="169" fontId="19" fillId="0" borderId="8" xfId="0" applyNumberFormat="1" applyFont="1" applyBorder="1" applyAlignment="1">
      <alignment shrinkToFit="1"/>
    </xf>
    <xf numFmtId="169" fontId="11" fillId="0" borderId="9" xfId="0" applyNumberFormat="1" applyFont="1" applyBorder="1" applyAlignment="1">
      <alignment shrinkToFit="1"/>
    </xf>
    <xf numFmtId="169" fontId="11" fillId="0" borderId="6" xfId="0" applyNumberFormat="1" applyFont="1" applyBorder="1" applyAlignment="1">
      <alignment horizontal="right" shrinkToFit="1"/>
    </xf>
    <xf numFmtId="169" fontId="11" fillId="0" borderId="8" xfId="0" applyNumberFormat="1" applyFont="1" applyBorder="1" applyAlignment="1">
      <alignment horizontal="right" shrinkToFit="1"/>
    </xf>
    <xf numFmtId="169" fontId="7" fillId="0" borderId="8" xfId="0" applyNumberFormat="1" applyFont="1" applyBorder="1" applyAlignment="1">
      <alignment horizontal="right" shrinkToFit="1"/>
    </xf>
    <xf numFmtId="169" fontId="4" fillId="0" borderId="8" xfId="0" applyNumberFormat="1" applyFont="1" applyBorder="1" applyAlignment="1">
      <alignment horizontal="right" shrinkToFit="1"/>
    </xf>
    <xf numFmtId="169" fontId="11" fillId="0" borderId="9" xfId="0" applyNumberFormat="1" applyFont="1" applyBorder="1" applyAlignment="1">
      <alignment horizontal="right" shrinkToFit="1"/>
    </xf>
    <xf numFmtId="169" fontId="15" fillId="0" borderId="0" xfId="0" applyNumberFormat="1" applyFont="1"/>
    <xf numFmtId="169" fontId="11" fillId="0" borderId="8" xfId="1" applyNumberFormat="1" applyFont="1" applyBorder="1" applyAlignment="1">
      <alignment vertical="center" shrinkToFit="1"/>
    </xf>
    <xf numFmtId="169" fontId="6" fillId="0" borderId="8" xfId="1" applyNumberFormat="1" applyFont="1" applyBorder="1" applyAlignment="1">
      <alignment vertical="center" shrinkToFit="1"/>
    </xf>
    <xf numFmtId="169" fontId="4" fillId="0" borderId="8" xfId="1" applyNumberFormat="1" applyFont="1" applyBorder="1" applyAlignment="1">
      <alignment vertical="center" shrinkToFit="1"/>
    </xf>
    <xf numFmtId="169" fontId="6" fillId="0" borderId="8" xfId="0" applyNumberFormat="1" applyFont="1" applyBorder="1" applyAlignment="1">
      <alignment shrinkToFit="1"/>
    </xf>
    <xf numFmtId="169" fontId="4" fillId="0" borderId="8" xfId="0" applyNumberFormat="1" applyFont="1" applyBorder="1" applyAlignment="1">
      <alignment shrinkToFit="1"/>
    </xf>
    <xf numFmtId="49" fontId="19" fillId="0" borderId="8" xfId="3" applyNumberFormat="1" applyFont="1" applyFill="1" applyBorder="1" applyAlignment="1">
      <alignment vertical="center" shrinkToFit="1"/>
    </xf>
    <xf numFmtId="0" fontId="32" fillId="0" borderId="8" xfId="6" applyFont="1" applyFill="1" applyBorder="1" applyAlignment="1">
      <alignment horizontal="left" shrinkToFit="1"/>
    </xf>
    <xf numFmtId="169" fontId="32" fillId="0" borderId="8" xfId="6" applyNumberFormat="1" applyFont="1" applyFill="1" applyBorder="1" applyAlignment="1">
      <alignment horizontal="right" shrinkToFit="1"/>
    </xf>
    <xf numFmtId="169" fontId="32" fillId="0" borderId="8" xfId="1" applyNumberFormat="1" applyFont="1" applyFill="1" applyBorder="1" applyAlignment="1">
      <alignment horizontal="right" shrinkToFit="1"/>
    </xf>
    <xf numFmtId="169" fontId="49" fillId="0" borderId="8" xfId="9" applyNumberFormat="1" applyFont="1" applyFill="1" applyBorder="1" applyAlignment="1">
      <alignment shrinkToFit="1"/>
    </xf>
    <xf numFmtId="0" fontId="32" fillId="0" borderId="0" xfId="6" applyFont="1" applyFill="1" applyAlignment="1">
      <alignment horizontal="center"/>
    </xf>
    <xf numFmtId="169" fontId="4" fillId="0" borderId="0" xfId="0" applyNumberFormat="1" applyFont="1" applyAlignment="1">
      <alignment shrinkToFit="1"/>
    </xf>
    <xf numFmtId="38" fontId="6" fillId="0" borderId="0" xfId="0" applyNumberFormat="1" applyFont="1"/>
    <xf numFmtId="0" fontId="6" fillId="0" borderId="9" xfId="0" applyFont="1" applyBorder="1" applyAlignment="1">
      <alignment horizontal="center" vertical="center"/>
    </xf>
    <xf numFmtId="38" fontId="6" fillId="0" borderId="9" xfId="0" applyNumberFormat="1" applyFont="1" applyBorder="1" applyAlignment="1">
      <alignment vertical="center"/>
    </xf>
    <xf numFmtId="0" fontId="6" fillId="0" borderId="9" xfId="0" applyFont="1" applyBorder="1" applyAlignment="1">
      <alignment vertical="center"/>
    </xf>
    <xf numFmtId="0" fontId="25" fillId="0" borderId="11" xfId="5" applyFont="1" applyFill="1" applyBorder="1" applyAlignment="1">
      <alignment horizontal="center" vertical="center" wrapText="1"/>
    </xf>
    <xf numFmtId="0" fontId="25" fillId="0" borderId="11" xfId="5" applyFont="1" applyFill="1" applyBorder="1" applyAlignment="1">
      <alignment vertical="center" wrapText="1"/>
    </xf>
    <xf numFmtId="38" fontId="25" fillId="0" borderId="11" xfId="5" applyNumberFormat="1" applyFont="1" applyFill="1" applyBorder="1" applyAlignment="1">
      <alignment vertical="center" wrapText="1"/>
    </xf>
    <xf numFmtId="38" fontId="24" fillId="0" borderId="5" xfId="5" applyNumberFormat="1" applyFont="1" applyFill="1" applyBorder="1" applyAlignment="1">
      <alignment vertical="center"/>
    </xf>
    <xf numFmtId="166" fontId="11" fillId="0" borderId="6" xfId="1" applyNumberFormat="1" applyFont="1" applyBorder="1" applyAlignment="1">
      <alignment shrinkToFit="1"/>
    </xf>
    <xf numFmtId="166" fontId="11" fillId="0" borderId="8" xfId="1" applyNumberFormat="1" applyFont="1" applyBorder="1" applyAlignment="1">
      <alignment shrinkToFit="1"/>
    </xf>
    <xf numFmtId="166" fontId="6" fillId="0" borderId="8" xfId="1" applyNumberFormat="1" applyFont="1" applyBorder="1" applyAlignment="1">
      <alignment shrinkToFit="1"/>
    </xf>
    <xf numFmtId="166" fontId="6" fillId="0" borderId="8" xfId="0" applyNumberFormat="1" applyFont="1" applyBorder="1" applyAlignment="1">
      <alignment shrinkToFit="1"/>
    </xf>
    <xf numFmtId="166" fontId="11" fillId="0" borderId="9" xfId="1" applyNumberFormat="1" applyFont="1" applyBorder="1" applyAlignment="1">
      <alignment shrinkToFit="1"/>
    </xf>
    <xf numFmtId="169" fontId="11" fillId="0" borderId="8" xfId="1" applyNumberFormat="1" applyFont="1" applyBorder="1" applyAlignment="1">
      <alignment shrinkToFit="1"/>
    </xf>
    <xf numFmtId="169" fontId="6" fillId="0" borderId="8" xfId="0" applyNumberFormat="1" applyFont="1" applyBorder="1" applyAlignment="1">
      <alignment horizontal="center" shrinkToFit="1"/>
    </xf>
    <xf numFmtId="169" fontId="11" fillId="0" borderId="8" xfId="0" applyNumberFormat="1" applyFont="1" applyBorder="1" applyAlignment="1">
      <alignment horizontal="center" shrinkToFit="1"/>
    </xf>
    <xf numFmtId="169" fontId="11" fillId="0" borderId="7" xfId="0" applyNumberFormat="1" applyFont="1" applyBorder="1" applyAlignment="1">
      <alignment horizontal="center" shrinkToFit="1"/>
    </xf>
    <xf numFmtId="169" fontId="11" fillId="0" borderId="7" xfId="0" applyNumberFormat="1" applyFont="1" applyBorder="1" applyAlignment="1">
      <alignment shrinkToFit="1"/>
    </xf>
    <xf numFmtId="169" fontId="11" fillId="0" borderId="7" xfId="1" applyNumberFormat="1" applyFont="1" applyBorder="1" applyAlignment="1">
      <alignment shrinkToFit="1"/>
    </xf>
    <xf numFmtId="3" fontId="11" fillId="0" borderId="18" xfId="0" applyNumberFormat="1" applyFont="1" applyBorder="1" applyAlignment="1">
      <alignment vertical="center" shrinkToFit="1"/>
    </xf>
    <xf numFmtId="3" fontId="6" fillId="0" borderId="22" xfId="0" applyNumberFormat="1" applyFont="1" applyBorder="1" applyAlignment="1">
      <alignment horizontal="left"/>
    </xf>
    <xf numFmtId="3" fontId="4" fillId="0" borderId="22" xfId="0" applyNumberFormat="1" applyFont="1" applyBorder="1"/>
    <xf numFmtId="3" fontId="4" fillId="0" borderId="22" xfId="0" applyNumberFormat="1" applyFont="1" applyBorder="1" applyAlignment="1"/>
    <xf numFmtId="166" fontId="4" fillId="0" borderId="22" xfId="1" applyNumberFormat="1" applyFont="1" applyBorder="1" applyAlignment="1"/>
    <xf numFmtId="38" fontId="7" fillId="0" borderId="0" xfId="0" applyNumberFormat="1" applyFont="1"/>
    <xf numFmtId="3" fontId="11" fillId="0" borderId="6" xfId="0" applyNumberFormat="1" applyFont="1" applyBorder="1" applyAlignment="1">
      <alignment horizontal="centerContinuous"/>
    </xf>
    <xf numFmtId="170" fontId="11" fillId="0" borderId="6" xfId="0" applyNumberFormat="1" applyFont="1" applyBorder="1" applyAlignment="1">
      <alignment shrinkToFit="1"/>
    </xf>
    <xf numFmtId="3" fontId="7" fillId="0" borderId="8" xfId="0" applyNumberFormat="1" applyFont="1" applyBorder="1" applyAlignment="1">
      <alignment horizontal="centerContinuous"/>
    </xf>
    <xf numFmtId="170" fontId="7" fillId="0" borderId="8" xfId="0" applyNumberFormat="1" applyFont="1" applyBorder="1" applyAlignment="1">
      <alignment shrinkToFit="1"/>
    </xf>
    <xf numFmtId="3" fontId="18" fillId="0" borderId="8" xfId="0" applyNumberFormat="1" applyFont="1" applyBorder="1" applyAlignment="1">
      <alignment horizontal="centerContinuous"/>
    </xf>
    <xf numFmtId="3" fontId="18" fillId="0" borderId="8" xfId="0" applyNumberFormat="1" applyFont="1" applyBorder="1" applyAlignment="1">
      <alignment shrinkToFit="1"/>
    </xf>
    <xf numFmtId="3" fontId="58" fillId="0" borderId="0" xfId="13" applyNumberFormat="1" applyFont="1" applyFill="1" applyAlignment="1">
      <alignment horizontal="right" vertical="center"/>
    </xf>
    <xf numFmtId="0" fontId="68" fillId="0" borderId="8" xfId="5" applyFont="1" applyFill="1" applyBorder="1" applyAlignment="1">
      <alignment horizontal="center" vertical="center" wrapText="1"/>
    </xf>
    <xf numFmtId="0" fontId="69" fillId="0" borderId="8" xfId="5" applyFont="1" applyFill="1" applyBorder="1" applyAlignment="1">
      <alignment vertical="center" wrapText="1"/>
    </xf>
    <xf numFmtId="38" fontId="69" fillId="0" borderId="8" xfId="5" applyNumberFormat="1" applyFont="1" applyFill="1" applyBorder="1" applyAlignment="1">
      <alignment vertical="center" wrapText="1"/>
    </xf>
    <xf numFmtId="0" fontId="69" fillId="0" borderId="0" xfId="0" applyFont="1" applyFill="1"/>
    <xf numFmtId="3" fontId="0" fillId="0" borderId="0" xfId="0" applyNumberFormat="1"/>
    <xf numFmtId="169" fontId="11" fillId="0" borderId="18" xfId="0" applyNumberFormat="1" applyFont="1" applyBorder="1" applyAlignment="1">
      <alignment horizontal="center" shrinkToFit="1"/>
    </xf>
    <xf numFmtId="169" fontId="11" fillId="0" borderId="18" xfId="0" applyNumberFormat="1" applyFont="1" applyBorder="1" applyAlignment="1">
      <alignment shrinkToFit="1"/>
    </xf>
    <xf numFmtId="169" fontId="11" fillId="0" borderId="18" xfId="1" applyNumberFormat="1" applyFont="1" applyBorder="1" applyAlignment="1">
      <alignment shrinkToFit="1"/>
    </xf>
    <xf numFmtId="170" fontId="4" fillId="0" borderId="8" xfId="0" applyNumberFormat="1" applyFont="1" applyBorder="1" applyAlignment="1">
      <alignment vertical="center" shrinkToFit="1"/>
    </xf>
    <xf numFmtId="170" fontId="6" fillId="0" borderId="8" xfId="0" applyNumberFormat="1" applyFont="1" applyBorder="1" applyAlignment="1">
      <alignment vertical="center" shrinkToFit="1"/>
    </xf>
    <xf numFmtId="171" fontId="11" fillId="0" borderId="8" xfId="0" applyNumberFormat="1" applyFont="1" applyBorder="1" applyAlignment="1">
      <alignment vertical="center" shrinkToFit="1"/>
    </xf>
    <xf numFmtId="171" fontId="6" fillId="0" borderId="8" xfId="0" applyNumberFormat="1" applyFont="1" applyBorder="1" applyAlignment="1">
      <alignment vertical="center" shrinkToFit="1"/>
    </xf>
    <xf numFmtId="3" fontId="11" fillId="0" borderId="6" xfId="0" applyNumberFormat="1" applyFont="1" applyFill="1" applyBorder="1"/>
    <xf numFmtId="3" fontId="11" fillId="0" borderId="6" xfId="0" applyNumberFormat="1" applyFont="1" applyFill="1" applyBorder="1" applyAlignment="1">
      <alignment horizontal="center" shrinkToFit="1"/>
    </xf>
    <xf numFmtId="3" fontId="11" fillId="0" borderId="8" xfId="0" applyNumberFormat="1" applyFont="1" applyFill="1" applyBorder="1" applyAlignment="1">
      <alignment horizontal="center"/>
    </xf>
    <xf numFmtId="3" fontId="11" fillId="0" borderId="8" xfId="0" applyNumberFormat="1" applyFont="1" applyFill="1" applyBorder="1" applyAlignment="1">
      <alignment shrinkToFit="1"/>
    </xf>
    <xf numFmtId="3" fontId="6" fillId="0" borderId="8" xfId="0" applyNumberFormat="1" applyFont="1" applyFill="1" applyBorder="1" applyAlignment="1">
      <alignment horizontal="center"/>
    </xf>
    <xf numFmtId="3" fontId="6" fillId="0" borderId="8" xfId="0" applyNumberFormat="1" applyFont="1" applyFill="1" applyBorder="1" applyAlignment="1">
      <alignment horizontal="left" shrinkToFit="1"/>
    </xf>
    <xf numFmtId="3" fontId="4" fillId="0" borderId="8" xfId="0" applyNumberFormat="1" applyFont="1" applyFill="1" applyBorder="1" applyAlignment="1">
      <alignment horizontal="center"/>
    </xf>
    <xf numFmtId="3" fontId="4" fillId="0" borderId="8" xfId="0" applyNumberFormat="1" applyFont="1" applyFill="1" applyBorder="1" applyAlignment="1">
      <alignment horizontal="left" shrinkToFit="1"/>
    </xf>
    <xf numFmtId="3" fontId="6" fillId="0" borderId="8" xfId="0" applyNumberFormat="1" applyFont="1" applyBorder="1" applyAlignment="1">
      <alignment horizontal="left" shrinkToFit="1"/>
    </xf>
    <xf numFmtId="3" fontId="4" fillId="0" borderId="8" xfId="0" applyNumberFormat="1" applyFont="1" applyBorder="1" applyAlignment="1">
      <alignment horizontal="left" shrinkToFit="1"/>
    </xf>
    <xf numFmtId="3" fontId="11" fillId="0" borderId="9" xfId="0" applyNumberFormat="1" applyFont="1" applyBorder="1" applyAlignment="1">
      <alignment horizontal="center" vertical="center" wrapText="1"/>
    </xf>
    <xf numFmtId="3" fontId="11" fillId="0" borderId="9" xfId="0" applyNumberFormat="1" applyFont="1" applyBorder="1" applyAlignment="1">
      <alignment vertical="center" wrapText="1"/>
    </xf>
    <xf numFmtId="3" fontId="11" fillId="0" borderId="9" xfId="0" applyNumberFormat="1" applyFont="1" applyFill="1" applyBorder="1" applyAlignment="1">
      <alignment vertical="center" shrinkToFit="1"/>
    </xf>
    <xf numFmtId="166" fontId="11" fillId="0" borderId="0" xfId="1" applyNumberFormat="1" applyFont="1" applyBorder="1"/>
    <xf numFmtId="166" fontId="11" fillId="0" borderId="10" xfId="1" applyNumberFormat="1" applyFont="1" applyBorder="1" applyAlignment="1">
      <alignment shrinkToFit="1"/>
    </xf>
    <xf numFmtId="169" fontId="11" fillId="0" borderId="6" xfId="0" applyNumberFormat="1" applyFont="1" applyBorder="1" applyAlignment="1">
      <alignment horizontal="center" shrinkToFit="1"/>
    </xf>
    <xf numFmtId="169" fontId="4" fillId="0" borderId="8" xfId="0" applyNumberFormat="1" applyFont="1" applyBorder="1" applyAlignment="1">
      <alignment horizontal="center" shrinkToFit="1"/>
    </xf>
    <xf numFmtId="169" fontId="4" fillId="0" borderId="8" xfId="0" applyNumberFormat="1" applyFont="1" applyBorder="1" applyAlignment="1">
      <alignment horizontal="center" vertical="center" shrinkToFit="1"/>
    </xf>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169" fontId="6" fillId="0" borderId="0" xfId="0" applyNumberFormat="1" applyFont="1" applyBorder="1" applyAlignment="1">
      <alignment horizontal="right"/>
    </xf>
    <xf numFmtId="9" fontId="11" fillId="0" borderId="0" xfId="16" applyFont="1" applyBorder="1"/>
    <xf numFmtId="38" fontId="34" fillId="0" borderId="0" xfId="0" applyNumberFormat="1" applyFont="1" applyFill="1"/>
    <xf numFmtId="166" fontId="15" fillId="0" borderId="0" xfId="1" applyNumberFormat="1" applyFont="1" applyAlignment="1">
      <alignment shrinkToFit="1"/>
    </xf>
    <xf numFmtId="0" fontId="59" fillId="0" borderId="0" xfId="13" applyNumberFormat="1" applyFont="1" applyFill="1" applyBorder="1" applyAlignment="1">
      <alignment horizontal="right"/>
    </xf>
    <xf numFmtId="0" fontId="57" fillId="0" borderId="5" xfId="13" applyNumberFormat="1" applyFont="1" applyFill="1" applyBorder="1" applyAlignment="1">
      <alignment horizontal="center" vertical="center" wrapText="1"/>
    </xf>
    <xf numFmtId="0" fontId="57" fillId="0" borderId="5" xfId="13" applyFont="1" applyFill="1" applyBorder="1" applyAlignment="1">
      <alignment horizontal="center" vertical="center" wrapText="1"/>
    </xf>
    <xf numFmtId="9" fontId="57" fillId="0" borderId="6" xfId="16" applyFont="1" applyFill="1" applyBorder="1" applyAlignment="1">
      <alignment vertical="center" shrinkToFit="1"/>
    </xf>
    <xf numFmtId="3" fontId="6" fillId="0" borderId="5" xfId="0" applyNumberFormat="1" applyFont="1" applyBorder="1" applyAlignment="1">
      <alignment horizontal="center" vertical="center" wrapText="1"/>
    </xf>
    <xf numFmtId="0" fontId="6" fillId="0" borderId="0" xfId="0" applyFont="1" applyAlignment="1">
      <alignment horizontal="center"/>
    </xf>
    <xf numFmtId="0" fontId="4" fillId="0" borderId="0" xfId="0" applyFont="1" applyAlignment="1">
      <alignment horizontal="center"/>
    </xf>
    <xf numFmtId="3" fontId="4" fillId="0" borderId="0" xfId="0" applyNumberFormat="1" applyFont="1" applyAlignment="1">
      <alignment horizontal="center"/>
    </xf>
    <xf numFmtId="0" fontId="6" fillId="0" borderId="0" xfId="0" applyFont="1" applyAlignment="1">
      <alignment horizontal="center" vertical="center" wrapText="1"/>
    </xf>
    <xf numFmtId="0" fontId="6" fillId="0" borderId="7" xfId="0" applyFont="1" applyBorder="1" applyAlignment="1">
      <alignment horizontal="center" vertical="center"/>
    </xf>
    <xf numFmtId="0" fontId="6" fillId="0" borderId="5" xfId="0" applyFont="1" applyBorder="1" applyAlignment="1">
      <alignment horizontal="center"/>
    </xf>
    <xf numFmtId="3" fontId="6" fillId="0" borderId="1" xfId="0" applyNumberFormat="1" applyFont="1" applyBorder="1" applyAlignment="1">
      <alignment horizontal="right"/>
    </xf>
    <xf numFmtId="0" fontId="6" fillId="0" borderId="5" xfId="0" applyFont="1" applyBorder="1" applyAlignment="1">
      <alignment horizontal="center" vertical="center"/>
    </xf>
    <xf numFmtId="0" fontId="58" fillId="0" borderId="0" xfId="0" applyFont="1"/>
    <xf numFmtId="0" fontId="60" fillId="0" borderId="0" xfId="6" applyFont="1"/>
    <xf numFmtId="169" fontId="60" fillId="0" borderId="0" xfId="6" applyNumberFormat="1" applyFont="1" applyBorder="1"/>
    <xf numFmtId="0" fontId="60" fillId="0" borderId="0" xfId="6" applyFont="1" applyBorder="1"/>
    <xf numFmtId="169" fontId="58" fillId="0" borderId="5" xfId="6" applyNumberFormat="1" applyFont="1" applyBorder="1" applyAlignment="1">
      <alignment horizontal="center"/>
    </xf>
    <xf numFmtId="169" fontId="58" fillId="0" borderId="0" xfId="0" applyNumberFormat="1" applyFont="1"/>
    <xf numFmtId="0" fontId="71" fillId="0" borderId="0" xfId="6" applyFont="1"/>
    <xf numFmtId="169" fontId="58" fillId="0" borderId="0" xfId="6" applyNumberFormat="1" applyFont="1"/>
    <xf numFmtId="0" fontId="58" fillId="0" borderId="0" xfId="6" applyFont="1"/>
    <xf numFmtId="0" fontId="60" fillId="0" borderId="0" xfId="6" applyNumberFormat="1" applyFont="1" applyAlignment="1">
      <alignment horizontal="left" vertical="center" wrapText="1"/>
    </xf>
    <xf numFmtId="175" fontId="58" fillId="0" borderId="0" xfId="16" applyNumberFormat="1" applyFont="1"/>
    <xf numFmtId="49" fontId="58" fillId="0" borderId="5" xfId="6" applyNumberFormat="1" applyFont="1" applyBorder="1" applyAlignment="1">
      <alignment horizontal="center"/>
    </xf>
    <xf numFmtId="49" fontId="71" fillId="0" borderId="6" xfId="6" applyNumberFormat="1" applyFont="1" applyBorder="1" applyAlignment="1">
      <alignment vertical="center" wrapText="1"/>
    </xf>
    <xf numFmtId="49" fontId="58" fillId="0" borderId="8" xfId="6" applyNumberFormat="1" applyFont="1" applyBorder="1" applyAlignment="1">
      <alignment vertical="center" wrapText="1"/>
    </xf>
    <xf numFmtId="49" fontId="58" fillId="0" borderId="8" xfId="6" applyNumberFormat="1" applyFont="1" applyFill="1" applyBorder="1" applyAlignment="1">
      <alignment vertical="center" wrapText="1"/>
    </xf>
    <xf numFmtId="49" fontId="58" fillId="0" borderId="8" xfId="6" quotePrefix="1" applyNumberFormat="1" applyFont="1" applyBorder="1" applyAlignment="1">
      <alignment vertical="center" wrapText="1"/>
    </xf>
    <xf numFmtId="49" fontId="71" fillId="0" borderId="8" xfId="6" applyNumberFormat="1" applyFont="1" applyBorder="1" applyAlignment="1">
      <alignment vertical="center" wrapText="1"/>
    </xf>
    <xf numFmtId="49" fontId="57" fillId="0" borderId="8" xfId="6" applyNumberFormat="1" applyFont="1" applyBorder="1" applyAlignment="1">
      <alignment vertical="center" wrapText="1"/>
    </xf>
    <xf numFmtId="49" fontId="57" fillId="4" borderId="8" xfId="6" applyNumberFormat="1" applyFont="1" applyFill="1" applyBorder="1" applyAlignment="1">
      <alignment vertical="center" wrapText="1"/>
    </xf>
    <xf numFmtId="49" fontId="60" fillId="0" borderId="8" xfId="6" applyNumberFormat="1" applyFont="1" applyBorder="1" applyAlignment="1">
      <alignment vertical="center" wrapText="1"/>
    </xf>
    <xf numFmtId="49" fontId="60" fillId="0" borderId="8" xfId="6" quotePrefix="1" applyNumberFormat="1" applyFont="1" applyBorder="1" applyAlignment="1">
      <alignment vertical="center" wrapText="1"/>
    </xf>
    <xf numFmtId="49" fontId="57" fillId="0" borderId="9" xfId="6" applyNumberFormat="1" applyFont="1" applyBorder="1" applyAlignment="1">
      <alignment vertical="center" wrapText="1"/>
    </xf>
    <xf numFmtId="49" fontId="60" fillId="0" borderId="8" xfId="6" quotePrefix="1" applyNumberFormat="1" applyFont="1" applyFill="1" applyBorder="1" applyAlignment="1">
      <alignment vertical="center" wrapText="1"/>
    </xf>
    <xf numFmtId="0" fontId="60" fillId="0" borderId="0" xfId="0" applyFont="1"/>
    <xf numFmtId="3" fontId="15" fillId="0" borderId="0" xfId="0" applyNumberFormat="1" applyFont="1" applyAlignment="1">
      <alignment shrinkToFit="1"/>
    </xf>
    <xf numFmtId="0" fontId="6" fillId="0" borderId="5" xfId="0" applyFont="1" applyBorder="1" applyAlignment="1">
      <alignment horizontal="center" vertical="center" wrapText="1"/>
    </xf>
    <xf numFmtId="169" fontId="11" fillId="0" borderId="0" xfId="0" applyNumberFormat="1" applyFont="1" applyBorder="1" applyAlignment="1">
      <alignment shrinkToFit="1"/>
    </xf>
    <xf numFmtId="169" fontId="4" fillId="0" borderId="0" xfId="0" applyNumberFormat="1" applyFont="1" applyBorder="1" applyAlignment="1">
      <alignment vertical="center" shrinkToFit="1"/>
    </xf>
    <xf numFmtId="3" fontId="72" fillId="0" borderId="7" xfId="0" applyNumberFormat="1" applyFont="1" applyBorder="1" applyAlignment="1">
      <alignment horizontal="center" vertical="center" shrinkToFit="1"/>
    </xf>
    <xf numFmtId="3" fontId="6" fillId="0" borderId="0" xfId="0" applyNumberFormat="1" applyFont="1" applyAlignment="1">
      <alignment horizontal="center" vertical="center" wrapText="1"/>
    </xf>
    <xf numFmtId="0" fontId="6" fillId="0" borderId="1" xfId="0" applyFont="1" applyBorder="1" applyAlignment="1">
      <alignment horizontal="right"/>
    </xf>
    <xf numFmtId="0" fontId="6" fillId="0" borderId="5" xfId="0" applyFont="1" applyBorder="1" applyAlignment="1">
      <alignment horizontal="center" vertical="center" wrapText="1"/>
    </xf>
    <xf numFmtId="3" fontId="4" fillId="0" borderId="0" xfId="0" applyNumberFormat="1" applyFont="1" applyBorder="1" applyAlignment="1">
      <alignment horizontal="right"/>
    </xf>
    <xf numFmtId="3" fontId="4" fillId="0" borderId="0" xfId="0" applyNumberFormat="1" applyFont="1" applyBorder="1" applyAlignment="1">
      <alignment wrapText="1"/>
    </xf>
    <xf numFmtId="3" fontId="13" fillId="0" borderId="0" xfId="0" applyNumberFormat="1" applyFont="1" applyBorder="1" applyAlignment="1"/>
    <xf numFmtId="38" fontId="11" fillId="0" borderId="6" xfId="0" applyNumberFormat="1" applyFont="1" applyBorder="1" applyAlignment="1">
      <alignment shrinkToFit="1"/>
    </xf>
    <xf numFmtId="38" fontId="6" fillId="0" borderId="8" xfId="0" applyNumberFormat="1" applyFont="1" applyBorder="1" applyAlignment="1">
      <alignment shrinkToFit="1"/>
    </xf>
    <xf numFmtId="38" fontId="11" fillId="0" borderId="8" xfId="0" applyNumberFormat="1" applyFont="1" applyBorder="1" applyAlignment="1">
      <alignment shrinkToFit="1"/>
    </xf>
    <xf numFmtId="38" fontId="19" fillId="0" borderId="8" xfId="0" applyNumberFormat="1" applyFont="1" applyBorder="1" applyAlignment="1">
      <alignment vertical="center" shrinkToFit="1"/>
    </xf>
    <xf numFmtId="38" fontId="6" fillId="0" borderId="9" xfId="0" applyNumberFormat="1" applyFont="1" applyBorder="1" applyAlignment="1">
      <alignment shrinkToFit="1"/>
    </xf>
    <xf numFmtId="3" fontId="19" fillId="0" borderId="0" xfId="0" applyNumberFormat="1" applyFont="1" applyBorder="1" applyAlignment="1"/>
    <xf numFmtId="0" fontId="12" fillId="3" borderId="30" xfId="0" applyFont="1" applyFill="1" applyBorder="1" applyAlignment="1">
      <alignment vertical="center" wrapText="1"/>
    </xf>
    <xf numFmtId="0" fontId="12" fillId="3" borderId="34" xfId="0" applyFont="1" applyFill="1" applyBorder="1" applyAlignment="1">
      <alignment horizontal="center" vertical="center" shrinkToFit="1"/>
    </xf>
    <xf numFmtId="0" fontId="12" fillId="3" borderId="40" xfId="0" applyFont="1" applyFill="1" applyBorder="1" applyAlignment="1">
      <alignment horizontal="center" vertical="center" shrinkToFit="1"/>
    </xf>
    <xf numFmtId="0" fontId="64" fillId="0" borderId="0" xfId="0" applyFont="1" applyBorder="1"/>
    <xf numFmtId="38" fontId="15" fillId="0" borderId="31" xfId="14" applyNumberFormat="1" applyFont="1" applyFill="1" applyBorder="1" applyAlignment="1">
      <alignment vertical="center" shrinkToFit="1"/>
    </xf>
    <xf numFmtId="0" fontId="73" fillId="0" borderId="32" xfId="0" applyFont="1" applyFill="1" applyBorder="1" applyAlignment="1">
      <alignment horizontal="center" vertical="center" wrapText="1"/>
    </xf>
    <xf numFmtId="0" fontId="63" fillId="0" borderId="32" xfId="0" applyFont="1" applyFill="1" applyBorder="1" applyAlignment="1">
      <alignment horizontal="center" vertical="center" shrinkToFit="1"/>
    </xf>
    <xf numFmtId="38" fontId="63" fillId="0" borderId="32" xfId="14" applyNumberFormat="1" applyFont="1" applyFill="1" applyBorder="1" applyAlignment="1">
      <alignment vertical="center" shrinkToFit="1"/>
    </xf>
    <xf numFmtId="38" fontId="63" fillId="0" borderId="32" xfId="14" applyNumberFormat="1" applyFont="1" applyFill="1" applyBorder="1" applyAlignment="1">
      <alignment horizontal="right" vertical="center" shrinkToFit="1"/>
    </xf>
    <xf numFmtId="38" fontId="63" fillId="0" borderId="32" xfId="14" applyNumberFormat="1" applyFont="1" applyFill="1" applyBorder="1" applyAlignment="1">
      <alignment horizontal="center" vertical="center" shrinkToFit="1"/>
    </xf>
    <xf numFmtId="0" fontId="74" fillId="0" borderId="0" xfId="0" applyFont="1" applyBorder="1"/>
    <xf numFmtId="0" fontId="61" fillId="0" borderId="39" xfId="0" applyFont="1" applyBorder="1" applyAlignment="1">
      <alignment horizontal="center" vertical="center"/>
    </xf>
    <xf numFmtId="0" fontId="61" fillId="0" borderId="0" xfId="0" applyFont="1" applyBorder="1" applyAlignment="1">
      <alignment horizontal="center" vertical="center"/>
    </xf>
    <xf numFmtId="0" fontId="61" fillId="0" borderId="39" xfId="0" applyFont="1" applyBorder="1" applyAlignment="1">
      <alignment horizontal="right" vertical="center"/>
    </xf>
    <xf numFmtId="0" fontId="14" fillId="0" borderId="31" xfId="0" applyFont="1" applyFill="1" applyBorder="1" applyAlignment="1">
      <alignment vertical="center" wrapText="1"/>
    </xf>
    <xf numFmtId="38" fontId="14" fillId="0" borderId="31" xfId="14" applyNumberFormat="1" applyFont="1" applyFill="1" applyBorder="1" applyAlignment="1">
      <alignment vertical="center" shrinkToFit="1"/>
    </xf>
    <xf numFmtId="0" fontId="75" fillId="0" borderId="0" xfId="0" applyFont="1" applyBorder="1"/>
    <xf numFmtId="0" fontId="76" fillId="0" borderId="0" xfId="0" applyFont="1" applyBorder="1"/>
    <xf numFmtId="0" fontId="64" fillId="0" borderId="0" xfId="0" applyFont="1" applyFill="1" applyBorder="1"/>
    <xf numFmtId="0" fontId="14" fillId="0" borderId="34" xfId="0" applyFont="1" applyFill="1" applyBorder="1" applyAlignment="1">
      <alignment horizontal="center" vertical="center" wrapText="1"/>
    </xf>
    <xf numFmtId="0" fontId="15" fillId="0" borderId="34" xfId="0" applyFont="1" applyFill="1" applyBorder="1" applyAlignment="1">
      <alignment vertical="center" wrapText="1"/>
    </xf>
    <xf numFmtId="38" fontId="15" fillId="0" borderId="34" xfId="14" applyNumberFormat="1" applyFont="1" applyFill="1" applyBorder="1" applyAlignment="1">
      <alignment vertical="center" shrinkToFit="1"/>
    </xf>
    <xf numFmtId="0" fontId="14" fillId="0" borderId="5" xfId="0" applyFont="1" applyFill="1" applyBorder="1" applyAlignment="1">
      <alignment horizontal="center" vertical="center" wrapText="1"/>
    </xf>
    <xf numFmtId="0" fontId="15" fillId="0" borderId="5" xfId="0" applyFont="1" applyFill="1" applyBorder="1" applyAlignment="1">
      <alignment vertical="center" wrapText="1"/>
    </xf>
    <xf numFmtId="38" fontId="15" fillId="0" borderId="5" xfId="14" applyNumberFormat="1" applyFont="1" applyFill="1" applyBorder="1" applyAlignment="1">
      <alignment vertical="center" shrinkToFit="1"/>
    </xf>
    <xf numFmtId="0" fontId="73" fillId="0" borderId="31" xfId="0" applyFont="1" applyFill="1" applyBorder="1" applyAlignment="1">
      <alignment horizontal="center" vertical="center" wrapText="1"/>
    </xf>
    <xf numFmtId="0" fontId="63" fillId="0" borderId="31" xfId="0" applyFont="1" applyFill="1" applyBorder="1" applyAlignment="1">
      <alignment vertical="center" wrapText="1"/>
    </xf>
    <xf numFmtId="38" fontId="63" fillId="0" borderId="31" xfId="14" applyNumberFormat="1" applyFont="1" applyFill="1" applyBorder="1" applyAlignment="1">
      <alignment vertical="center" shrinkToFit="1"/>
    </xf>
    <xf numFmtId="38" fontId="14" fillId="0" borderId="31" xfId="0" applyNumberFormat="1" applyFont="1" applyFill="1" applyBorder="1" applyAlignment="1">
      <alignment horizontal="center" vertical="center" shrinkToFit="1"/>
    </xf>
    <xf numFmtId="38" fontId="15" fillId="0" borderId="31" xfId="0" applyNumberFormat="1" applyFont="1" applyFill="1" applyBorder="1" applyAlignment="1">
      <alignment horizontal="center" vertical="center" shrinkToFit="1"/>
    </xf>
    <xf numFmtId="38" fontId="63" fillId="0" borderId="31" xfId="0" applyNumberFormat="1" applyFont="1" applyFill="1" applyBorder="1" applyAlignment="1">
      <alignment horizontal="center" vertical="center" shrinkToFit="1"/>
    </xf>
    <xf numFmtId="38" fontId="15" fillId="0" borderId="34" xfId="0" applyNumberFormat="1" applyFont="1" applyFill="1" applyBorder="1" applyAlignment="1">
      <alignment horizontal="center" vertical="center" shrinkToFit="1"/>
    </xf>
    <xf numFmtId="38" fontId="15" fillId="0" borderId="5" xfId="0" applyNumberFormat="1" applyFont="1" applyFill="1" applyBorder="1" applyAlignment="1">
      <alignment horizontal="center" vertical="center" shrinkToFit="1"/>
    </xf>
    <xf numFmtId="0" fontId="72" fillId="0" borderId="9" xfId="0" applyFont="1" applyBorder="1" applyAlignment="1">
      <alignment horizontal="center"/>
    </xf>
    <xf numFmtId="3" fontId="79" fillId="0" borderId="9" xfId="0" applyNumberFormat="1" applyFont="1" applyBorder="1" applyAlignment="1">
      <alignment vertical="center" wrapText="1"/>
    </xf>
    <xf numFmtId="38" fontId="72" fillId="0" borderId="9" xfId="0" applyNumberFormat="1" applyFont="1" applyBorder="1" applyAlignment="1">
      <alignment shrinkToFit="1"/>
    </xf>
    <xf numFmtId="0" fontId="39" fillId="0" borderId="9" xfId="0" applyFont="1" applyBorder="1" applyAlignment="1">
      <alignment horizontal="center"/>
    </xf>
    <xf numFmtId="38" fontId="39" fillId="0" borderId="9" xfId="0" applyNumberFormat="1" applyFont="1" applyBorder="1" applyAlignment="1">
      <alignment shrinkToFit="1"/>
    </xf>
    <xf numFmtId="3" fontId="39" fillId="0" borderId="9" xfId="0" applyNumberFormat="1" applyFont="1" applyBorder="1" applyAlignment="1">
      <alignment vertical="center" wrapText="1"/>
    </xf>
    <xf numFmtId="0" fontId="61" fillId="0" borderId="0" xfId="0" applyFont="1" applyBorder="1" applyAlignment="1">
      <alignment vertical="center"/>
    </xf>
    <xf numFmtId="0" fontId="12" fillId="3" borderId="5" xfId="0" applyFont="1" applyFill="1" applyBorder="1" applyAlignment="1">
      <alignment horizontal="center" vertical="center" wrapText="1" shrinkToFit="1"/>
    </xf>
    <xf numFmtId="0" fontId="61" fillId="0" borderId="0" xfId="0" applyFont="1" applyBorder="1" applyAlignment="1">
      <alignment horizontal="right" vertical="center"/>
    </xf>
    <xf numFmtId="0" fontId="12" fillId="3" borderId="2" xfId="0" applyFont="1" applyFill="1" applyBorder="1" applyAlignment="1">
      <alignment horizontal="center" vertical="center" wrapText="1" shrinkToFit="1"/>
    </xf>
    <xf numFmtId="0" fontId="12" fillId="3" borderId="4" xfId="0" applyFont="1" applyFill="1" applyBorder="1" applyAlignment="1">
      <alignment horizontal="center" vertical="center" wrapText="1" shrinkToFit="1"/>
    </xf>
    <xf numFmtId="3" fontId="30" fillId="0" borderId="0" xfId="0" applyNumberFormat="1" applyFont="1"/>
    <xf numFmtId="9" fontId="19" fillId="0" borderId="0" xfId="16" applyFont="1" applyBorder="1" applyAlignment="1"/>
    <xf numFmtId="0" fontId="14" fillId="0" borderId="44" xfId="0" applyFont="1" applyFill="1" applyBorder="1" applyAlignment="1">
      <alignment horizontal="center" vertical="center" wrapText="1"/>
    </xf>
    <xf numFmtId="0" fontId="15" fillId="0" borderId="44" xfId="0" applyFont="1" applyFill="1" applyBorder="1" applyAlignment="1">
      <alignment vertical="center" wrapText="1"/>
    </xf>
    <xf numFmtId="0" fontId="15" fillId="0" borderId="44" xfId="0" applyFont="1" applyFill="1" applyBorder="1" applyAlignment="1">
      <alignment horizontal="center" vertical="center" shrinkToFit="1"/>
    </xf>
    <xf numFmtId="172" fontId="15" fillId="0" borderId="44" xfId="14" applyNumberFormat="1" applyFont="1" applyFill="1" applyBorder="1" applyAlignment="1">
      <alignment vertical="center" shrinkToFit="1"/>
    </xf>
    <xf numFmtId="0" fontId="14" fillId="0" borderId="31" xfId="0" applyFont="1" applyFill="1" applyBorder="1" applyAlignment="1">
      <alignment horizontal="center" vertical="center" shrinkToFit="1"/>
    </xf>
    <xf numFmtId="0" fontId="14" fillId="0" borderId="32" xfId="0" applyFont="1" applyFill="1" applyBorder="1" applyAlignment="1">
      <alignment vertical="center" wrapText="1"/>
    </xf>
    <xf numFmtId="0" fontId="14" fillId="0" borderId="32" xfId="0" applyFont="1" applyFill="1" applyBorder="1" applyAlignment="1">
      <alignment horizontal="center" vertical="center" shrinkToFit="1"/>
    </xf>
    <xf numFmtId="38" fontId="14" fillId="0" borderId="32" xfId="14" applyNumberFormat="1" applyFont="1" applyFill="1" applyBorder="1" applyAlignment="1">
      <alignment vertical="center" shrinkToFit="1"/>
    </xf>
    <xf numFmtId="0" fontId="14" fillId="0" borderId="32" xfId="0" applyFont="1" applyFill="1" applyBorder="1" applyAlignment="1">
      <alignment horizontal="center" vertical="center" wrapText="1" shrinkToFit="1"/>
    </xf>
    <xf numFmtId="3" fontId="43" fillId="0" borderId="0" xfId="0" applyNumberFormat="1" applyFont="1"/>
    <xf numFmtId="0" fontId="19" fillId="0" borderId="8" xfId="15" applyNumberFormat="1" applyFont="1" applyFill="1" applyBorder="1" applyAlignment="1">
      <alignment vertical="center" shrinkToFit="1"/>
    </xf>
    <xf numFmtId="174" fontId="11" fillId="0" borderId="6" xfId="3" applyNumberFormat="1" applyFont="1" applyFill="1" applyBorder="1" applyAlignment="1">
      <alignment shrinkToFit="1"/>
    </xf>
    <xf numFmtId="174" fontId="4" fillId="0" borderId="8" xfId="3" applyNumberFormat="1" applyFont="1" applyFill="1" applyBorder="1" applyAlignment="1">
      <alignment vertical="center" shrinkToFit="1"/>
    </xf>
    <xf numFmtId="174" fontId="19" fillId="0" borderId="8" xfId="3" applyNumberFormat="1" applyFont="1" applyFill="1" applyBorder="1" applyAlignment="1">
      <alignment vertical="center" shrinkToFit="1"/>
    </xf>
    <xf numFmtId="174" fontId="4" fillId="0" borderId="8" xfId="1" applyNumberFormat="1" applyFont="1" applyFill="1" applyBorder="1" applyAlignment="1">
      <alignment vertical="center" shrinkToFit="1"/>
    </xf>
    <xf numFmtId="174" fontId="11" fillId="0" borderId="8" xfId="3" applyNumberFormat="1" applyFont="1" applyFill="1" applyBorder="1" applyAlignment="1">
      <alignment vertical="center" shrinkToFit="1"/>
    </xf>
    <xf numFmtId="169" fontId="10" fillId="0" borderId="8" xfId="1" applyNumberFormat="1" applyFont="1" applyFill="1" applyBorder="1" applyAlignment="1">
      <alignment vertical="center" shrinkToFit="1"/>
    </xf>
    <xf numFmtId="0" fontId="0" fillId="0" borderId="8" xfId="0" applyBorder="1" applyAlignment="1">
      <alignment horizontal="center"/>
    </xf>
    <xf numFmtId="0" fontId="0" fillId="0" borderId="9" xfId="0" applyBorder="1" applyAlignment="1">
      <alignment horizontal="center"/>
    </xf>
    <xf numFmtId="0" fontId="0" fillId="0" borderId="9" xfId="0" applyBorder="1"/>
    <xf numFmtId="3" fontId="0" fillId="0" borderId="9" xfId="0" applyNumberFormat="1" applyBorder="1" applyAlignment="1">
      <alignment shrinkToFit="1"/>
    </xf>
    <xf numFmtId="169" fontId="4" fillId="0" borderId="0" xfId="0" applyNumberFormat="1" applyFont="1"/>
    <xf numFmtId="0" fontId="10" fillId="0" borderId="0" xfId="0" applyFont="1"/>
    <xf numFmtId="0" fontId="12" fillId="0" borderId="0" xfId="0" applyFont="1" applyAlignment="1">
      <alignment horizontal="right"/>
    </xf>
    <xf numFmtId="0" fontId="12" fillId="0" borderId="0" xfId="0" applyFont="1"/>
    <xf numFmtId="172" fontId="10" fillId="0" borderId="0" xfId="0" applyNumberFormat="1" applyFont="1"/>
    <xf numFmtId="0" fontId="23" fillId="0" borderId="8" xfId="6" applyFont="1" applyFill="1" applyBorder="1" applyAlignment="1">
      <alignment vertical="center" wrapText="1" shrinkToFit="1"/>
    </xf>
    <xf numFmtId="9" fontId="23" fillId="0" borderId="0" xfId="16" applyFont="1" applyFill="1"/>
    <xf numFmtId="9" fontId="20" fillId="0" borderId="0" xfId="16" applyFont="1" applyFill="1"/>
    <xf numFmtId="9" fontId="44" fillId="0" borderId="0" xfId="16" applyFont="1" applyFill="1"/>
    <xf numFmtId="3" fontId="23" fillId="0" borderId="0" xfId="6" applyNumberFormat="1" applyFont="1" applyFill="1" applyAlignment="1">
      <alignment shrinkToFit="1"/>
    </xf>
    <xf numFmtId="38" fontId="81" fillId="0" borderId="8" xfId="17" applyNumberFormat="1" applyBorder="1" applyAlignment="1">
      <alignment shrinkToFit="1"/>
    </xf>
    <xf numFmtId="9" fontId="4" fillId="0" borderId="0" xfId="16" applyFont="1" applyBorder="1" applyAlignment="1"/>
    <xf numFmtId="0" fontId="4" fillId="0" borderId="0" xfId="0" applyFont="1" applyAlignment="1">
      <alignment horizontal="center"/>
    </xf>
    <xf numFmtId="3" fontId="6" fillId="0" borderId="0" xfId="0" applyNumberFormat="1" applyFont="1" applyAlignment="1">
      <alignment horizontal="center"/>
    </xf>
    <xf numFmtId="3" fontId="4" fillId="0" borderId="0" xfId="0" applyNumberFormat="1" applyFont="1" applyAlignment="1">
      <alignment horizontal="center"/>
    </xf>
    <xf numFmtId="0" fontId="6" fillId="0" borderId="5" xfId="0" applyFont="1" applyBorder="1" applyAlignment="1">
      <alignment horizontal="center" vertical="center" wrapText="1"/>
    </xf>
    <xf numFmtId="3" fontId="23" fillId="0" borderId="0" xfId="16" applyNumberFormat="1" applyFont="1" applyFill="1" applyAlignment="1">
      <alignment shrinkToFit="1"/>
    </xf>
    <xf numFmtId="169" fontId="11" fillId="0" borderId="6" xfId="1" applyNumberFormat="1" applyFont="1" applyBorder="1" applyAlignment="1">
      <alignment horizontal="center" vertical="center" shrinkToFit="1"/>
    </xf>
    <xf numFmtId="169" fontId="11" fillId="0" borderId="8" xfId="1" applyNumberFormat="1" applyFont="1" applyBorder="1" applyAlignment="1">
      <alignment horizontal="center" vertical="center" shrinkToFit="1"/>
    </xf>
    <xf numFmtId="169" fontId="6" fillId="0" borderId="8" xfId="1" applyNumberFormat="1" applyFont="1" applyBorder="1" applyAlignment="1">
      <alignment horizontal="center" vertical="center" shrinkToFit="1"/>
    </xf>
    <xf numFmtId="169" fontId="4" fillId="0" borderId="8" xfId="1" applyNumberFormat="1" applyFont="1" applyBorder="1" applyAlignment="1">
      <alignment horizontal="center" vertical="center" shrinkToFit="1"/>
    </xf>
    <xf numFmtId="169" fontId="11" fillId="0" borderId="8" xfId="1" applyNumberFormat="1" applyFont="1" applyBorder="1" applyAlignment="1">
      <alignment horizontal="center" vertical="center"/>
    </xf>
    <xf numFmtId="169" fontId="11" fillId="0" borderId="9" xfId="1" applyNumberFormat="1" applyFont="1" applyBorder="1" applyAlignment="1">
      <alignment horizontal="center" vertical="center" shrinkToFit="1"/>
    </xf>
    <xf numFmtId="43" fontId="6" fillId="0" borderId="0" xfId="1" applyFont="1" applyFill="1" applyAlignment="1">
      <alignment horizontal="center" shrinkToFit="1"/>
    </xf>
    <xf numFmtId="3" fontId="6" fillId="0" borderId="0" xfId="0" applyNumberFormat="1" applyFont="1" applyFill="1" applyAlignment="1">
      <alignment horizontal="center" shrinkToFit="1"/>
    </xf>
    <xf numFmtId="166" fontId="4" fillId="0" borderId="0" xfId="1" applyNumberFormat="1" applyFont="1" applyFill="1" applyAlignment="1">
      <alignment horizontal="center" shrinkToFit="1"/>
    </xf>
    <xf numFmtId="166" fontId="4" fillId="0" borderId="6" xfId="9" applyNumberFormat="1" applyFont="1" applyFill="1" applyBorder="1" applyAlignment="1">
      <alignment vertical="center" wrapText="1"/>
    </xf>
    <xf numFmtId="49" fontId="4" fillId="0" borderId="8" xfId="9" applyNumberFormat="1" applyFont="1" applyFill="1" applyBorder="1" applyAlignment="1">
      <alignment vertical="center" wrapText="1"/>
    </xf>
    <xf numFmtId="166" fontId="4" fillId="0" borderId="8" xfId="9" applyNumberFormat="1" applyFont="1" applyFill="1" applyBorder="1" applyAlignment="1">
      <alignment vertical="center" wrapText="1"/>
    </xf>
    <xf numFmtId="166" fontId="4" fillId="0" borderId="8" xfId="9" applyNumberFormat="1" applyFont="1" applyFill="1" applyBorder="1" applyAlignment="1">
      <alignment horizontal="left" vertical="center" wrapText="1"/>
    </xf>
    <xf numFmtId="0" fontId="58" fillId="0" borderId="8" xfId="0" applyFont="1" applyBorder="1" applyAlignment="1">
      <alignment horizontal="justify" vertical="center"/>
    </xf>
    <xf numFmtId="0" fontId="4" fillId="0" borderId="9" xfId="0" applyFont="1" applyBorder="1" applyAlignment="1">
      <alignment wrapText="1"/>
    </xf>
    <xf numFmtId="166" fontId="11" fillId="0" borderId="9" xfId="1" applyNumberFormat="1" applyFont="1" applyBorder="1" applyAlignment="1">
      <alignment vertical="center" shrinkToFit="1"/>
    </xf>
    <xf numFmtId="2" fontId="11" fillId="0" borderId="9" xfId="0" applyNumberFormat="1" applyFont="1" applyBorder="1" applyAlignment="1">
      <alignment vertical="center" shrinkToFit="1"/>
    </xf>
    <xf numFmtId="0" fontId="6" fillId="0" borderId="6" xfId="0" applyFont="1" applyBorder="1" applyAlignment="1">
      <alignment vertical="center" shrinkToFit="1"/>
    </xf>
    <xf numFmtId="169" fontId="6" fillId="0" borderId="6" xfId="0" applyNumberFormat="1" applyFont="1" applyBorder="1" applyAlignment="1">
      <alignment vertical="center" shrinkToFit="1"/>
    </xf>
    <xf numFmtId="169" fontId="6" fillId="0" borderId="6" xfId="0" applyNumberFormat="1" applyFont="1" applyBorder="1" applyAlignment="1">
      <alignment vertical="center"/>
    </xf>
    <xf numFmtId="169" fontId="6" fillId="0" borderId="8" xfId="0" applyNumberFormat="1" applyFont="1" applyBorder="1" applyAlignment="1">
      <alignment vertical="center"/>
    </xf>
    <xf numFmtId="0" fontId="23" fillId="0" borderId="8" xfId="0" applyFont="1" applyBorder="1" applyAlignment="1">
      <alignment vertical="center" wrapText="1"/>
    </xf>
    <xf numFmtId="10" fontId="6" fillId="0" borderId="8" xfId="16" applyNumberFormat="1" applyFont="1" applyBorder="1" applyAlignment="1">
      <alignment vertical="center" shrinkToFit="1"/>
    </xf>
    <xf numFmtId="3" fontId="6" fillId="0" borderId="8" xfId="0" applyNumberFormat="1" applyFont="1" applyBorder="1" applyAlignment="1">
      <alignment vertical="center" wrapText="1"/>
    </xf>
    <xf numFmtId="169" fontId="6" fillId="0" borderId="9" xfId="0" applyNumberFormat="1" applyFont="1" applyBorder="1" applyAlignment="1">
      <alignment vertical="center" shrinkToFit="1"/>
    </xf>
    <xf numFmtId="3" fontId="11" fillId="0" borderId="8" xfId="0" applyNumberFormat="1" applyFont="1" applyBorder="1" applyAlignment="1">
      <alignment vertical="center" wrapText="1"/>
    </xf>
    <xf numFmtId="3" fontId="4" fillId="0" borderId="0" xfId="0" applyNumberFormat="1" applyFont="1" applyAlignment="1">
      <alignment shrinkToFit="1"/>
    </xf>
    <xf numFmtId="9" fontId="4" fillId="0" borderId="0" xfId="16" applyFont="1" applyAlignment="1">
      <alignment shrinkToFit="1"/>
    </xf>
    <xf numFmtId="9" fontId="11" fillId="0" borderId="6" xfId="16" applyFont="1" applyBorder="1" applyAlignment="1">
      <alignment vertical="center" shrinkToFit="1"/>
    </xf>
    <xf numFmtId="9" fontId="13" fillId="0" borderId="8" xfId="16" applyFont="1" applyBorder="1" applyAlignment="1">
      <alignment vertical="center" shrinkToFit="1"/>
    </xf>
    <xf numFmtId="9" fontId="4" fillId="0" borderId="8" xfId="16" applyFont="1" applyBorder="1" applyAlignment="1">
      <alignment vertical="center" shrinkToFit="1"/>
    </xf>
    <xf numFmtId="9" fontId="13" fillId="0" borderId="9" xfId="16" applyFont="1" applyBorder="1" applyAlignment="1">
      <alignment vertical="center" shrinkToFit="1"/>
    </xf>
    <xf numFmtId="9" fontId="11" fillId="0" borderId="8" xfId="16" applyFont="1" applyBorder="1" applyAlignment="1">
      <alignment vertical="center" shrinkToFit="1"/>
    </xf>
    <xf numFmtId="170" fontId="11" fillId="0" borderId="6" xfId="1" applyNumberFormat="1" applyFont="1" applyBorder="1" applyAlignment="1">
      <alignment vertical="center" shrinkToFit="1"/>
    </xf>
    <xf numFmtId="170" fontId="11" fillId="0" borderId="8" xfId="1" applyNumberFormat="1" applyFont="1" applyBorder="1" applyAlignment="1">
      <alignment vertical="center" shrinkToFit="1"/>
    </xf>
    <xf numFmtId="170" fontId="13" fillId="0" borderId="8" xfId="1" applyNumberFormat="1" applyFont="1" applyBorder="1" applyAlignment="1">
      <alignment vertical="center" shrinkToFit="1"/>
    </xf>
    <xf numFmtId="170" fontId="4" fillId="0" borderId="8" xfId="1" applyNumberFormat="1" applyFont="1" applyBorder="1" applyAlignment="1">
      <alignment vertical="center" shrinkToFit="1"/>
    </xf>
    <xf numFmtId="170" fontId="13" fillId="0" borderId="9" xfId="1" applyNumberFormat="1" applyFont="1" applyBorder="1" applyAlignment="1">
      <alignment vertical="center" shrinkToFit="1"/>
    </xf>
    <xf numFmtId="43" fontId="34" fillId="0" borderId="0" xfId="1" applyFont="1"/>
    <xf numFmtId="166" fontId="34" fillId="0" borderId="0" xfId="1" applyNumberFormat="1" applyFont="1"/>
    <xf numFmtId="10" fontId="34" fillId="0" borderId="0" xfId="16" applyNumberFormat="1" applyFont="1"/>
    <xf numFmtId="0" fontId="4" fillId="0" borderId="0" xfId="0" applyFont="1" applyAlignment="1">
      <alignment horizontal="center"/>
    </xf>
    <xf numFmtId="0" fontId="6" fillId="0" borderId="1" xfId="0" applyFont="1" applyBorder="1" applyAlignment="1">
      <alignment horizontal="right"/>
    </xf>
    <xf numFmtId="0" fontId="6" fillId="0" borderId="5" xfId="0" applyFont="1" applyBorder="1" applyAlignment="1">
      <alignment horizontal="center" vertical="center" wrapText="1"/>
    </xf>
    <xf numFmtId="0" fontId="6" fillId="0" borderId="5" xfId="0" applyFont="1" applyBorder="1" applyAlignment="1">
      <alignment horizontal="center" vertical="center"/>
    </xf>
    <xf numFmtId="0" fontId="6" fillId="0" borderId="5" xfId="0" applyFont="1" applyBorder="1" applyAlignment="1">
      <alignment horizontal="center" vertical="center" shrinkToFit="1"/>
    </xf>
    <xf numFmtId="0" fontId="6" fillId="0" borderId="0" xfId="0" applyFont="1" applyAlignment="1">
      <alignment horizontal="center" vertical="center"/>
    </xf>
    <xf numFmtId="9" fontId="7" fillId="0" borderId="0" xfId="16" applyFont="1"/>
    <xf numFmtId="0" fontId="4" fillId="0" borderId="11" xfId="0" applyFont="1" applyBorder="1" applyAlignment="1">
      <alignment horizontal="center" shrinkToFit="1"/>
    </xf>
    <xf numFmtId="0" fontId="4" fillId="0" borderId="11" xfId="0" applyFont="1" applyBorder="1" applyAlignment="1">
      <alignment vertical="center" shrinkToFit="1"/>
    </xf>
    <xf numFmtId="169" fontId="4" fillId="0" borderId="11" xfId="0" applyNumberFormat="1" applyFont="1" applyBorder="1" applyAlignment="1">
      <alignment vertical="center" shrinkToFit="1"/>
    </xf>
    <xf numFmtId="169" fontId="4" fillId="0" borderId="11" xfId="0" applyNumberFormat="1" applyFont="1" applyFill="1" applyBorder="1" applyAlignment="1">
      <alignment vertical="center" shrinkToFit="1"/>
    </xf>
    <xf numFmtId="9" fontId="4" fillId="0" borderId="0" xfId="16" applyFont="1"/>
    <xf numFmtId="3" fontId="6" fillId="0" borderId="0" xfId="0" applyNumberFormat="1" applyFont="1" applyAlignment="1">
      <alignment horizontal="center"/>
    </xf>
    <xf numFmtId="10" fontId="4" fillId="0" borderId="0" xfId="16" applyNumberFormat="1" applyFont="1"/>
    <xf numFmtId="38" fontId="4" fillId="0" borderId="8" xfId="0" applyNumberFormat="1" applyFont="1" applyFill="1" applyBorder="1"/>
    <xf numFmtId="0" fontId="6" fillId="0" borderId="0" xfId="0" applyFont="1" applyFill="1"/>
    <xf numFmtId="38" fontId="6" fillId="0" borderId="0" xfId="1" applyNumberFormat="1" applyFont="1" applyFill="1"/>
    <xf numFmtId="166" fontId="6" fillId="0" borderId="0" xfId="0" applyNumberFormat="1" applyFont="1" applyFill="1"/>
    <xf numFmtId="49" fontId="4" fillId="0" borderId="0" xfId="0" applyNumberFormat="1" applyFont="1" applyFill="1" applyBorder="1"/>
    <xf numFmtId="0" fontId="4" fillId="0" borderId="0" xfId="0" applyFont="1" applyFill="1"/>
    <xf numFmtId="38" fontId="4" fillId="0" borderId="0" xfId="1" applyNumberFormat="1" applyFont="1" applyFill="1"/>
    <xf numFmtId="49" fontId="4" fillId="0" borderId="0" xfId="0" applyNumberFormat="1" applyFont="1" applyFill="1" applyBorder="1" applyAlignment="1">
      <alignment vertical="center"/>
    </xf>
    <xf numFmtId="49" fontId="32" fillId="0" borderId="0" xfId="0" applyNumberFormat="1" applyFont="1" applyFill="1" applyBorder="1"/>
    <xf numFmtId="0" fontId="19" fillId="0" borderId="0" xfId="0" applyFont="1" applyFill="1"/>
    <xf numFmtId="43" fontId="19" fillId="0" borderId="0" xfId="1" applyFont="1" applyFill="1"/>
    <xf numFmtId="0" fontId="11" fillId="0" borderId="6" xfId="0" applyFont="1" applyFill="1" applyBorder="1" applyAlignment="1">
      <alignment horizontal="center" shrinkToFit="1"/>
    </xf>
    <xf numFmtId="38" fontId="11" fillId="0" borderId="6" xfId="0" applyNumberFormat="1" applyFont="1" applyFill="1" applyBorder="1"/>
    <xf numFmtId="0" fontId="6" fillId="0" borderId="8" xfId="0" applyFont="1" applyFill="1" applyBorder="1" applyAlignment="1">
      <alignment shrinkToFit="1"/>
    </xf>
    <xf numFmtId="38" fontId="6" fillId="0" borderId="8" xfId="0" applyNumberFormat="1" applyFont="1" applyFill="1" applyBorder="1"/>
    <xf numFmtId="0" fontId="19" fillId="0" borderId="8" xfId="0" applyFont="1" applyFill="1" applyBorder="1" applyAlignment="1">
      <alignment shrinkToFit="1"/>
    </xf>
    <xf numFmtId="38" fontId="19" fillId="0" borderId="8" xfId="0" applyNumberFormat="1" applyFont="1" applyFill="1" applyBorder="1"/>
    <xf numFmtId="49" fontId="19" fillId="0" borderId="8" xfId="0" applyNumberFormat="1" applyFont="1" applyFill="1" applyBorder="1" applyAlignment="1">
      <alignment vertical="center" wrapText="1"/>
    </xf>
    <xf numFmtId="38" fontId="19" fillId="0" borderId="8" xfId="0" applyNumberFormat="1" applyFont="1" applyFill="1" applyBorder="1" applyAlignment="1">
      <alignment vertical="center"/>
    </xf>
    <xf numFmtId="0" fontId="46" fillId="0" borderId="0" xfId="0" applyFont="1" applyFill="1"/>
    <xf numFmtId="0" fontId="4" fillId="0" borderId="8" xfId="0" applyFont="1" applyFill="1" applyBorder="1" applyAlignment="1">
      <alignment shrinkToFit="1"/>
    </xf>
    <xf numFmtId="0" fontId="6" fillId="0" borderId="8" xfId="0" applyFont="1" applyFill="1" applyBorder="1"/>
    <xf numFmtId="0" fontId="6" fillId="0" borderId="9" xfId="0" applyFont="1" applyFill="1" applyBorder="1" applyAlignment="1">
      <alignment shrinkToFit="1"/>
    </xf>
    <xf numFmtId="38" fontId="6" fillId="0" borderId="9" xfId="0" applyNumberFormat="1" applyFont="1" applyFill="1" applyBorder="1"/>
    <xf numFmtId="3" fontId="4" fillId="0" borderId="0" xfId="0" applyNumberFormat="1" applyFont="1" applyAlignment="1"/>
    <xf numFmtId="38" fontId="13" fillId="0" borderId="0" xfId="0" applyNumberFormat="1" applyFont="1"/>
    <xf numFmtId="0" fontId="6" fillId="0" borderId="31" xfId="0" applyFont="1" applyFill="1" applyBorder="1" applyAlignment="1">
      <alignment horizontal="center" vertical="center" wrapText="1"/>
    </xf>
    <xf numFmtId="0" fontId="4" fillId="0" borderId="31" xfId="0" applyFont="1" applyFill="1" applyBorder="1" applyAlignment="1">
      <alignment vertical="center" wrapText="1"/>
    </xf>
    <xf numFmtId="0" fontId="4" fillId="0" borderId="31" xfId="0" applyFont="1" applyFill="1" applyBorder="1" applyAlignment="1">
      <alignment horizontal="center" vertical="center" shrinkToFit="1"/>
    </xf>
    <xf numFmtId="0" fontId="6" fillId="0" borderId="32" xfId="0" applyFont="1" applyFill="1" applyBorder="1" applyAlignment="1">
      <alignment horizontal="center" vertical="center" wrapText="1"/>
    </xf>
    <xf numFmtId="0" fontId="4" fillId="0" borderId="32" xfId="0" applyFont="1" applyFill="1" applyBorder="1" applyAlignment="1">
      <alignment vertical="center" wrapText="1"/>
    </xf>
    <xf numFmtId="0" fontId="4" fillId="0" borderId="32" xfId="0" applyFont="1" applyFill="1" applyBorder="1" applyAlignment="1">
      <alignment horizontal="center" vertical="center" shrinkToFit="1"/>
    </xf>
    <xf numFmtId="0" fontId="19" fillId="0" borderId="32" xfId="0" applyFont="1" applyFill="1" applyBorder="1" applyAlignment="1">
      <alignment vertical="center" wrapText="1"/>
    </xf>
    <xf numFmtId="172" fontId="4" fillId="0" borderId="32" xfId="14" applyNumberFormat="1" applyFont="1" applyFill="1" applyBorder="1" applyAlignment="1">
      <alignment vertical="center" shrinkToFit="1"/>
    </xf>
    <xf numFmtId="164" fontId="4" fillId="0" borderId="32" xfId="14" applyNumberFormat="1" applyFont="1" applyFill="1" applyBorder="1" applyAlignment="1">
      <alignment vertical="center" shrinkToFit="1"/>
    </xf>
    <xf numFmtId="0" fontId="4" fillId="0" borderId="32" xfId="0" quotePrefix="1" applyFont="1" applyFill="1" applyBorder="1" applyAlignment="1">
      <alignment vertical="center" wrapText="1"/>
    </xf>
    <xf numFmtId="0" fontId="83" fillId="0" borderId="0" xfId="0" applyFont="1" applyFill="1" applyBorder="1"/>
    <xf numFmtId="166" fontId="4" fillId="0" borderId="32" xfId="1" applyNumberFormat="1" applyFont="1" applyFill="1" applyBorder="1" applyAlignment="1">
      <alignment vertical="center" shrinkToFit="1"/>
    </xf>
    <xf numFmtId="166" fontId="4" fillId="0" borderId="32" xfId="14" applyNumberFormat="1" applyFont="1" applyFill="1" applyBorder="1" applyAlignment="1">
      <alignment vertical="center" shrinkToFit="1"/>
    </xf>
    <xf numFmtId="0" fontId="6" fillId="0" borderId="33" xfId="0" applyFont="1" applyFill="1" applyBorder="1" applyAlignment="1">
      <alignment horizontal="center" vertical="center" wrapText="1"/>
    </xf>
    <xf numFmtId="0" fontId="4" fillId="0" borderId="33" xfId="0" applyFont="1" applyFill="1" applyBorder="1" applyAlignment="1">
      <alignment vertical="center" wrapText="1"/>
    </xf>
    <xf numFmtId="0" fontId="4" fillId="0" borderId="33" xfId="0" applyFont="1" applyFill="1" applyBorder="1" applyAlignment="1">
      <alignment horizontal="center" vertical="center" shrinkToFit="1"/>
    </xf>
    <xf numFmtId="172" fontId="4" fillId="0" borderId="33" xfId="14" applyNumberFormat="1" applyFont="1" applyFill="1" applyBorder="1" applyAlignment="1">
      <alignment vertical="center" shrinkToFit="1"/>
    </xf>
    <xf numFmtId="172" fontId="4" fillId="0" borderId="31" xfId="14" applyNumberFormat="1" applyFont="1" applyFill="1" applyBorder="1" applyAlignment="1">
      <alignment vertical="center" shrinkToFit="1"/>
    </xf>
    <xf numFmtId="3" fontId="4" fillId="0" borderId="31" xfId="14" applyNumberFormat="1" applyFont="1" applyFill="1" applyBorder="1" applyAlignment="1">
      <alignment vertical="center" shrinkToFit="1"/>
    </xf>
    <xf numFmtId="164" fontId="4" fillId="0" borderId="32" xfId="14" applyNumberFormat="1" applyFont="1" applyFill="1" applyBorder="1" applyAlignment="1">
      <alignment horizontal="right" vertical="center" shrinkToFit="1"/>
    </xf>
    <xf numFmtId="173" fontId="4" fillId="0" borderId="32" xfId="14" applyNumberFormat="1" applyFont="1" applyFill="1" applyBorder="1" applyAlignment="1">
      <alignment vertical="center" shrinkToFit="1"/>
    </xf>
    <xf numFmtId="0" fontId="4" fillId="0" borderId="32" xfId="14" applyNumberFormat="1" applyFont="1" applyFill="1" applyBorder="1" applyAlignment="1">
      <alignment vertical="center" shrinkToFit="1"/>
    </xf>
    <xf numFmtId="0" fontId="4" fillId="0" borderId="32" xfId="14" applyNumberFormat="1" applyFont="1" applyFill="1" applyBorder="1" applyAlignment="1">
      <alignment horizontal="center" vertical="center" shrinkToFit="1"/>
    </xf>
    <xf numFmtId="2" fontId="4" fillId="0" borderId="32" xfId="14" applyNumberFormat="1" applyFont="1" applyFill="1" applyBorder="1" applyAlignment="1">
      <alignment vertical="center" shrinkToFit="1"/>
    </xf>
    <xf numFmtId="2" fontId="4" fillId="0" borderId="32" xfId="14" applyNumberFormat="1" applyFont="1" applyFill="1" applyBorder="1" applyAlignment="1">
      <alignment horizontal="center" vertical="center" shrinkToFit="1"/>
    </xf>
    <xf numFmtId="172" fontId="4" fillId="0" borderId="32" xfId="14" applyNumberFormat="1" applyFont="1" applyFill="1" applyBorder="1" applyAlignment="1">
      <alignment horizontal="center" vertical="center" shrinkToFit="1"/>
    </xf>
    <xf numFmtId="164" fontId="4" fillId="0" borderId="32" xfId="14" applyNumberFormat="1" applyFont="1" applyFill="1" applyBorder="1" applyAlignment="1">
      <alignment horizontal="center" vertical="center" shrinkToFit="1"/>
    </xf>
    <xf numFmtId="173" fontId="4" fillId="0" borderId="32" xfId="14" applyNumberFormat="1" applyFont="1" applyFill="1" applyBorder="1" applyAlignment="1">
      <alignment horizontal="right" vertical="center" shrinkToFit="1"/>
    </xf>
    <xf numFmtId="0" fontId="51" fillId="0" borderId="0" xfId="0" applyFont="1" applyFill="1" applyAlignment="1">
      <alignment vertical="center"/>
    </xf>
    <xf numFmtId="0" fontId="83" fillId="0" borderId="0" xfId="0" applyFont="1" applyFill="1"/>
    <xf numFmtId="0" fontId="6" fillId="0" borderId="30" xfId="0" applyFont="1" applyFill="1" applyBorder="1" applyAlignment="1">
      <alignment horizontal="center" vertical="center" shrinkToFit="1"/>
    </xf>
    <xf numFmtId="166" fontId="83" fillId="0" borderId="0" xfId="0" applyNumberFormat="1" applyFont="1" applyFill="1"/>
    <xf numFmtId="0" fontId="84" fillId="0" borderId="0" xfId="0" applyFont="1" applyFill="1"/>
    <xf numFmtId="0" fontId="4" fillId="0" borderId="32" xfId="17" applyFont="1" applyFill="1" applyBorder="1" applyAlignment="1">
      <alignment vertical="center" wrapText="1"/>
    </xf>
    <xf numFmtId="0" fontId="23" fillId="0" borderId="8" xfId="0" applyFont="1" applyBorder="1" applyAlignment="1">
      <alignment vertical="center"/>
    </xf>
    <xf numFmtId="0" fontId="32" fillId="0" borderId="8" xfId="0" applyFont="1" applyBorder="1" applyAlignment="1">
      <alignment vertical="center"/>
    </xf>
    <xf numFmtId="4" fontId="4" fillId="0" borderId="0" xfId="0" applyNumberFormat="1" applyFont="1" applyAlignment="1">
      <alignment shrinkToFit="1"/>
    </xf>
    <xf numFmtId="9" fontId="83" fillId="0" borderId="0" xfId="16" applyFont="1" applyFill="1"/>
    <xf numFmtId="166" fontId="83" fillId="0" borderId="0" xfId="1" applyNumberFormat="1" applyFont="1" applyFill="1"/>
    <xf numFmtId="9" fontId="83" fillId="0" borderId="0" xfId="0" applyNumberFormat="1" applyFont="1" applyFill="1"/>
    <xf numFmtId="175" fontId="83" fillId="0" borderId="0" xfId="16" applyNumberFormat="1" applyFont="1" applyFill="1"/>
    <xf numFmtId="176" fontId="83" fillId="0" borderId="0" xfId="0" applyNumberFormat="1" applyFont="1" applyFill="1"/>
    <xf numFmtId="10" fontId="83" fillId="0" borderId="0" xfId="16" applyNumberFormat="1" applyFont="1" applyFill="1"/>
    <xf numFmtId="175" fontId="4" fillId="0" borderId="0" xfId="16" applyNumberFormat="1" applyFont="1"/>
    <xf numFmtId="4" fontId="4" fillId="0" borderId="0" xfId="0" applyNumberFormat="1" applyFont="1" applyBorder="1" applyAlignment="1"/>
    <xf numFmtId="0" fontId="63" fillId="0" borderId="32" xfId="0" applyFont="1" applyFill="1" applyBorder="1" applyAlignment="1">
      <alignment horizontal="center" vertical="center" wrapText="1"/>
    </xf>
    <xf numFmtId="10" fontId="63" fillId="0" borderId="32" xfId="16" applyNumberFormat="1" applyFont="1" applyFill="1" applyBorder="1" applyAlignment="1">
      <alignment vertical="center" shrinkToFit="1"/>
    </xf>
    <xf numFmtId="10" fontId="14" fillId="0" borderId="32" xfId="16" applyNumberFormat="1" applyFont="1" applyFill="1" applyBorder="1" applyAlignment="1">
      <alignment horizontal="center" vertical="center" shrinkToFit="1"/>
    </xf>
    <xf numFmtId="10" fontId="14" fillId="0" borderId="32" xfId="16" applyNumberFormat="1" applyFont="1" applyFill="1" applyBorder="1" applyAlignment="1">
      <alignment vertical="center" shrinkToFit="1"/>
    </xf>
    <xf numFmtId="10" fontId="15" fillId="0" borderId="32" xfId="16" applyNumberFormat="1" applyFont="1" applyFill="1" applyBorder="1" applyAlignment="1">
      <alignment vertical="center" shrinkToFit="1"/>
    </xf>
    <xf numFmtId="0" fontId="15" fillId="0" borderId="32" xfId="0" applyFont="1" applyFill="1" applyBorder="1" applyAlignment="1">
      <alignment horizontal="center" vertical="center" wrapText="1"/>
    </xf>
    <xf numFmtId="43" fontId="14" fillId="0" borderId="32" xfId="1" applyFont="1" applyFill="1" applyBorder="1" applyAlignment="1">
      <alignment horizontal="center" vertical="center" shrinkToFit="1"/>
    </xf>
    <xf numFmtId="43" fontId="14" fillId="0" borderId="32" xfId="1" applyFont="1" applyFill="1" applyBorder="1" applyAlignment="1">
      <alignment vertical="center" shrinkToFit="1"/>
    </xf>
    <xf numFmtId="0" fontId="85" fillId="0" borderId="8" xfId="5" applyFont="1" applyFill="1" applyBorder="1" applyAlignment="1">
      <alignment vertical="center" wrapText="1"/>
    </xf>
    <xf numFmtId="38" fontId="85" fillId="0" borderId="8" xfId="5" applyNumberFormat="1" applyFont="1" applyFill="1" applyBorder="1" applyAlignment="1">
      <alignment vertical="center" wrapText="1"/>
    </xf>
    <xf numFmtId="0" fontId="85" fillId="0" borderId="0" xfId="0" applyFont="1" applyFill="1"/>
    <xf numFmtId="38" fontId="23" fillId="0" borderId="8" xfId="0" applyNumberFormat="1" applyFont="1" applyFill="1" applyBorder="1" applyAlignment="1">
      <alignment shrinkToFit="1"/>
    </xf>
    <xf numFmtId="167" fontId="23" fillId="0" borderId="6" xfId="0" applyNumberFormat="1" applyFont="1" applyBorder="1" applyAlignment="1">
      <alignment horizontal="center" vertical="center"/>
    </xf>
    <xf numFmtId="167" fontId="23" fillId="0" borderId="8" xfId="0" applyNumberFormat="1" applyFont="1" applyBorder="1" applyAlignment="1">
      <alignment horizontal="center" vertical="center"/>
    </xf>
    <xf numFmtId="167" fontId="20" fillId="0" borderId="8" xfId="0" applyNumberFormat="1" applyFont="1" applyBorder="1" applyAlignment="1">
      <alignment horizontal="center" vertical="center"/>
    </xf>
    <xf numFmtId="167" fontId="45" fillId="0" borderId="8" xfId="0" applyNumberFormat="1" applyFont="1" applyBorder="1" applyAlignment="1">
      <alignment horizontal="center" vertical="center"/>
    </xf>
    <xf numFmtId="167" fontId="28" fillId="0" borderId="8" xfId="0" applyNumberFormat="1" applyFont="1" applyBorder="1" applyAlignment="1">
      <alignment horizontal="center" vertical="center"/>
    </xf>
    <xf numFmtId="3" fontId="28" fillId="0" borderId="8" xfId="0" applyNumberFormat="1" applyFont="1" applyBorder="1" applyAlignment="1">
      <alignment horizontal="center" vertical="center"/>
    </xf>
    <xf numFmtId="167" fontId="23" fillId="0" borderId="29" xfId="0" applyNumberFormat="1" applyFont="1" applyBorder="1" applyAlignment="1">
      <alignment horizontal="center" vertical="center"/>
    </xf>
    <xf numFmtId="167" fontId="28" fillId="0" borderId="9" xfId="0" applyNumberFormat="1" applyFont="1" applyBorder="1" applyAlignment="1">
      <alignment horizontal="center" vertical="center"/>
    </xf>
    <xf numFmtId="0" fontId="28" fillId="0" borderId="8" xfId="0" applyFont="1" applyBorder="1" applyAlignment="1">
      <alignment horizontal="left" vertical="center" wrapText="1" shrinkToFit="1"/>
    </xf>
    <xf numFmtId="0" fontId="20" fillId="0" borderId="8" xfId="0" applyFont="1" applyBorder="1" applyAlignment="1">
      <alignment horizontal="left" vertical="center" wrapText="1" shrinkToFit="1"/>
    </xf>
    <xf numFmtId="0" fontId="45" fillId="0" borderId="8" xfId="0" applyFont="1" applyBorder="1" applyAlignment="1">
      <alignment horizontal="left" vertical="center" wrapText="1" shrinkToFit="1"/>
    </xf>
    <xf numFmtId="0" fontId="23" fillId="0" borderId="8" xfId="6" applyFont="1" applyFill="1" applyBorder="1" applyAlignment="1">
      <alignment horizontal="left" vertical="center" wrapText="1" shrinkToFit="1"/>
    </xf>
    <xf numFmtId="0" fontId="23" fillId="0" borderId="8" xfId="0" applyFont="1" applyBorder="1" applyAlignment="1">
      <alignment horizontal="left" vertical="center" wrapText="1" shrinkToFit="1"/>
    </xf>
    <xf numFmtId="0" fontId="42" fillId="0" borderId="8" xfId="0" applyFont="1" applyBorder="1" applyAlignment="1">
      <alignment horizontal="left" vertical="center" wrapText="1" shrinkToFit="1"/>
    </xf>
    <xf numFmtId="0" fontId="23" fillId="0" borderId="8" xfId="0" applyFont="1" applyFill="1" applyBorder="1" applyAlignment="1">
      <alignment horizontal="left" vertical="center" wrapText="1" shrinkToFit="1"/>
    </xf>
    <xf numFmtId="0" fontId="23" fillId="0" borderId="8" xfId="0" applyFont="1" applyBorder="1" applyAlignment="1">
      <alignment horizontal="left" vertical="center" wrapText="1"/>
    </xf>
    <xf numFmtId="0" fontId="55" fillId="0" borderId="8" xfId="0" applyFont="1" applyBorder="1" applyAlignment="1">
      <alignment horizontal="left" vertical="center" wrapText="1"/>
    </xf>
    <xf numFmtId="0" fontId="55" fillId="0" borderId="9" xfId="0" applyFont="1" applyBorder="1" applyAlignment="1">
      <alignment horizontal="left" vertical="center" wrapText="1"/>
    </xf>
    <xf numFmtId="166" fontId="4" fillId="0" borderId="0" xfId="1" applyNumberFormat="1" applyFont="1"/>
    <xf numFmtId="166" fontId="4" fillId="0" borderId="0" xfId="0" applyNumberFormat="1" applyFont="1"/>
    <xf numFmtId="38" fontId="25" fillId="0" borderId="0" xfId="0" applyNumberFormat="1" applyFont="1"/>
    <xf numFmtId="38" fontId="19" fillId="0" borderId="0" xfId="0" applyNumberFormat="1" applyFont="1"/>
    <xf numFmtId="0" fontId="19" fillId="1" borderId="8" xfId="0" applyFont="1" applyFill="1" applyBorder="1" applyAlignment="1">
      <alignment horizontal="center" vertical="center"/>
    </xf>
    <xf numFmtId="0" fontId="19" fillId="1" borderId="8" xfId="0" applyFont="1" applyFill="1" applyBorder="1" applyAlignment="1">
      <alignment vertical="center"/>
    </xf>
    <xf numFmtId="38" fontId="19" fillId="1" borderId="8" xfId="0" applyNumberFormat="1" applyFont="1" applyFill="1" applyBorder="1" applyAlignment="1">
      <alignment vertical="center"/>
    </xf>
    <xf numFmtId="0" fontId="6" fillId="0" borderId="5" xfId="0" applyFont="1" applyFill="1" applyBorder="1" applyAlignment="1">
      <alignment horizontal="center" vertical="center" wrapText="1"/>
    </xf>
    <xf numFmtId="177" fontId="23" fillId="0" borderId="8" xfId="18" applyNumberFormat="1" applyFont="1" applyBorder="1"/>
    <xf numFmtId="177" fontId="23" fillId="0" borderId="8" xfId="18" applyNumberFormat="1" applyFont="1" applyBorder="1" applyAlignment="1">
      <alignment shrinkToFit="1"/>
    </xf>
    <xf numFmtId="177" fontId="23" fillId="0" borderId="8" xfId="2" applyNumberFormat="1" applyFont="1" applyBorder="1" applyAlignment="1"/>
    <xf numFmtId="177" fontId="23" fillId="0" borderId="8" xfId="2" applyNumberFormat="1" applyFont="1" applyBorder="1" applyAlignment="1">
      <alignment shrinkToFit="1"/>
    </xf>
    <xf numFmtId="166" fontId="23" fillId="0" borderId="8" xfId="2" applyNumberFormat="1" applyFont="1" applyFill="1" applyBorder="1" applyAlignment="1">
      <alignment horizontal="center" shrinkToFit="1"/>
    </xf>
    <xf numFmtId="166" fontId="32" fillId="0" borderId="8" xfId="2" applyNumberFormat="1" applyFont="1" applyFill="1" applyBorder="1" applyAlignment="1">
      <alignment horizontal="center" shrinkToFit="1"/>
    </xf>
    <xf numFmtId="3" fontId="91" fillId="0" borderId="0" xfId="0" applyNumberFormat="1" applyFont="1" applyBorder="1" applyAlignment="1"/>
    <xf numFmtId="3" fontId="89" fillId="0" borderId="0" xfId="0" applyNumberFormat="1" applyFont="1"/>
    <xf numFmtId="0" fontId="14" fillId="3" borderId="30" xfId="0" applyFont="1" applyFill="1" applyBorder="1" applyAlignment="1">
      <alignment horizontal="center" vertical="center" shrinkToFit="1"/>
    </xf>
    <xf numFmtId="0" fontId="14" fillId="3" borderId="30" xfId="0" applyFont="1" applyFill="1" applyBorder="1" applyAlignment="1">
      <alignment vertical="center" wrapText="1"/>
    </xf>
    <xf numFmtId="0" fontId="14" fillId="3" borderId="34" xfId="0" applyFont="1" applyFill="1" applyBorder="1" applyAlignment="1">
      <alignment horizontal="center" vertical="center" shrinkToFit="1"/>
    </xf>
    <xf numFmtId="0" fontId="14" fillId="3" borderId="40" xfId="0" applyFont="1" applyFill="1" applyBorder="1" applyAlignment="1">
      <alignment horizontal="center" vertical="center" shrinkToFit="1"/>
    </xf>
    <xf numFmtId="0" fontId="15" fillId="0" borderId="32" xfId="8" applyFont="1" applyFill="1" applyBorder="1"/>
    <xf numFmtId="0" fontId="92" fillId="0" borderId="32" xfId="8" applyFont="1" applyFill="1" applyBorder="1"/>
    <xf numFmtId="0" fontId="93" fillId="0" borderId="32" xfId="8" applyFont="1" applyFill="1" applyBorder="1"/>
    <xf numFmtId="0" fontId="14" fillId="3" borderId="30" xfId="0" applyFont="1" applyFill="1" applyBorder="1" applyAlignment="1">
      <alignment horizontal="center" vertical="center" wrapText="1"/>
    </xf>
    <xf numFmtId="166" fontId="20" fillId="0" borderId="32" xfId="2" applyNumberFormat="1" applyFont="1" applyFill="1" applyBorder="1" applyAlignment="1">
      <alignment vertical="center" shrinkToFit="1"/>
    </xf>
    <xf numFmtId="43" fontId="23" fillId="0" borderId="32" xfId="8" applyNumberFormat="1" applyFont="1" applyFill="1" applyBorder="1" applyAlignment="1">
      <alignment vertical="center" shrinkToFit="1"/>
    </xf>
    <xf numFmtId="0" fontId="15" fillId="0" borderId="32" xfId="0" applyFont="1" applyFill="1" applyBorder="1" applyAlignment="1">
      <alignment horizontal="center" vertical="center" wrapText="1" shrinkToFit="1"/>
    </xf>
    <xf numFmtId="38" fontId="15" fillId="0" borderId="32" xfId="14" applyNumberFormat="1" applyFont="1" applyFill="1" applyBorder="1" applyAlignment="1">
      <alignment vertical="center" shrinkToFit="1"/>
    </xf>
    <xf numFmtId="10" fontId="11" fillId="0" borderId="6" xfId="16" applyNumberFormat="1" applyFont="1" applyBorder="1" applyAlignment="1">
      <alignment vertical="center" shrinkToFit="1"/>
    </xf>
    <xf numFmtId="10" fontId="11" fillId="0" borderId="8" xfId="16" applyNumberFormat="1" applyFont="1" applyBorder="1" applyAlignment="1">
      <alignment vertical="center" shrinkToFit="1"/>
    </xf>
    <xf numFmtId="177" fontId="90" fillId="0" borderId="8" xfId="8" applyNumberFormat="1" applyFont="1" applyBorder="1" applyAlignment="1">
      <alignment shrinkToFit="1"/>
    </xf>
    <xf numFmtId="10" fontId="89" fillId="0" borderId="8" xfId="16" applyNumberFormat="1" applyFont="1" applyBorder="1" applyAlignment="1">
      <alignment vertical="center" shrinkToFit="1"/>
    </xf>
    <xf numFmtId="177" fontId="90" fillId="0" borderId="8" xfId="8" applyNumberFormat="1" applyFont="1" applyBorder="1"/>
    <xf numFmtId="166" fontId="90" fillId="0" borderId="8" xfId="2" applyNumberFormat="1" applyFont="1" applyBorder="1" applyAlignment="1">
      <alignment shrinkToFit="1"/>
    </xf>
    <xf numFmtId="166" fontId="90" fillId="0" borderId="8" xfId="2" applyNumberFormat="1" applyFont="1" applyFill="1" applyBorder="1" applyAlignment="1">
      <alignment horizontal="center" shrinkToFit="1"/>
    </xf>
    <xf numFmtId="166" fontId="90" fillId="0" borderId="8" xfId="19" applyNumberFormat="1" applyFont="1" applyFill="1" applyBorder="1" applyAlignment="1">
      <alignment shrinkToFit="1"/>
    </xf>
    <xf numFmtId="10" fontId="4" fillId="0" borderId="8" xfId="16" applyNumberFormat="1" applyFont="1" applyBorder="1" applyAlignment="1">
      <alignment vertical="center" shrinkToFit="1"/>
    </xf>
    <xf numFmtId="166" fontId="23" fillId="0" borderId="8" xfId="19" applyNumberFormat="1" applyFont="1" applyFill="1" applyBorder="1" applyAlignment="1">
      <alignment shrinkToFit="1"/>
    </xf>
    <xf numFmtId="10" fontId="19" fillId="0" borderId="8" xfId="16" applyNumberFormat="1" applyFont="1" applyBorder="1" applyAlignment="1">
      <alignment vertical="center" shrinkToFit="1"/>
    </xf>
    <xf numFmtId="10" fontId="29" fillId="0" borderId="8" xfId="16" applyNumberFormat="1" applyFont="1" applyBorder="1" applyAlignment="1">
      <alignment vertical="center" shrinkToFit="1"/>
    </xf>
    <xf numFmtId="175" fontId="4" fillId="0" borderId="8" xfId="16" applyNumberFormat="1" applyFont="1" applyBorder="1" applyAlignment="1">
      <alignment vertical="center" shrinkToFit="1"/>
    </xf>
    <xf numFmtId="166" fontId="11" fillId="0" borderId="8" xfId="1" applyNumberFormat="1" applyFont="1" applyBorder="1" applyAlignment="1">
      <alignment vertical="center" shrinkToFit="1"/>
    </xf>
    <xf numFmtId="10" fontId="30" fillId="0" borderId="8" xfId="16" applyNumberFormat="1" applyFont="1" applyBorder="1" applyAlignment="1">
      <alignment vertical="center" shrinkToFit="1"/>
    </xf>
    <xf numFmtId="9" fontId="30" fillId="0" borderId="8" xfId="16" applyFont="1" applyBorder="1" applyAlignment="1">
      <alignment vertical="center" shrinkToFit="1"/>
    </xf>
    <xf numFmtId="38" fontId="13" fillId="0" borderId="8" xfId="0" applyNumberFormat="1" applyFont="1" applyBorder="1" applyAlignment="1">
      <alignment vertical="center" shrinkToFit="1"/>
    </xf>
    <xf numFmtId="10" fontId="13" fillId="0" borderId="8" xfId="16" applyNumberFormat="1" applyFont="1" applyBorder="1" applyAlignment="1">
      <alignment vertical="center" shrinkToFit="1"/>
    </xf>
    <xf numFmtId="9" fontId="43" fillId="0" borderId="8" xfId="16" applyFont="1" applyBorder="1" applyAlignment="1">
      <alignment vertical="center" shrinkToFit="1"/>
    </xf>
    <xf numFmtId="10" fontId="43" fillId="0" borderId="8" xfId="16" applyNumberFormat="1" applyFont="1" applyBorder="1" applyAlignment="1">
      <alignment vertical="center" shrinkToFit="1"/>
    </xf>
    <xf numFmtId="3" fontId="43" fillId="0" borderId="8" xfId="0" applyNumberFormat="1" applyFont="1" applyBorder="1" applyAlignment="1">
      <alignment vertical="center" shrinkToFit="1"/>
    </xf>
    <xf numFmtId="9" fontId="6" fillId="0" borderId="8" xfId="16" applyFont="1" applyBorder="1" applyAlignment="1">
      <alignment vertical="center" shrinkToFit="1"/>
    </xf>
    <xf numFmtId="10" fontId="4" fillId="0" borderId="9" xfId="16" applyNumberFormat="1" applyFont="1" applyBorder="1" applyAlignment="1">
      <alignment vertical="center" shrinkToFit="1"/>
    </xf>
    <xf numFmtId="3" fontId="6" fillId="0" borderId="6" xfId="0" applyNumberFormat="1" applyFont="1" applyBorder="1" applyAlignment="1">
      <alignment vertical="center" shrinkToFit="1"/>
    </xf>
    <xf numFmtId="3" fontId="6" fillId="0" borderId="6" xfId="0" applyNumberFormat="1" applyFont="1" applyBorder="1" applyAlignment="1">
      <alignment vertical="center"/>
    </xf>
    <xf numFmtId="10" fontId="6" fillId="0" borderId="6" xfId="16" applyNumberFormat="1" applyFont="1" applyBorder="1" applyAlignment="1">
      <alignment vertical="center"/>
    </xf>
    <xf numFmtId="9" fontId="19" fillId="0" borderId="8" xfId="16" applyFont="1" applyBorder="1" applyAlignment="1">
      <alignment vertical="center" shrinkToFit="1"/>
    </xf>
    <xf numFmtId="10" fontId="6" fillId="0" borderId="9" xfId="16" applyNumberFormat="1" applyFont="1" applyBorder="1" applyAlignment="1">
      <alignment vertical="center" shrinkToFit="1"/>
    </xf>
    <xf numFmtId="166" fontId="83" fillId="0" borderId="0" xfId="1" applyNumberFormat="1" applyFont="1" applyFill="1" applyBorder="1" applyAlignment="1">
      <alignment shrinkToFit="1"/>
    </xf>
    <xf numFmtId="43" fontId="11" fillId="0" borderId="0" xfId="1" applyFont="1" applyBorder="1"/>
    <xf numFmtId="166" fontId="14" fillId="0" borderId="8" xfId="0" applyNumberFormat="1" applyFont="1" applyFill="1" applyBorder="1" applyAlignment="1">
      <alignment vertical="center" wrapText="1"/>
    </xf>
    <xf numFmtId="10" fontId="11" fillId="0" borderId="6" xfId="16" applyNumberFormat="1" applyFont="1" applyBorder="1" applyAlignment="1">
      <alignment shrinkToFit="1"/>
    </xf>
    <xf numFmtId="169" fontId="11" fillId="0" borderId="10" xfId="0" applyNumberFormat="1" applyFont="1" applyBorder="1" applyAlignment="1">
      <alignment shrinkToFit="1"/>
    </xf>
    <xf numFmtId="169" fontId="11" fillId="0" borderId="10" xfId="1" applyNumberFormat="1" applyFont="1" applyBorder="1" applyAlignment="1">
      <alignment shrinkToFit="1"/>
    </xf>
    <xf numFmtId="10" fontId="11" fillId="0" borderId="8" xfId="16" applyNumberFormat="1" applyFont="1" applyBorder="1" applyAlignment="1">
      <alignment shrinkToFit="1"/>
    </xf>
    <xf numFmtId="10" fontId="11" fillId="0" borderId="9" xfId="16" applyNumberFormat="1" applyFont="1" applyBorder="1" applyAlignment="1">
      <alignment shrinkToFit="1"/>
    </xf>
    <xf numFmtId="10" fontId="6" fillId="0" borderId="8" xfId="16" applyNumberFormat="1" applyFont="1" applyBorder="1" applyAlignment="1">
      <alignment shrinkToFit="1"/>
    </xf>
    <xf numFmtId="166" fontId="6" fillId="0" borderId="0" xfId="1" applyNumberFormat="1" applyFont="1" applyBorder="1"/>
    <xf numFmtId="0" fontId="57" fillId="0" borderId="8" xfId="13" applyNumberFormat="1" applyFont="1" applyFill="1" applyBorder="1" applyAlignment="1">
      <alignment horizontal="left"/>
    </xf>
    <xf numFmtId="3" fontId="57" fillId="0" borderId="8" xfId="13" applyNumberFormat="1" applyFont="1" applyFill="1" applyBorder="1" applyAlignment="1">
      <alignment horizontal="right"/>
    </xf>
    <xf numFmtId="0" fontId="58" fillId="0" borderId="8" xfId="13" applyNumberFormat="1" applyFont="1" applyFill="1" applyBorder="1" applyAlignment="1">
      <alignment horizontal="left"/>
    </xf>
    <xf numFmtId="3" fontId="58" fillId="0" borderId="8" xfId="13" applyNumberFormat="1" applyFont="1" applyFill="1" applyBorder="1" applyAlignment="1">
      <alignment horizontal="right"/>
    </xf>
    <xf numFmtId="3" fontId="58" fillId="0" borderId="8" xfId="13" applyNumberFormat="1" applyFont="1" applyFill="1" applyBorder="1" applyAlignment="1">
      <alignment horizontal="right" vertical="justify"/>
    </xf>
    <xf numFmtId="0" fontId="58" fillId="0" borderId="8" xfId="13" applyFont="1" applyFill="1" applyBorder="1" applyAlignment="1">
      <alignment horizontal="left" vertical="justify"/>
    </xf>
    <xf numFmtId="0" fontId="58" fillId="0" borderId="8" xfId="13" quotePrefix="1" applyNumberFormat="1" applyFont="1" applyFill="1" applyBorder="1" applyAlignment="1">
      <alignment horizontal="left"/>
    </xf>
    <xf numFmtId="0" fontId="58" fillId="0" borderId="9" xfId="13" applyFont="1" applyFill="1" applyBorder="1" applyAlignment="1">
      <alignment horizontal="center" vertical="center"/>
    </xf>
    <xf numFmtId="0" fontId="58" fillId="0" borderId="9" xfId="13" applyFont="1" applyFill="1" applyBorder="1" applyAlignment="1">
      <alignment horizontal="left" vertical="justify"/>
    </xf>
    <xf numFmtId="3" fontId="58" fillId="0" borderId="9" xfId="13" applyNumberFormat="1" applyFont="1" applyFill="1" applyBorder="1" applyAlignment="1">
      <alignment horizontal="right" vertical="justify"/>
    </xf>
    <xf numFmtId="0" fontId="4" fillId="0" borderId="0" xfId="0" applyFont="1" applyAlignment="1">
      <alignment horizontal="center"/>
    </xf>
    <xf numFmtId="3" fontId="4" fillId="0" borderId="0" xfId="0" applyNumberFormat="1" applyFont="1" applyAlignment="1">
      <alignment horizontal="center"/>
    </xf>
    <xf numFmtId="0" fontId="58" fillId="0" borderId="8" xfId="13" applyNumberFormat="1" applyFont="1" applyFill="1" applyBorder="1" applyAlignment="1">
      <alignment vertical="justify"/>
    </xf>
    <xf numFmtId="177" fontId="32" fillId="0" borderId="8" xfId="18" applyNumberFormat="1" applyFont="1" applyBorder="1" applyAlignment="1">
      <alignment shrinkToFit="1"/>
    </xf>
    <xf numFmtId="177" fontId="32" fillId="0" borderId="8" xfId="18" applyNumberFormat="1" applyFont="1" applyBorder="1"/>
    <xf numFmtId="177" fontId="32" fillId="0" borderId="8" xfId="2" applyNumberFormat="1" applyFont="1" applyBorder="1" applyAlignment="1"/>
    <xf numFmtId="177" fontId="32" fillId="0" borderId="8" xfId="2" applyNumberFormat="1" applyFont="1" applyBorder="1" applyAlignment="1">
      <alignment shrinkToFit="1"/>
    </xf>
    <xf numFmtId="177" fontId="23" fillId="0" borderId="8" xfId="18" applyNumberFormat="1" applyFont="1" applyBorder="1" applyAlignment="1">
      <alignment vertical="center" shrinkToFit="1"/>
    </xf>
    <xf numFmtId="177" fontId="23" fillId="0" borderId="8" xfId="18" applyNumberFormat="1" applyFont="1" applyBorder="1" applyAlignment="1">
      <alignment vertical="center"/>
    </xf>
    <xf numFmtId="177" fontId="23" fillId="0" borderId="8" xfId="2" applyNumberFormat="1" applyFont="1" applyBorder="1" applyAlignment="1">
      <alignment vertical="center"/>
    </xf>
    <xf numFmtId="177" fontId="23" fillId="0" borderId="8" xfId="2" applyNumberFormat="1" applyFont="1" applyBorder="1" applyAlignment="1">
      <alignment vertical="center" shrinkToFit="1"/>
    </xf>
    <xf numFmtId="166" fontId="32" fillId="0" borderId="8" xfId="2" applyNumberFormat="1" applyFont="1" applyFill="1" applyBorder="1" applyAlignment="1">
      <alignment horizontal="center" vertical="center" shrinkToFit="1"/>
    </xf>
    <xf numFmtId="169" fontId="11" fillId="0" borderId="6" xfId="0" applyNumberFormat="1" applyFont="1" applyBorder="1" applyAlignment="1">
      <alignment horizontal="center" vertical="center" wrapText="1" shrinkToFit="1"/>
    </xf>
    <xf numFmtId="0" fontId="57" fillId="0" borderId="6" xfId="13" applyFont="1" applyFill="1" applyBorder="1" applyAlignment="1">
      <alignment horizontal="center" vertical="center" wrapText="1"/>
    </xf>
    <xf numFmtId="0" fontId="20" fillId="0" borderId="6" xfId="13" applyNumberFormat="1" applyFont="1" applyFill="1" applyBorder="1" applyAlignment="1">
      <alignment horizontal="left" vertical="center" wrapText="1"/>
    </xf>
    <xf numFmtId="170" fontId="57" fillId="0" borderId="6" xfId="13" applyNumberFormat="1" applyFont="1" applyFill="1" applyBorder="1" applyAlignment="1">
      <alignment vertical="center" shrinkToFit="1"/>
    </xf>
    <xf numFmtId="0" fontId="57" fillId="0" borderId="8" xfId="13" applyFont="1" applyFill="1" applyBorder="1" applyAlignment="1">
      <alignment horizontal="center" vertical="center" wrapText="1"/>
    </xf>
    <xf numFmtId="0" fontId="20" fillId="0" borderId="8" xfId="13" applyNumberFormat="1" applyFont="1" applyFill="1" applyBorder="1" applyAlignment="1">
      <alignment horizontal="left" vertical="center"/>
    </xf>
    <xf numFmtId="170" fontId="57" fillId="0" borderId="8" xfId="13" applyNumberFormat="1" applyFont="1" applyFill="1" applyBorder="1" applyAlignment="1">
      <alignment vertical="center" shrinkToFit="1"/>
    </xf>
    <xf numFmtId="170" fontId="57" fillId="0" borderId="8" xfId="26" applyNumberFormat="1" applyFont="1" applyFill="1" applyBorder="1" applyAlignment="1">
      <alignment vertical="center" shrinkToFit="1"/>
    </xf>
    <xf numFmtId="0" fontId="58" fillId="0" borderId="8" xfId="13" applyFont="1" applyFill="1" applyBorder="1" applyAlignment="1">
      <alignment horizontal="center" vertical="center" wrapText="1"/>
    </xf>
    <xf numFmtId="0" fontId="23" fillId="0" borderId="8" xfId="13" applyNumberFormat="1" applyFont="1" applyFill="1" applyBorder="1" applyAlignment="1">
      <alignment horizontal="left" vertical="center"/>
    </xf>
    <xf numFmtId="170" fontId="58" fillId="0" borderId="8" xfId="13" applyNumberFormat="1" applyFont="1" applyFill="1" applyBorder="1" applyAlignment="1">
      <alignment vertical="center" shrinkToFit="1"/>
    </xf>
    <xf numFmtId="170" fontId="58" fillId="0" borderId="8" xfId="26" applyNumberFormat="1" applyFont="1" applyFill="1" applyBorder="1" applyAlignment="1">
      <alignment vertical="center" shrinkToFit="1"/>
    </xf>
    <xf numFmtId="0" fontId="57" fillId="0" borderId="8" xfId="13" applyFont="1" applyFill="1" applyBorder="1" applyAlignment="1">
      <alignment horizontal="center" vertical="center"/>
    </xf>
    <xf numFmtId="0" fontId="20" fillId="0" borderId="8" xfId="13" quotePrefix="1" applyNumberFormat="1" applyFont="1" applyFill="1" applyBorder="1" applyAlignment="1">
      <alignment horizontal="left" vertical="center"/>
    </xf>
    <xf numFmtId="0" fontId="60" fillId="0" borderId="8" xfId="13" applyFont="1" applyFill="1" applyBorder="1" applyAlignment="1">
      <alignment horizontal="center" vertical="center"/>
    </xf>
    <xf numFmtId="0" fontId="32" fillId="0" borderId="8" xfId="13" applyNumberFormat="1" applyFont="1" applyFill="1" applyBorder="1" applyAlignment="1">
      <alignment horizontal="left" vertical="center"/>
    </xf>
    <xf numFmtId="170" fontId="60" fillId="0" borderId="8" xfId="13" applyNumberFormat="1" applyFont="1" applyFill="1" applyBorder="1" applyAlignment="1">
      <alignment vertical="center" shrinkToFit="1"/>
    </xf>
    <xf numFmtId="170" fontId="60" fillId="0" borderId="8" xfId="26" applyNumberFormat="1" applyFont="1" applyFill="1" applyBorder="1" applyAlignment="1">
      <alignment vertical="center" shrinkToFit="1"/>
    </xf>
    <xf numFmtId="0" fontId="32" fillId="0" borderId="8" xfId="13" applyNumberFormat="1" applyFont="1" applyFill="1" applyBorder="1" applyAlignment="1">
      <alignment horizontal="left" vertical="center" shrinkToFit="1"/>
    </xf>
    <xf numFmtId="0" fontId="20" fillId="0" borderId="8" xfId="13" quotePrefix="1" applyNumberFormat="1" applyFont="1" applyFill="1" applyBorder="1" applyAlignment="1">
      <alignment horizontal="left"/>
    </xf>
    <xf numFmtId="170" fontId="57" fillId="0" borderId="8" xfId="13" applyNumberFormat="1" applyFont="1" applyFill="1" applyBorder="1" applyAlignment="1">
      <alignment shrinkToFit="1"/>
    </xf>
    <xf numFmtId="170" fontId="57" fillId="0" borderId="8" xfId="26" applyNumberFormat="1" applyFont="1" applyFill="1" applyBorder="1" applyAlignment="1">
      <alignment shrinkToFit="1"/>
    </xf>
    <xf numFmtId="0" fontId="20" fillId="0" borderId="8" xfId="13" applyNumberFormat="1" applyFont="1" applyFill="1" applyBorder="1" applyAlignment="1">
      <alignment horizontal="left"/>
    </xf>
    <xf numFmtId="0" fontId="23" fillId="0" borderId="8" xfId="13" quotePrefix="1" applyNumberFormat="1" applyFont="1" applyFill="1" applyBorder="1" applyAlignment="1">
      <alignment horizontal="left" vertical="center"/>
    </xf>
    <xf numFmtId="170" fontId="58" fillId="0" borderId="8" xfId="13" applyNumberFormat="1" applyFont="1" applyFill="1" applyBorder="1" applyAlignment="1">
      <alignment shrinkToFit="1"/>
    </xf>
    <xf numFmtId="170" fontId="58" fillId="0" borderId="8" xfId="26" applyNumberFormat="1" applyFont="1" applyFill="1" applyBorder="1" applyAlignment="1">
      <alignment shrinkToFit="1"/>
    </xf>
    <xf numFmtId="0" fontId="59" fillId="0" borderId="8" xfId="13" applyFont="1" applyFill="1" applyBorder="1" applyAlignment="1">
      <alignment horizontal="center" vertical="center"/>
    </xf>
    <xf numFmtId="170" fontId="60" fillId="0" borderId="8" xfId="13" applyNumberFormat="1" applyFont="1" applyFill="1" applyBorder="1" applyAlignment="1">
      <alignment shrinkToFit="1"/>
    </xf>
    <xf numFmtId="170" fontId="60" fillId="0" borderId="8" xfId="26" applyNumberFormat="1" applyFont="1" applyFill="1" applyBorder="1" applyAlignment="1">
      <alignment shrinkToFit="1"/>
    </xf>
    <xf numFmtId="0" fontId="23" fillId="0" borderId="8" xfId="13" quotePrefix="1" applyNumberFormat="1" applyFont="1" applyFill="1" applyBorder="1" applyAlignment="1">
      <alignment horizontal="left"/>
    </xf>
    <xf numFmtId="0" fontId="58" fillId="0" borderId="8" xfId="13" applyFont="1" applyFill="1" applyBorder="1" applyAlignment="1">
      <alignment horizontal="center"/>
    </xf>
    <xf numFmtId="0" fontId="57" fillId="0" borderId="8" xfId="13" applyFont="1" applyFill="1" applyBorder="1" applyAlignment="1">
      <alignment horizontal="center"/>
    </xf>
    <xf numFmtId="0" fontId="57" fillId="0" borderId="9" xfId="13" applyFont="1" applyFill="1" applyBorder="1" applyAlignment="1">
      <alignment horizontal="center"/>
    </xf>
    <xf numFmtId="0" fontId="20" fillId="0" borderId="9" xfId="13" quotePrefix="1" applyNumberFormat="1" applyFont="1" applyFill="1" applyBorder="1" applyAlignment="1">
      <alignment horizontal="left"/>
    </xf>
    <xf numFmtId="170" fontId="60" fillId="0" borderId="8" xfId="25" applyNumberFormat="1" applyFont="1" applyFill="1" applyBorder="1" applyAlignment="1">
      <alignment shrinkToFit="1"/>
    </xf>
    <xf numFmtId="170" fontId="57" fillId="0" borderId="9" xfId="13" applyNumberFormat="1" applyFont="1" applyFill="1" applyBorder="1" applyAlignment="1">
      <alignment shrinkToFit="1"/>
    </xf>
    <xf numFmtId="170" fontId="57" fillId="0" borderId="9" xfId="26" applyNumberFormat="1" applyFont="1" applyFill="1" applyBorder="1" applyAlignment="1">
      <alignment shrinkToFit="1"/>
    </xf>
    <xf numFmtId="169" fontId="11" fillId="0" borderId="6" xfId="0" applyNumberFormat="1" applyFont="1" applyBorder="1" applyAlignment="1">
      <alignment vertical="center" wrapText="1"/>
    </xf>
    <xf numFmtId="169" fontId="11" fillId="0" borderId="8" xfId="0" applyNumberFormat="1" applyFont="1" applyBorder="1" applyAlignment="1">
      <alignment horizontal="center" vertical="center" wrapText="1" shrinkToFit="1"/>
    </xf>
    <xf numFmtId="169" fontId="11" fillId="0" borderId="8" xfId="0" applyNumberFormat="1" applyFont="1" applyBorder="1" applyAlignment="1">
      <alignment vertical="center" wrapText="1"/>
    </xf>
    <xf numFmtId="169" fontId="6" fillId="0" borderId="8" xfId="0" applyNumberFormat="1" applyFont="1" applyBorder="1" applyAlignment="1">
      <alignment horizontal="center" vertical="center" wrapText="1" shrinkToFit="1"/>
    </xf>
    <xf numFmtId="3" fontId="11" fillId="0" borderId="8" xfId="0" applyNumberFormat="1" applyFont="1" applyBorder="1" applyAlignment="1">
      <alignment horizontal="center" vertical="center" wrapText="1"/>
    </xf>
    <xf numFmtId="3" fontId="11" fillId="0" borderId="8" xfId="0" applyNumberFormat="1" applyFont="1" applyBorder="1" applyAlignment="1">
      <alignment vertical="center"/>
    </xf>
    <xf numFmtId="3" fontId="89" fillId="0" borderId="8" xfId="0" applyNumberFormat="1" applyFont="1" applyBorder="1" applyAlignment="1">
      <alignment horizontal="center" vertical="center" wrapText="1"/>
    </xf>
    <xf numFmtId="3" fontId="89" fillId="0" borderId="8" xfId="0" applyNumberFormat="1" applyFont="1" applyBorder="1" applyAlignment="1">
      <alignment vertical="center"/>
    </xf>
    <xf numFmtId="38" fontId="89" fillId="0" borderId="8" xfId="0" applyNumberFormat="1" applyFont="1" applyBorder="1" applyAlignment="1">
      <alignment vertical="center" shrinkToFit="1"/>
    </xf>
    <xf numFmtId="3" fontId="23" fillId="0" borderId="8" xfId="0" applyNumberFormat="1" applyFont="1" applyBorder="1" applyAlignment="1">
      <alignment vertical="center" shrinkToFit="1"/>
    </xf>
    <xf numFmtId="3" fontId="19" fillId="0" borderId="8" xfId="0" applyNumberFormat="1" applyFont="1" applyBorder="1" applyAlignment="1">
      <alignment horizontal="center" vertical="center" wrapText="1"/>
    </xf>
    <xf numFmtId="3" fontId="19" fillId="0" borderId="8" xfId="0" applyNumberFormat="1" applyFont="1" applyBorder="1" applyAlignment="1">
      <alignment vertical="center"/>
    </xf>
    <xf numFmtId="3" fontId="13" fillId="0" borderId="8" xfId="0" applyNumberFormat="1" applyFont="1" applyBorder="1" applyAlignment="1">
      <alignment horizontal="center" vertical="center" wrapText="1"/>
    </xf>
    <xf numFmtId="3" fontId="13" fillId="0" borderId="8" xfId="0" applyNumberFormat="1" applyFont="1" applyBorder="1" applyAlignment="1">
      <alignment vertical="center"/>
    </xf>
    <xf numFmtId="169" fontId="19" fillId="0" borderId="8" xfId="0" applyNumberFormat="1" applyFont="1" applyBorder="1" applyAlignment="1">
      <alignment vertical="center" shrinkToFit="1"/>
    </xf>
    <xf numFmtId="3" fontId="4" fillId="0" borderId="8" xfId="0" applyNumberFormat="1" applyFont="1" applyBorder="1" applyAlignment="1">
      <alignment vertical="center"/>
    </xf>
    <xf numFmtId="3" fontId="6" fillId="0" borderId="8" xfId="0" applyNumberFormat="1" applyFont="1" applyBorder="1" applyAlignment="1">
      <alignment horizontal="center" vertical="center" wrapText="1"/>
    </xf>
    <xf numFmtId="3" fontId="6" fillId="0" borderId="8" xfId="0" applyNumberFormat="1" applyFont="1" applyBorder="1" applyAlignment="1">
      <alignment vertical="center"/>
    </xf>
    <xf numFmtId="3" fontId="43" fillId="0" borderId="8" xfId="0" applyNumberFormat="1" applyFont="1" applyBorder="1" applyAlignment="1">
      <alignment horizontal="center" vertical="center" wrapText="1"/>
    </xf>
    <xf numFmtId="3" fontId="43" fillId="0" borderId="8" xfId="0" applyNumberFormat="1" applyFont="1" applyBorder="1" applyAlignment="1">
      <alignment vertical="center"/>
    </xf>
    <xf numFmtId="169" fontId="43" fillId="0" borderId="8" xfId="0" applyNumberFormat="1" applyFont="1" applyBorder="1" applyAlignment="1">
      <alignment horizontal="center" vertical="center" wrapText="1" shrinkToFit="1"/>
    </xf>
    <xf numFmtId="169" fontId="43" fillId="0" borderId="8" xfId="0" applyNumberFormat="1" applyFont="1" applyBorder="1" applyAlignment="1">
      <alignment vertical="center" shrinkToFit="1"/>
    </xf>
    <xf numFmtId="169" fontId="4" fillId="0" borderId="8" xfId="0" applyNumberFormat="1" applyFont="1" applyBorder="1" applyAlignment="1">
      <alignment vertical="center" wrapText="1" shrinkToFit="1"/>
    </xf>
    <xf numFmtId="169" fontId="6" fillId="0" borderId="8" xfId="0" applyNumberFormat="1" applyFont="1" applyBorder="1" applyAlignment="1">
      <alignment vertical="center" wrapText="1" shrinkToFit="1"/>
    </xf>
    <xf numFmtId="3" fontId="4" fillId="0" borderId="9" xfId="0" applyNumberFormat="1" applyFont="1" applyBorder="1" applyAlignment="1">
      <alignment horizontal="center" vertical="center" wrapText="1"/>
    </xf>
    <xf numFmtId="169" fontId="4" fillId="0" borderId="9" xfId="0" applyNumberFormat="1" applyFont="1" applyBorder="1" applyAlignment="1">
      <alignment vertical="center" wrapText="1" shrinkToFit="1"/>
    </xf>
    <xf numFmtId="9" fontId="4" fillId="0" borderId="9" xfId="16" applyFont="1" applyBorder="1" applyAlignment="1">
      <alignment vertical="center" shrinkToFit="1"/>
    </xf>
    <xf numFmtId="3" fontId="6" fillId="0" borderId="6" xfId="0" applyNumberFormat="1" applyFont="1" applyBorder="1" applyAlignment="1">
      <alignment horizontal="center" shrinkToFit="1"/>
    </xf>
    <xf numFmtId="9" fontId="19" fillId="0" borderId="8" xfId="16" applyFont="1" applyBorder="1" applyAlignment="1">
      <alignment horizontal="center" vertical="center" wrapText="1"/>
    </xf>
    <xf numFmtId="9" fontId="19" fillId="0" borderId="8" xfId="16" applyFont="1" applyBorder="1" applyAlignment="1">
      <alignment vertical="center" wrapText="1" shrinkToFit="1"/>
    </xf>
    <xf numFmtId="3" fontId="11" fillId="0" borderId="8" xfId="0" applyNumberFormat="1" applyFont="1" applyBorder="1" applyAlignment="1">
      <alignment vertical="center" wrapText="1" shrinkToFit="1"/>
    </xf>
    <xf numFmtId="3" fontId="6" fillId="0" borderId="8" xfId="0" applyNumberFormat="1" applyFont="1" applyBorder="1" applyAlignment="1">
      <alignment vertical="center" wrapText="1" shrinkToFit="1"/>
    </xf>
    <xf numFmtId="3" fontId="4" fillId="0" borderId="8" xfId="0" applyNumberFormat="1" applyFont="1" applyBorder="1" applyAlignment="1">
      <alignment vertical="center" wrapText="1"/>
    </xf>
    <xf numFmtId="3" fontId="19" fillId="0" borderId="8" xfId="0" applyNumberFormat="1" applyFont="1" applyBorder="1" applyAlignment="1">
      <alignment vertical="center" wrapText="1"/>
    </xf>
    <xf numFmtId="3" fontId="4" fillId="0" borderId="8" xfId="0" applyNumberFormat="1" applyFont="1" applyBorder="1" applyAlignment="1">
      <alignment horizontal="center" vertical="center" wrapText="1" shrinkToFit="1"/>
    </xf>
    <xf numFmtId="3" fontId="19" fillId="0" borderId="8" xfId="0" applyNumberFormat="1" applyFont="1" applyBorder="1" applyAlignment="1">
      <alignment vertical="center" wrapText="1" shrinkToFit="1"/>
    </xf>
    <xf numFmtId="0" fontId="6" fillId="0" borderId="8" xfId="0" applyFont="1" applyBorder="1" applyAlignment="1">
      <alignment vertical="center" wrapText="1"/>
    </xf>
    <xf numFmtId="3" fontId="6" fillId="0" borderId="9" xfId="0" applyNumberFormat="1" applyFont="1" applyBorder="1" applyAlignment="1">
      <alignment horizontal="center" vertical="center" wrapText="1"/>
    </xf>
    <xf numFmtId="3" fontId="6" fillId="0" borderId="9" xfId="0" applyNumberFormat="1" applyFont="1" applyBorder="1" applyAlignment="1">
      <alignment vertical="center" wrapText="1" shrinkToFit="1"/>
    </xf>
    <xf numFmtId="10" fontId="4" fillId="0" borderId="8" xfId="16" applyNumberFormat="1" applyFont="1" applyBorder="1" applyAlignment="1">
      <alignment shrinkToFit="1"/>
    </xf>
    <xf numFmtId="3" fontId="4" fillId="0" borderId="9" xfId="0" applyNumberFormat="1" applyFont="1" applyBorder="1" applyAlignment="1">
      <alignment horizontal="center"/>
    </xf>
    <xf numFmtId="3" fontId="4" fillId="0" borderId="9" xfId="0" applyNumberFormat="1" applyFont="1" applyBorder="1" applyAlignment="1">
      <alignment vertical="center" wrapText="1" shrinkToFit="1"/>
    </xf>
    <xf numFmtId="3" fontId="4" fillId="0" borderId="9" xfId="0" applyNumberFormat="1" applyFont="1" applyBorder="1" applyAlignment="1">
      <alignment shrinkToFit="1"/>
    </xf>
    <xf numFmtId="10" fontId="4" fillId="0" borderId="9" xfId="16" applyNumberFormat="1" applyFont="1" applyBorder="1" applyAlignment="1">
      <alignment shrinkToFit="1"/>
    </xf>
    <xf numFmtId="0" fontId="57" fillId="0" borderId="8" xfId="13" applyNumberFormat="1" applyFont="1" applyFill="1" applyBorder="1" applyAlignment="1">
      <alignment horizontal="center" vertical="center"/>
    </xf>
    <xf numFmtId="0" fontId="58" fillId="0" borderId="8" xfId="13" applyNumberFormat="1" applyFont="1" applyFill="1" applyBorder="1" applyAlignment="1">
      <alignment horizontal="right" vertical="center"/>
    </xf>
    <xf numFmtId="0" fontId="58" fillId="0" borderId="8" xfId="13" applyNumberFormat="1" applyFont="1" applyFill="1" applyBorder="1" applyAlignment="1">
      <alignment horizontal="center" vertical="center"/>
    </xf>
    <xf numFmtId="0" fontId="58" fillId="0" borderId="8" xfId="13" applyFont="1" applyFill="1" applyBorder="1"/>
    <xf numFmtId="0" fontId="59" fillId="0" borderId="8" xfId="13" applyNumberFormat="1" applyFont="1" applyFill="1" applyBorder="1" applyAlignment="1">
      <alignment horizontal="right"/>
    </xf>
    <xf numFmtId="0" fontId="57" fillId="0" borderId="8" xfId="13" applyNumberFormat="1" applyFont="1" applyFill="1" applyBorder="1" applyAlignment="1">
      <alignment horizontal="center" vertical="center" wrapText="1"/>
    </xf>
    <xf numFmtId="2" fontId="20" fillId="0" borderId="32" xfId="8" applyNumberFormat="1" applyFont="1" applyFill="1" applyBorder="1" applyAlignment="1">
      <alignment horizontal="right" vertical="center" shrinkToFit="1"/>
    </xf>
    <xf numFmtId="165" fontId="23" fillId="0" borderId="32" xfId="2" applyFont="1" applyFill="1" applyBorder="1" applyAlignment="1">
      <alignment horizontal="center" vertical="center" shrinkToFit="1"/>
    </xf>
    <xf numFmtId="2" fontId="23" fillId="0" borderId="32" xfId="8" applyNumberFormat="1" applyFont="1" applyFill="1" applyBorder="1" applyAlignment="1">
      <alignment shrinkToFit="1"/>
    </xf>
    <xf numFmtId="2" fontId="23" fillId="0" borderId="32" xfId="8" applyNumberFormat="1" applyFont="1" applyFill="1" applyBorder="1" applyAlignment="1">
      <alignment horizontal="right" vertical="center" shrinkToFit="1"/>
    </xf>
    <xf numFmtId="43" fontId="23" fillId="0" borderId="32" xfId="2" applyNumberFormat="1" applyFont="1" applyFill="1" applyBorder="1" applyAlignment="1">
      <alignment horizontal="center" shrinkToFit="1"/>
    </xf>
    <xf numFmtId="2" fontId="87" fillId="0" borderId="32" xfId="8" applyNumberFormat="1" applyFont="1" applyFill="1" applyBorder="1" applyAlignment="1">
      <alignment shrinkToFit="1"/>
    </xf>
    <xf numFmtId="2" fontId="87" fillId="0" borderId="32" xfId="8" applyNumberFormat="1" applyFont="1" applyFill="1" applyBorder="1" applyAlignment="1">
      <alignment horizontal="right" vertical="center" shrinkToFit="1"/>
    </xf>
    <xf numFmtId="43" fontId="87" fillId="0" borderId="32" xfId="2" applyNumberFormat="1" applyFont="1" applyFill="1" applyBorder="1" applyAlignment="1">
      <alignment horizontal="center" shrinkToFit="1"/>
    </xf>
    <xf numFmtId="43" fontId="86" fillId="0" borderId="32" xfId="2" applyNumberFormat="1" applyFont="1" applyFill="1" applyBorder="1" applyAlignment="1">
      <alignment horizontal="center" shrinkToFit="1"/>
    </xf>
    <xf numFmtId="2" fontId="86" fillId="0" borderId="32" xfId="8" applyNumberFormat="1" applyFont="1" applyFill="1" applyBorder="1" applyAlignment="1">
      <alignment shrinkToFit="1"/>
    </xf>
    <xf numFmtId="2" fontId="86" fillId="0" borderId="32" xfId="8" applyNumberFormat="1" applyFont="1" applyFill="1" applyBorder="1" applyAlignment="1">
      <alignment horizontal="right" vertical="center" shrinkToFit="1"/>
    </xf>
    <xf numFmtId="178" fontId="23" fillId="0" borderId="32" xfId="8" applyNumberFormat="1" applyFont="1" applyFill="1" applyBorder="1" applyAlignment="1">
      <alignment shrinkToFit="1"/>
    </xf>
    <xf numFmtId="2" fontId="32" fillId="0" borderId="32" xfId="8" applyNumberFormat="1" applyFont="1" applyFill="1" applyBorder="1" applyAlignment="1">
      <alignment shrinkToFit="1"/>
    </xf>
    <xf numFmtId="179" fontId="23" fillId="0" borderId="32" xfId="18" applyNumberFormat="1" applyFont="1" applyFill="1" applyBorder="1" applyAlignment="1">
      <alignment shrinkToFit="1"/>
    </xf>
    <xf numFmtId="179" fontId="20" fillId="0" borderId="32" xfId="18" applyNumberFormat="1" applyFont="1" applyFill="1" applyBorder="1" applyAlignment="1">
      <alignment shrinkToFit="1"/>
    </xf>
    <xf numFmtId="166" fontId="20" fillId="0" borderId="32" xfId="2" applyNumberFormat="1" applyFont="1" applyFill="1" applyBorder="1" applyAlignment="1">
      <alignment horizontal="center" shrinkToFit="1"/>
    </xf>
    <xf numFmtId="2" fontId="23" fillId="0" borderId="32" xfId="8" applyNumberFormat="1" applyFont="1" applyBorder="1" applyAlignment="1">
      <alignment shrinkToFit="1"/>
    </xf>
    <xf numFmtId="43" fontId="23" fillId="0" borderId="32" xfId="8" applyNumberFormat="1" applyFont="1" applyFill="1" applyBorder="1" applyAlignment="1">
      <alignment shrinkToFit="1"/>
    </xf>
    <xf numFmtId="43" fontId="23" fillId="0" borderId="32" xfId="2" applyNumberFormat="1" applyFont="1" applyFill="1" applyBorder="1" applyAlignment="1">
      <alignment shrinkToFit="1"/>
    </xf>
    <xf numFmtId="180" fontId="23" fillId="0" borderId="32" xfId="8" applyNumberFormat="1" applyFont="1" applyFill="1" applyBorder="1" applyAlignment="1">
      <alignment shrinkToFit="1"/>
    </xf>
    <xf numFmtId="166" fontId="23" fillId="0" borderId="32" xfId="2" applyNumberFormat="1" applyFont="1" applyFill="1" applyBorder="1" applyAlignment="1">
      <alignment shrinkToFit="1"/>
    </xf>
    <xf numFmtId="177" fontId="23" fillId="0" borderId="32" xfId="18" applyNumberFormat="1" applyFont="1" applyFill="1" applyBorder="1" applyAlignment="1">
      <alignment shrinkToFit="1"/>
    </xf>
    <xf numFmtId="166" fontId="23" fillId="0" borderId="32" xfId="8" applyNumberFormat="1" applyFont="1" applyFill="1" applyBorder="1" applyAlignment="1">
      <alignment horizontal="center" shrinkToFit="1"/>
    </xf>
    <xf numFmtId="166" fontId="20" fillId="0" borderId="32" xfId="2" applyNumberFormat="1" applyFont="1" applyFill="1" applyBorder="1" applyAlignment="1">
      <alignment shrinkToFit="1"/>
    </xf>
    <xf numFmtId="166" fontId="20" fillId="0" borderId="32" xfId="8" applyNumberFormat="1" applyFont="1" applyFill="1" applyBorder="1" applyAlignment="1">
      <alignment shrinkToFit="1"/>
    </xf>
    <xf numFmtId="38" fontId="4" fillId="0" borderId="6" xfId="9" applyNumberFormat="1" applyFont="1" applyBorder="1" applyAlignment="1">
      <alignment vertical="center" shrinkToFit="1"/>
    </xf>
    <xf numFmtId="38" fontId="4" fillId="0" borderId="8" xfId="9" applyNumberFormat="1" applyFont="1" applyBorder="1" applyAlignment="1">
      <alignment vertical="center" shrinkToFit="1"/>
    </xf>
    <xf numFmtId="38" fontId="6" fillId="0" borderId="9" xfId="9" applyNumberFormat="1" applyFont="1" applyBorder="1" applyAlignment="1">
      <alignment vertical="center" shrinkToFit="1"/>
    </xf>
    <xf numFmtId="43" fontId="6" fillId="0" borderId="8" xfId="1" applyFont="1" applyBorder="1" applyAlignment="1">
      <alignment vertical="center" shrinkToFit="1"/>
    </xf>
    <xf numFmtId="169" fontId="57" fillId="0" borderId="5" xfId="6" applyNumberFormat="1" applyFont="1" applyBorder="1" applyAlignment="1">
      <alignment horizontal="center" vertical="center" wrapText="1"/>
    </xf>
    <xf numFmtId="0" fontId="57" fillId="0" borderId="5" xfId="6" applyNumberFormat="1" applyFont="1" applyBorder="1" applyAlignment="1">
      <alignment horizontal="center" vertical="center" wrapText="1"/>
    </xf>
    <xf numFmtId="38" fontId="71" fillId="0" borderId="6" xfId="6" applyNumberFormat="1" applyFont="1" applyBorder="1" applyAlignment="1">
      <alignment shrinkToFit="1"/>
    </xf>
    <xf numFmtId="38" fontId="71" fillId="0" borderId="6" xfId="1" applyNumberFormat="1" applyFont="1" applyBorder="1" applyAlignment="1">
      <alignment shrinkToFit="1"/>
    </xf>
    <xf numFmtId="38" fontId="58" fillId="0" borderId="8" xfId="6" applyNumberFormat="1" applyFont="1" applyBorder="1" applyAlignment="1">
      <alignment shrinkToFit="1"/>
    </xf>
    <xf numFmtId="38" fontId="58" fillId="0" borderId="8" xfId="6" applyNumberFormat="1" applyFont="1" applyFill="1" applyBorder="1" applyAlignment="1">
      <alignment horizontal="right" shrinkToFit="1"/>
    </xf>
    <xf numFmtId="38" fontId="60" fillId="0" borderId="8" xfId="6" applyNumberFormat="1" applyFont="1" applyBorder="1" applyAlignment="1">
      <alignment shrinkToFit="1"/>
    </xf>
    <xf numFmtId="38" fontId="60" fillId="0" borderId="8" xfId="6" applyNumberFormat="1" applyFont="1" applyFill="1" applyBorder="1" applyAlignment="1">
      <alignment horizontal="right" shrinkToFit="1"/>
    </xf>
    <xf numFmtId="38" fontId="71" fillId="0" borderId="8" xfId="6" applyNumberFormat="1" applyFont="1" applyBorder="1" applyAlignment="1">
      <alignment shrinkToFit="1"/>
    </xf>
    <xf numFmtId="38" fontId="57" fillId="0" borderId="8" xfId="6" applyNumberFormat="1" applyFont="1" applyBorder="1" applyAlignment="1">
      <alignment shrinkToFit="1"/>
    </xf>
    <xf numFmtId="38" fontId="57" fillId="0" borderId="8" xfId="6" applyNumberFormat="1" applyFont="1" applyFill="1" applyBorder="1" applyAlignment="1">
      <alignment horizontal="right" shrinkToFit="1"/>
    </xf>
    <xf numFmtId="38" fontId="71" fillId="0" borderId="9" xfId="6" applyNumberFormat="1" applyFont="1" applyBorder="1" applyAlignment="1">
      <alignment shrinkToFit="1"/>
    </xf>
    <xf numFmtId="38" fontId="57" fillId="0" borderId="9" xfId="6" applyNumberFormat="1" applyFont="1" applyBorder="1" applyAlignment="1">
      <alignment shrinkToFit="1"/>
    </xf>
    <xf numFmtId="38" fontId="57" fillId="0" borderId="9" xfId="6" applyNumberFormat="1" applyFont="1" applyFill="1" applyBorder="1" applyAlignment="1">
      <alignment horizontal="right" shrinkToFit="1"/>
    </xf>
    <xf numFmtId="0" fontId="57" fillId="0" borderId="0" xfId="0" applyFont="1"/>
    <xf numFmtId="9" fontId="15" fillId="0" borderId="0" xfId="16" applyFont="1"/>
    <xf numFmtId="0" fontId="6" fillId="0" borderId="5" xfId="0" applyFont="1" applyBorder="1" applyAlignment="1">
      <alignment horizontal="center" vertical="center"/>
    </xf>
    <xf numFmtId="0" fontId="6" fillId="0" borderId="5" xfId="0" applyFont="1" applyBorder="1" applyAlignment="1">
      <alignment horizontal="center" vertical="center" shrinkToFit="1"/>
    </xf>
    <xf numFmtId="0" fontId="6" fillId="2" borderId="5" xfId="0" applyFont="1" applyFill="1" applyBorder="1" applyAlignment="1">
      <alignment horizontal="center" vertical="center"/>
    </xf>
    <xf numFmtId="0" fontId="6" fillId="2" borderId="8" xfId="0" applyFont="1" applyFill="1" applyBorder="1" applyAlignment="1">
      <alignment vertical="center" shrinkToFit="1"/>
    </xf>
    <xf numFmtId="169" fontId="6" fillId="2" borderId="8" xfId="0" applyNumberFormat="1" applyFont="1" applyFill="1" applyBorder="1" applyAlignment="1">
      <alignment vertical="center" shrinkToFit="1"/>
    </xf>
    <xf numFmtId="0" fontId="32" fillId="0" borderId="10" xfId="6" applyFont="1" applyFill="1" applyBorder="1" applyAlignment="1">
      <alignment horizontal="left" shrinkToFit="1"/>
    </xf>
    <xf numFmtId="0" fontId="20" fillId="0" borderId="10" xfId="6" applyFont="1" applyFill="1" applyBorder="1" applyAlignment="1">
      <alignment horizontal="left" shrinkToFit="1"/>
    </xf>
    <xf numFmtId="169" fontId="20" fillId="0" borderId="8" xfId="6" applyNumberFormat="1" applyFont="1" applyFill="1" applyBorder="1" applyAlignment="1">
      <alignment horizontal="right" shrinkToFit="1"/>
    </xf>
    <xf numFmtId="169" fontId="20" fillId="0" borderId="8" xfId="1" applyNumberFormat="1" applyFont="1" applyFill="1" applyBorder="1" applyAlignment="1">
      <alignment horizontal="right" shrinkToFit="1"/>
    </xf>
    <xf numFmtId="0" fontId="20" fillId="0" borderId="8" xfId="6" applyFont="1" applyFill="1" applyBorder="1" applyAlignment="1">
      <alignment horizontal="left" shrinkToFit="1"/>
    </xf>
    <xf numFmtId="0" fontId="32" fillId="0" borderId="8" xfId="6" quotePrefix="1" applyNumberFormat="1" applyFont="1" applyBorder="1" applyAlignment="1">
      <alignment vertical="center" wrapText="1"/>
    </xf>
    <xf numFmtId="0" fontId="95" fillId="0" borderId="14" xfId="6" applyFont="1" applyFill="1" applyBorder="1" applyAlignment="1">
      <alignment horizontal="center"/>
    </xf>
    <xf numFmtId="0" fontId="95" fillId="0" borderId="0" xfId="6" applyFont="1" applyFill="1"/>
    <xf numFmtId="169" fontId="23" fillId="0" borderId="0" xfId="6" applyNumberFormat="1" applyFont="1" applyFill="1" applyAlignment="1">
      <alignment shrinkToFit="1"/>
    </xf>
    <xf numFmtId="0" fontId="20" fillId="0" borderId="5" xfId="0" applyFont="1" applyBorder="1" applyAlignment="1">
      <alignment horizontal="center" vertical="center" wrapText="1"/>
    </xf>
    <xf numFmtId="0" fontId="6" fillId="0" borderId="5" xfId="0" applyFont="1" applyBorder="1" applyAlignment="1">
      <alignment horizontal="center" vertical="center" wrapText="1"/>
    </xf>
    <xf numFmtId="3" fontId="30" fillId="0" borderId="10" xfId="0" applyNumberFormat="1" applyFont="1" applyBorder="1" applyAlignment="1">
      <alignment horizontal="center" shrinkToFit="1"/>
    </xf>
    <xf numFmtId="3" fontId="30" fillId="0" borderId="10" xfId="0" applyNumberFormat="1" applyFont="1" applyBorder="1" applyAlignment="1">
      <alignment shrinkToFit="1"/>
    </xf>
    <xf numFmtId="169" fontId="30" fillId="0" borderId="10" xfId="0" applyNumberFormat="1" applyFont="1" applyBorder="1" applyAlignment="1">
      <alignment horizontal="right" shrinkToFit="1"/>
    </xf>
    <xf numFmtId="3" fontId="30" fillId="0" borderId="0" xfId="0" applyNumberFormat="1" applyFont="1" applyBorder="1"/>
    <xf numFmtId="3" fontId="23" fillId="0" borderId="8" xfId="0" applyNumberFormat="1" applyFont="1" applyBorder="1" applyAlignment="1">
      <alignment shrinkToFit="1"/>
    </xf>
    <xf numFmtId="3" fontId="7" fillId="0" borderId="0" xfId="0" applyNumberFormat="1" applyFont="1" applyAlignment="1">
      <alignment shrinkToFit="1"/>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5" xfId="0" applyNumberFormat="1" applyFont="1" applyBorder="1" applyAlignment="1">
      <alignment horizontal="center" vertical="center" shrinkToFit="1"/>
    </xf>
    <xf numFmtId="0" fontId="20" fillId="0" borderId="8" xfId="6" quotePrefix="1" applyNumberFormat="1" applyFont="1" applyBorder="1" applyAlignment="1">
      <alignment vertical="center" wrapText="1"/>
    </xf>
    <xf numFmtId="38" fontId="4" fillId="0" borderId="0" xfId="0" applyNumberFormat="1" applyFont="1" applyAlignment="1">
      <alignment shrinkToFit="1"/>
    </xf>
    <xf numFmtId="38" fontId="4" fillId="0" borderId="0" xfId="0" applyNumberFormat="1" applyFont="1"/>
    <xf numFmtId="0" fontId="23" fillId="0" borderId="14" xfId="6" applyFont="1" applyFill="1" applyBorder="1" applyAlignment="1">
      <alignment horizontal="center"/>
    </xf>
    <xf numFmtId="0" fontId="23" fillId="0" borderId="0" xfId="6" applyFont="1" applyFill="1" applyAlignment="1">
      <alignment horizontal="center"/>
    </xf>
    <xf numFmtId="166" fontId="23" fillId="0" borderId="0" xfId="1" applyNumberFormat="1" applyFont="1" applyFill="1"/>
    <xf numFmtId="3" fontId="4" fillId="0" borderId="8" xfId="0" applyNumberFormat="1" applyFont="1" applyBorder="1" applyAlignment="1">
      <alignment horizontal="centerContinuous"/>
    </xf>
    <xf numFmtId="169" fontId="39" fillId="0" borderId="11" xfId="0" applyNumberFormat="1" applyFont="1" applyBorder="1" applyAlignment="1">
      <alignment vertical="center" shrinkToFit="1"/>
    </xf>
    <xf numFmtId="169" fontId="39" fillId="0" borderId="8" xfId="0" applyNumberFormat="1" applyFont="1" applyBorder="1" applyAlignment="1">
      <alignment vertical="center" shrinkToFit="1"/>
    </xf>
    <xf numFmtId="0" fontId="6" fillId="0" borderId="5" xfId="0" applyFont="1" applyBorder="1" applyAlignment="1">
      <alignment horizontal="center" vertical="center"/>
    </xf>
    <xf numFmtId="0" fontId="66" fillId="0" borderId="5" xfId="0" applyFont="1" applyBorder="1" applyAlignment="1">
      <alignment horizontal="center" vertical="center"/>
    </xf>
    <xf numFmtId="0" fontId="66" fillId="0" borderId="8" xfId="0" applyFont="1" applyBorder="1" applyAlignment="1">
      <alignment vertical="center" shrinkToFit="1"/>
    </xf>
    <xf numFmtId="169" fontId="66" fillId="0" borderId="8" xfId="0" applyNumberFormat="1" applyFont="1" applyBorder="1" applyAlignment="1">
      <alignment vertical="center" shrinkToFit="1"/>
    </xf>
    <xf numFmtId="169" fontId="66" fillId="0" borderId="8" xfId="0" applyNumberFormat="1" applyFont="1" applyBorder="1" applyAlignment="1">
      <alignment vertical="center"/>
    </xf>
    <xf numFmtId="0" fontId="96" fillId="0" borderId="0" xfId="0" applyFont="1" applyAlignment="1">
      <alignment horizontal="center"/>
    </xf>
    <xf numFmtId="10" fontId="4" fillId="0" borderId="0" xfId="16" applyNumberFormat="1" applyFont="1" applyBorder="1" applyAlignment="1"/>
    <xf numFmtId="3" fontId="4" fillId="0" borderId="0" xfId="0" applyNumberFormat="1" applyFont="1" applyAlignment="1">
      <alignment horizontal="center"/>
    </xf>
    <xf numFmtId="0" fontId="6" fillId="0" borderId="5" xfId="7" applyFont="1" applyFill="1" applyBorder="1" applyAlignment="1">
      <alignment horizontal="center" vertical="center" wrapText="1"/>
    </xf>
    <xf numFmtId="0" fontId="51" fillId="0" borderId="0" xfId="7" applyFont="1" applyAlignment="1">
      <alignment horizontal="center"/>
    </xf>
    <xf numFmtId="174" fontId="97" fillId="0" borderId="8" xfId="3" applyNumberFormat="1" applyFont="1" applyFill="1" applyBorder="1" applyAlignment="1">
      <alignment vertical="center" shrinkToFit="1"/>
    </xf>
    <xf numFmtId="49" fontId="97" fillId="0" borderId="8" xfId="3" applyNumberFormat="1" applyFont="1" applyFill="1" applyBorder="1" applyAlignment="1">
      <alignment vertical="center" shrinkToFit="1"/>
    </xf>
    <xf numFmtId="172" fontId="97" fillId="0" borderId="8" xfId="1" applyNumberFormat="1" applyFont="1" applyBorder="1" applyAlignment="1">
      <alignment horizontal="right" shrinkToFit="1"/>
    </xf>
    <xf numFmtId="0" fontId="97" fillId="0" borderId="8" xfId="3" applyFont="1" applyFill="1" applyBorder="1" applyAlignment="1">
      <alignment horizontal="center" shrinkToFit="1"/>
    </xf>
    <xf numFmtId="0" fontId="97" fillId="0" borderId="8" xfId="3" applyNumberFormat="1" applyFont="1" applyFill="1" applyBorder="1" applyAlignment="1">
      <alignment vertical="center" shrinkToFit="1"/>
    </xf>
    <xf numFmtId="174" fontId="97" fillId="5" borderId="8" xfId="3" applyNumberFormat="1" applyFont="1" applyFill="1" applyBorder="1" applyAlignment="1">
      <alignment vertical="center" shrinkToFit="1"/>
    </xf>
    <xf numFmtId="0" fontId="98" fillId="0" borderId="8" xfId="3" applyFont="1" applyFill="1" applyBorder="1" applyAlignment="1">
      <alignment horizontal="center" shrinkToFit="1"/>
    </xf>
    <xf numFmtId="0" fontId="98" fillId="0" borderId="8" xfId="3" applyNumberFormat="1" applyFont="1" applyFill="1" applyBorder="1" applyAlignment="1">
      <alignment vertical="center" shrinkToFit="1"/>
    </xf>
    <xf numFmtId="174" fontId="98" fillId="5" borderId="8" xfId="3" applyNumberFormat="1" applyFont="1" applyFill="1" applyBorder="1" applyAlignment="1">
      <alignment vertical="center" shrinkToFit="1"/>
    </xf>
    <xf numFmtId="174" fontId="98" fillId="0" borderId="8" xfId="3" applyNumberFormat="1" applyFont="1" applyFill="1" applyBorder="1" applyAlignment="1">
      <alignment vertical="center" shrinkToFit="1"/>
    </xf>
    <xf numFmtId="170" fontId="98" fillId="0" borderId="8" xfId="0" applyNumberFormat="1" applyFont="1" applyBorder="1" applyAlignment="1">
      <alignment vertical="center" shrinkToFit="1"/>
    </xf>
    <xf numFmtId="169" fontId="39" fillId="0" borderId="8" xfId="1" applyNumberFormat="1" applyFont="1" applyFill="1" applyBorder="1" applyAlignment="1">
      <alignment vertical="center" shrinkToFit="1"/>
    </xf>
    <xf numFmtId="169" fontId="4" fillId="5" borderId="8" xfId="1" applyNumberFormat="1" applyFont="1" applyFill="1" applyBorder="1" applyAlignment="1">
      <alignment vertical="center" shrinkToFit="1"/>
    </xf>
    <xf numFmtId="169" fontId="4" fillId="6" borderId="8" xfId="1" applyNumberFormat="1" applyFont="1" applyFill="1" applyBorder="1" applyAlignment="1">
      <alignment vertical="center" shrinkToFit="1"/>
    </xf>
    <xf numFmtId="172" fontId="4" fillId="0" borderId="8" xfId="1" applyNumberFormat="1" applyFont="1" applyFill="1" applyBorder="1" applyAlignment="1">
      <alignment vertical="center" shrinkToFit="1"/>
    </xf>
    <xf numFmtId="169" fontId="79" fillId="0" borderId="8" xfId="1" applyNumberFormat="1" applyFont="1" applyFill="1" applyBorder="1" applyAlignment="1">
      <alignment vertical="center" shrinkToFit="1"/>
    </xf>
    <xf numFmtId="169" fontId="39" fillId="5" borderId="8" xfId="1" applyNumberFormat="1" applyFont="1" applyFill="1" applyBorder="1" applyAlignment="1">
      <alignment vertical="center" shrinkToFit="1"/>
    </xf>
    <xf numFmtId="169" fontId="4" fillId="7" borderId="8" xfId="1" applyNumberFormat="1" applyFont="1" applyFill="1" applyBorder="1" applyAlignment="1">
      <alignment vertical="center" shrinkToFit="1"/>
    </xf>
    <xf numFmtId="169" fontId="39" fillId="0" borderId="11" xfId="1" applyNumberFormat="1" applyFont="1" applyFill="1" applyBorder="1" applyAlignment="1">
      <alignment vertical="center" shrinkToFit="1"/>
    </xf>
    <xf numFmtId="169" fontId="72" fillId="0" borderId="5" xfId="1" applyNumberFormat="1" applyFont="1" applyFill="1" applyBorder="1" applyAlignment="1">
      <alignment vertical="center" shrinkToFit="1"/>
    </xf>
    <xf numFmtId="3" fontId="23" fillId="0" borderId="0" xfId="6" applyNumberFormat="1" applyFont="1" applyFill="1"/>
    <xf numFmtId="0" fontId="4" fillId="0" borderId="5" xfId="0" applyFont="1" applyBorder="1" applyAlignment="1">
      <alignment horizontal="center" vertical="center" wrapText="1"/>
    </xf>
    <xf numFmtId="0" fontId="6" fillId="0" borderId="5" xfId="0" applyFont="1" applyBorder="1" applyAlignment="1">
      <alignment horizontal="center" vertical="center" wrapText="1"/>
    </xf>
    <xf numFmtId="0" fontId="12" fillId="0" borderId="5" xfId="0" applyFont="1" applyBorder="1" applyAlignment="1">
      <alignment horizontal="center" vertical="center" wrapText="1"/>
    </xf>
    <xf numFmtId="0" fontId="4" fillId="0" borderId="8" xfId="0" applyFont="1" applyFill="1" applyBorder="1"/>
    <xf numFmtId="0" fontId="12" fillId="0" borderId="5" xfId="0" applyFont="1" applyBorder="1" applyAlignment="1">
      <alignment horizontal="center"/>
    </xf>
    <xf numFmtId="0" fontId="19" fillId="0" borderId="5" xfId="0" applyFont="1" applyBorder="1" applyAlignment="1">
      <alignment horizontal="center" vertical="center" wrapText="1"/>
    </xf>
    <xf numFmtId="172" fontId="19" fillId="0" borderId="5" xfId="1" quotePrefix="1"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Border="1"/>
    <xf numFmtId="38" fontId="10" fillId="0" borderId="6" xfId="1" applyNumberFormat="1" applyFont="1" applyBorder="1"/>
    <xf numFmtId="9" fontId="10" fillId="0" borderId="6" xfId="16" applyFont="1" applyBorder="1"/>
    <xf numFmtId="38" fontId="10" fillId="0" borderId="8" xfId="1" applyNumberFormat="1" applyFont="1" applyBorder="1"/>
    <xf numFmtId="9" fontId="10" fillId="0" borderId="8" xfId="16" applyFont="1" applyBorder="1"/>
    <xf numFmtId="38" fontId="10" fillId="0" borderId="9" xfId="1" applyNumberFormat="1" applyFont="1" applyBorder="1"/>
    <xf numFmtId="9" fontId="10" fillId="0" borderId="9" xfId="16" applyFont="1" applyBorder="1"/>
    <xf numFmtId="0" fontId="12" fillId="0" borderId="5" xfId="0" applyFont="1" applyBorder="1"/>
    <xf numFmtId="38" fontId="12" fillId="0" borderId="5" xfId="1" applyNumberFormat="1" applyFont="1" applyBorder="1"/>
    <xf numFmtId="38" fontId="23" fillId="0" borderId="0" xfId="1" applyNumberFormat="1" applyFont="1" applyFill="1" applyBorder="1"/>
    <xf numFmtId="38" fontId="23" fillId="0" borderId="0" xfId="6" applyNumberFormat="1" applyFont="1" applyFill="1" applyBorder="1"/>
    <xf numFmtId="38" fontId="23" fillId="0" borderId="0" xfId="6" applyNumberFormat="1" applyFont="1" applyFill="1" applyBorder="1" applyAlignment="1">
      <alignment horizontal="right" shrinkToFit="1"/>
    </xf>
    <xf numFmtId="166" fontId="23" fillId="0" borderId="0" xfId="1" applyNumberFormat="1" applyFont="1" applyFill="1" applyAlignment="1">
      <alignment vertical="justify" wrapText="1"/>
    </xf>
    <xf numFmtId="3" fontId="11" fillId="0" borderId="6" xfId="0" applyNumberFormat="1" applyFont="1" applyFill="1" applyBorder="1" applyAlignment="1">
      <alignment vertical="center" shrinkToFit="1"/>
    </xf>
    <xf numFmtId="3" fontId="6" fillId="0" borderId="0" xfId="0" applyNumberFormat="1" applyFont="1" applyAlignment="1">
      <alignment horizontal="center" vertical="center" wrapText="1"/>
    </xf>
    <xf numFmtId="0" fontId="4" fillId="0" borderId="0" xfId="0" applyFont="1" applyAlignment="1">
      <alignment horizontal="center"/>
    </xf>
    <xf numFmtId="0" fontId="6" fillId="0" borderId="0" xfId="0" applyFont="1" applyAlignment="1">
      <alignment horizontal="center" vertical="center" wrapText="1"/>
    </xf>
    <xf numFmtId="0" fontId="57" fillId="0" borderId="6" xfId="13" applyNumberFormat="1" applyFont="1" applyFill="1" applyBorder="1" applyAlignment="1">
      <alignment horizontal="center" vertical="center" wrapText="1"/>
    </xf>
    <xf numFmtId="0" fontId="57" fillId="0" borderId="0" xfId="13" applyNumberFormat="1" applyFont="1" applyFill="1" applyAlignment="1">
      <alignment horizontal="center" vertical="center" wrapText="1"/>
    </xf>
    <xf numFmtId="0" fontId="57" fillId="0" borderId="0" xfId="6" applyNumberFormat="1" applyFont="1" applyAlignment="1">
      <alignment horizontal="center"/>
    </xf>
    <xf numFmtId="3" fontId="6" fillId="0" borderId="0" xfId="0" applyNumberFormat="1" applyFont="1" applyAlignment="1">
      <alignment horizontal="center"/>
    </xf>
    <xf numFmtId="0" fontId="6" fillId="0" borderId="0" xfId="0" applyFont="1" applyAlignment="1">
      <alignment horizontal="center"/>
    </xf>
    <xf numFmtId="174" fontId="4" fillId="0" borderId="0" xfId="1" applyNumberFormat="1" applyFont="1"/>
    <xf numFmtId="38" fontId="15" fillId="0" borderId="0" xfId="0" applyNumberFormat="1" applyFont="1" applyAlignment="1">
      <alignment shrinkToFit="1"/>
    </xf>
    <xf numFmtId="169" fontId="44" fillId="0" borderId="0" xfId="6" applyNumberFormat="1" applyFont="1" applyFill="1"/>
    <xf numFmtId="0" fontId="6" fillId="0" borderId="5" xfId="0" applyFont="1" applyBorder="1" applyAlignment="1">
      <alignment horizontal="center" vertical="center"/>
    </xf>
    <xf numFmtId="0" fontId="6" fillId="0" borderId="9" xfId="0" applyFont="1" applyBorder="1" applyAlignment="1">
      <alignment horizontal="center" vertical="center" shrinkToFit="1"/>
    </xf>
    <xf numFmtId="169" fontId="101" fillId="0" borderId="8" xfId="6" applyNumberFormat="1" applyFont="1" applyFill="1" applyBorder="1" applyAlignment="1">
      <alignment horizontal="right" shrinkToFit="1"/>
    </xf>
    <xf numFmtId="0" fontId="4" fillId="8" borderId="8" xfId="0" applyFont="1" applyFill="1" applyBorder="1" applyAlignment="1">
      <alignment horizontal="center"/>
    </xf>
    <xf numFmtId="0" fontId="4" fillId="8" borderId="8" xfId="0" applyFont="1" applyFill="1" applyBorder="1" applyAlignment="1">
      <alignment horizontal="center" vertical="center"/>
    </xf>
    <xf numFmtId="0" fontId="4" fillId="2" borderId="8" xfId="0" applyFont="1" applyFill="1" applyBorder="1" applyAlignment="1">
      <alignment shrinkToFit="1"/>
    </xf>
    <xf numFmtId="9" fontId="4" fillId="2" borderId="8" xfId="0" applyNumberFormat="1" applyFont="1" applyFill="1" applyBorder="1" applyAlignment="1">
      <alignment horizontal="center"/>
    </xf>
    <xf numFmtId="0" fontId="4" fillId="2" borderId="8" xfId="0" applyFont="1" applyFill="1" applyBorder="1" applyAlignment="1">
      <alignment vertical="center" shrinkToFit="1"/>
    </xf>
    <xf numFmtId="9" fontId="4" fillId="2" borderId="8" xfId="0" applyNumberFormat="1" applyFont="1" applyFill="1" applyBorder="1" applyAlignment="1">
      <alignment horizontal="center" vertical="center" wrapText="1"/>
    </xf>
    <xf numFmtId="0" fontId="4" fillId="2" borderId="8" xfId="0" applyFont="1" applyFill="1" applyBorder="1" applyAlignment="1">
      <alignment horizontal="center"/>
    </xf>
    <xf numFmtId="0" fontId="4" fillId="2" borderId="8" xfId="0" applyFont="1" applyFill="1" applyBorder="1"/>
    <xf numFmtId="0" fontId="4" fillId="2" borderId="8" xfId="0" applyFont="1" applyFill="1" applyBorder="1" applyAlignment="1">
      <alignment horizontal="center" vertical="center" wrapText="1"/>
    </xf>
    <xf numFmtId="0" fontId="4" fillId="2" borderId="8" xfId="0" applyFont="1" applyFill="1" applyBorder="1" applyAlignment="1">
      <alignment vertical="center" wrapText="1"/>
    </xf>
    <xf numFmtId="38" fontId="23" fillId="0" borderId="0" xfId="6" applyNumberFormat="1" applyFont="1" applyFill="1"/>
    <xf numFmtId="0" fontId="69" fillId="0" borderId="8" xfId="5" applyFont="1" applyFill="1" applyBorder="1" applyAlignment="1">
      <alignment horizontal="center" vertical="center" shrinkToFit="1"/>
    </xf>
    <xf numFmtId="9" fontId="6" fillId="0" borderId="1" xfId="16" applyFont="1" applyBorder="1" applyAlignment="1">
      <alignment horizontal="right"/>
    </xf>
    <xf numFmtId="9" fontId="4" fillId="0" borderId="0" xfId="16" applyFont="1" applyBorder="1" applyAlignment="1">
      <alignment horizontal="centerContinuous" vertical="center" wrapText="1"/>
    </xf>
    <xf numFmtId="0" fontId="19" fillId="0" borderId="0" xfId="6" applyFont="1"/>
    <xf numFmtId="169" fontId="19" fillId="0" borderId="0" xfId="6" applyNumberFormat="1" applyFont="1" applyBorder="1"/>
    <xf numFmtId="0" fontId="19" fillId="0" borderId="0" xfId="6" applyFont="1" applyBorder="1"/>
    <xf numFmtId="169" fontId="6" fillId="0" borderId="5" xfId="6" applyNumberFormat="1" applyFont="1" applyBorder="1" applyAlignment="1">
      <alignment horizontal="center" vertical="center" wrapText="1"/>
    </xf>
    <xf numFmtId="0" fontId="6" fillId="0" borderId="5" xfId="6" applyNumberFormat="1" applyFont="1" applyBorder="1" applyAlignment="1">
      <alignment horizontal="center" vertical="center" wrapText="1"/>
    </xf>
    <xf numFmtId="49" fontId="4" fillId="0" borderId="5" xfId="6" applyNumberFormat="1" applyFont="1" applyBorder="1" applyAlignment="1">
      <alignment horizontal="center"/>
    </xf>
    <xf numFmtId="169" fontId="4" fillId="0" borderId="5" xfId="6" applyNumberFormat="1" applyFont="1" applyBorder="1" applyAlignment="1">
      <alignment horizontal="center"/>
    </xf>
    <xf numFmtId="49" fontId="11" fillId="0" borderId="6" xfId="6" applyNumberFormat="1" applyFont="1" applyBorder="1" applyAlignment="1">
      <alignment vertical="center" wrapText="1"/>
    </xf>
    <xf numFmtId="38" fontId="11" fillId="0" borderId="6" xfId="6" applyNumberFormat="1" applyFont="1" applyBorder="1" applyAlignment="1">
      <alignment shrinkToFit="1"/>
    </xf>
    <xf numFmtId="49" fontId="4" fillId="0" borderId="8" xfId="6" applyNumberFormat="1" applyFont="1" applyFill="1" applyBorder="1" applyAlignment="1">
      <alignment vertical="center" wrapText="1"/>
    </xf>
    <xf numFmtId="38" fontId="4" fillId="0" borderId="8" xfId="6" applyNumberFormat="1" applyFont="1" applyBorder="1" applyAlignment="1">
      <alignment shrinkToFit="1"/>
    </xf>
    <xf numFmtId="38" fontId="4" fillId="0" borderId="8" xfId="6" applyNumberFormat="1" applyFont="1" applyFill="1" applyBorder="1" applyAlignment="1">
      <alignment horizontal="right" shrinkToFit="1"/>
    </xf>
    <xf numFmtId="49" fontId="4" fillId="0" borderId="8" xfId="6" applyNumberFormat="1" applyFont="1" applyBorder="1" applyAlignment="1">
      <alignment vertical="center" wrapText="1"/>
    </xf>
    <xf numFmtId="38" fontId="19" fillId="0" borderId="8" xfId="6" applyNumberFormat="1" applyFont="1" applyFill="1" applyBorder="1" applyAlignment="1">
      <alignment horizontal="right" shrinkToFit="1"/>
    </xf>
    <xf numFmtId="49" fontId="11" fillId="0" borderId="8" xfId="6" applyNumberFormat="1" applyFont="1" applyBorder="1" applyAlignment="1">
      <alignment vertical="center" wrapText="1"/>
    </xf>
    <xf numFmtId="38" fontId="11" fillId="0" borderId="8" xfId="6" applyNumberFormat="1" applyFont="1" applyBorder="1" applyAlignment="1">
      <alignment shrinkToFit="1"/>
    </xf>
    <xf numFmtId="49" fontId="6" fillId="0" borderId="8" xfId="6" applyNumberFormat="1" applyFont="1" applyBorder="1" applyAlignment="1">
      <alignment vertical="center" wrapText="1"/>
    </xf>
    <xf numFmtId="38" fontId="6" fillId="0" borderId="8" xfId="6" applyNumberFormat="1" applyFont="1" applyBorder="1" applyAlignment="1">
      <alignment shrinkToFit="1"/>
    </xf>
    <xf numFmtId="38" fontId="6" fillId="0" borderId="8" xfId="6" applyNumberFormat="1" applyFont="1" applyFill="1" applyBorder="1" applyAlignment="1">
      <alignment horizontal="right" shrinkToFit="1"/>
    </xf>
    <xf numFmtId="49" fontId="6" fillId="4" borderId="8" xfId="6" applyNumberFormat="1" applyFont="1" applyFill="1" applyBorder="1" applyAlignment="1">
      <alignment vertical="center" wrapText="1"/>
    </xf>
    <xf numFmtId="49" fontId="4" fillId="0" borderId="8" xfId="6" quotePrefix="1" applyNumberFormat="1" applyFont="1" applyBorder="1" applyAlignment="1">
      <alignment vertical="center" wrapText="1"/>
    </xf>
    <xf numFmtId="49" fontId="6" fillId="0" borderId="9" xfId="6" applyNumberFormat="1" applyFont="1" applyBorder="1" applyAlignment="1">
      <alignment vertical="center" wrapText="1"/>
    </xf>
    <xf numFmtId="38" fontId="11" fillId="0" borderId="9" xfId="6" applyNumberFormat="1" applyFont="1" applyBorder="1" applyAlignment="1">
      <alignment shrinkToFit="1"/>
    </xf>
    <xf numFmtId="38" fontId="6" fillId="0" borderId="9" xfId="6" applyNumberFormat="1" applyFont="1" applyBorder="1" applyAlignment="1">
      <alignment shrinkToFit="1"/>
    </xf>
    <xf numFmtId="38" fontId="6" fillId="0" borderId="9" xfId="6" applyNumberFormat="1" applyFont="1" applyFill="1" applyBorder="1" applyAlignment="1">
      <alignment horizontal="right" shrinkToFit="1"/>
    </xf>
    <xf numFmtId="0" fontId="49" fillId="0" borderId="8" xfId="0" applyFont="1" applyFill="1" applyBorder="1" applyAlignment="1">
      <alignment vertical="center" shrinkToFit="1"/>
    </xf>
    <xf numFmtId="49" fontId="49" fillId="0" borderId="9" xfId="3" applyNumberFormat="1" applyFont="1" applyFill="1" applyBorder="1" applyAlignment="1">
      <alignment horizontal="center" vertical="center"/>
    </xf>
    <xf numFmtId="0" fontId="49" fillId="0" borderId="9" xfId="0" applyFont="1" applyFill="1" applyBorder="1" applyAlignment="1">
      <alignment vertical="center" shrinkToFit="1"/>
    </xf>
    <xf numFmtId="174" fontId="19" fillId="0" borderId="9" xfId="3" applyNumberFormat="1" applyFont="1" applyFill="1" applyBorder="1" applyAlignment="1">
      <alignment vertical="center" shrinkToFit="1"/>
    </xf>
    <xf numFmtId="49" fontId="49" fillId="0" borderId="8" xfId="3" applyNumberFormat="1" applyFont="1" applyFill="1" applyBorder="1" applyAlignment="1">
      <alignment vertical="center" wrapText="1" shrinkToFit="1"/>
    </xf>
    <xf numFmtId="174" fontId="4" fillId="0" borderId="0" xfId="3" applyNumberFormat="1" applyFont="1" applyFill="1"/>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0" fontId="20" fillId="0" borderId="5" xfId="0" applyFont="1" applyBorder="1" applyAlignment="1">
      <alignment horizontal="center" vertical="center" wrapText="1"/>
    </xf>
    <xf numFmtId="38" fontId="19" fillId="0" borderId="0" xfId="1" applyNumberFormat="1" applyFont="1" applyFill="1"/>
    <xf numFmtId="49" fontId="4" fillId="0" borderId="0" xfId="0" applyNumberFormat="1" applyFont="1" applyBorder="1" applyAlignment="1">
      <alignment vertical="center" shrinkToFit="1"/>
    </xf>
    <xf numFmtId="0" fontId="4" fillId="0" borderId="0" xfId="0" applyFont="1" applyFill="1" applyBorder="1"/>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3" fontId="6" fillId="0" borderId="0" xfId="0" applyNumberFormat="1" applyFont="1" applyAlignment="1">
      <alignment horizontal="center"/>
    </xf>
    <xf numFmtId="3" fontId="6" fillId="0" borderId="0" xfId="0" applyNumberFormat="1" applyFont="1" applyBorder="1" applyAlignment="1">
      <alignment horizontal="center"/>
    </xf>
    <xf numFmtId="0" fontId="20" fillId="0" borderId="0" xfId="0" applyFont="1" applyAlignment="1">
      <alignment horizontal="center"/>
    </xf>
    <xf numFmtId="0" fontId="20" fillId="0" borderId="5" xfId="0" applyFont="1" applyBorder="1" applyAlignment="1">
      <alignment horizontal="center" vertical="center" wrapText="1"/>
    </xf>
    <xf numFmtId="3" fontId="6" fillId="0" borderId="5" xfId="0" applyNumberFormat="1" applyFont="1" applyBorder="1" applyAlignment="1">
      <alignment horizontal="center" vertical="center" shrinkToFit="1"/>
    </xf>
    <xf numFmtId="0" fontId="24" fillId="0" borderId="0" xfId="0" applyFont="1" applyFill="1" applyAlignment="1">
      <alignment horizontal="center" vertical="center" wrapText="1"/>
    </xf>
    <xf numFmtId="38" fontId="23" fillId="0" borderId="0" xfId="0" applyNumberFormat="1" applyFont="1"/>
    <xf numFmtId="38" fontId="20" fillId="0" borderId="0" xfId="0" applyNumberFormat="1" applyFont="1"/>
    <xf numFmtId="166" fontId="23" fillId="0" borderId="0" xfId="1" applyNumberFormat="1" applyFont="1" applyAlignment="1">
      <alignment shrinkToFi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xf>
    <xf numFmtId="0" fontId="6" fillId="0" borderId="5" xfId="0" applyFont="1" applyFill="1" applyBorder="1" applyAlignment="1">
      <alignment horizontal="center" vertical="center" wrapText="1"/>
    </xf>
    <xf numFmtId="166" fontId="25" fillId="0" borderId="0" xfId="1" applyNumberFormat="1" applyFont="1"/>
    <xf numFmtId="3" fontId="11" fillId="0" borderId="8" xfId="0" applyNumberFormat="1" applyFont="1" applyFill="1" applyBorder="1" applyAlignment="1">
      <alignment vertical="center" wrapText="1" shrinkToFit="1"/>
    </xf>
    <xf numFmtId="3" fontId="4" fillId="0" borderId="8" xfId="0" applyNumberFormat="1" applyFont="1" applyFill="1" applyBorder="1" applyAlignment="1">
      <alignment vertical="center" wrapText="1" shrinkToFit="1"/>
    </xf>
    <xf numFmtId="3" fontId="4" fillId="0" borderId="9" xfId="0" applyNumberFormat="1" applyFont="1" applyFill="1" applyBorder="1" applyAlignment="1">
      <alignment vertical="center" wrapText="1" shrinkToFit="1"/>
    </xf>
    <xf numFmtId="38" fontId="38" fillId="0" borderId="9" xfId="0" applyNumberFormat="1" applyFont="1" applyBorder="1" applyAlignment="1">
      <alignment vertical="center"/>
    </xf>
    <xf numFmtId="0" fontId="19" fillId="0" borderId="1" xfId="0" applyFont="1" applyBorder="1" applyAlignment="1">
      <alignment horizontal="right"/>
    </xf>
    <xf numFmtId="0" fontId="19" fillId="0" borderId="0" xfId="0" applyFont="1" applyBorder="1" applyAlignment="1">
      <alignment horizontal="right"/>
    </xf>
    <xf numFmtId="0" fontId="4" fillId="0" borderId="0" xfId="0" applyFont="1" applyAlignment="1">
      <alignment horizontal="center"/>
    </xf>
    <xf numFmtId="0" fontId="20" fillId="0" borderId="5" xfId="0" applyFont="1" applyBorder="1" applyAlignment="1">
      <alignment horizontal="center" vertical="center" wrapText="1"/>
    </xf>
    <xf numFmtId="0" fontId="4" fillId="0" borderId="6" xfId="0" applyFont="1" applyBorder="1" applyAlignment="1">
      <alignment vertical="center" shrinkToFit="1"/>
    </xf>
    <xf numFmtId="38" fontId="4" fillId="0" borderId="6" xfId="0" applyNumberFormat="1" applyFont="1" applyBorder="1" applyAlignment="1">
      <alignment vertical="center" shrinkToFit="1"/>
    </xf>
    <xf numFmtId="38" fontId="4" fillId="0" borderId="6" xfId="0" applyNumberFormat="1" applyFont="1" applyBorder="1" applyAlignment="1">
      <alignment horizontal="right" vertical="center" shrinkToFit="1"/>
    </xf>
    <xf numFmtId="0" fontId="4" fillId="0" borderId="9" xfId="0" applyFont="1" applyBorder="1" applyAlignment="1">
      <alignment vertical="center" shrinkToFit="1"/>
    </xf>
    <xf numFmtId="38" fontId="4" fillId="0" borderId="9" xfId="0" applyNumberFormat="1" applyFont="1" applyBorder="1" applyAlignment="1">
      <alignment vertical="center" shrinkToFit="1"/>
    </xf>
    <xf numFmtId="3" fontId="6" fillId="0" borderId="17" xfId="0" applyNumberFormat="1" applyFont="1" applyBorder="1" applyAlignment="1">
      <alignment horizontal="center" vertical="center" wrapText="1"/>
    </xf>
    <xf numFmtId="3" fontId="6" fillId="0" borderId="18"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6" fillId="0" borderId="5" xfId="0" applyNumberFormat="1" applyFont="1" applyBorder="1" applyAlignment="1">
      <alignment horizontal="center" vertical="center" wrapText="1"/>
    </xf>
    <xf numFmtId="3" fontId="6" fillId="0" borderId="0" xfId="0" applyNumberFormat="1" applyFont="1" applyAlignment="1">
      <alignment horizontal="center" vertical="center" wrapText="1"/>
    </xf>
    <xf numFmtId="0" fontId="4" fillId="0" borderId="5" xfId="0" applyFont="1" applyBorder="1" applyAlignment="1">
      <alignment horizontal="center" vertical="center" wrapText="1"/>
    </xf>
    <xf numFmtId="3" fontId="6" fillId="0" borderId="0" xfId="0" applyNumberFormat="1" applyFont="1" applyAlignment="1">
      <alignment vertical="center" wrapText="1"/>
    </xf>
    <xf numFmtId="0" fontId="6" fillId="0" borderId="17" xfId="0" applyFont="1" applyBorder="1" applyAlignment="1">
      <alignment horizontal="center" vertical="center" wrapText="1"/>
    </xf>
    <xf numFmtId="0" fontId="6" fillId="0" borderId="7" xfId="0" applyFont="1" applyBorder="1" applyAlignment="1">
      <alignment horizontal="center" vertical="center" wrapText="1"/>
    </xf>
    <xf numFmtId="0" fontId="4" fillId="0" borderId="0" xfId="0" applyFont="1" applyAlignment="1">
      <alignment horizontal="center"/>
    </xf>
    <xf numFmtId="0" fontId="6" fillId="0" borderId="0" xfId="0" applyFont="1" applyAlignment="1">
      <alignment horizontal="center" vertical="center" wrapText="1"/>
    </xf>
    <xf numFmtId="0" fontId="57" fillId="0" borderId="6" xfId="13" applyNumberFormat="1" applyFont="1" applyFill="1" applyBorder="1" applyAlignment="1">
      <alignment horizontal="center" vertical="center" wrapText="1"/>
    </xf>
    <xf numFmtId="0" fontId="58" fillId="0" borderId="8" xfId="13" quotePrefix="1" applyFont="1" applyFill="1" applyBorder="1" applyAlignment="1">
      <alignment vertical="justify"/>
    </xf>
    <xf numFmtId="0" fontId="58" fillId="0" borderId="8" xfId="13" applyNumberFormat="1" applyFont="1" applyFill="1" applyBorder="1" applyAlignment="1">
      <alignment vertical="justify"/>
    </xf>
    <xf numFmtId="0" fontId="57" fillId="0" borderId="0" xfId="13" applyNumberFormat="1" applyFont="1" applyFill="1" applyAlignment="1">
      <alignment horizontal="center" vertical="center" wrapText="1"/>
    </xf>
    <xf numFmtId="0" fontId="59" fillId="0" borderId="0" xfId="13" applyNumberFormat="1" applyFont="1" applyFill="1" applyBorder="1" applyAlignment="1">
      <alignment horizontal="right"/>
    </xf>
    <xf numFmtId="0" fontId="57" fillId="0" borderId="5" xfId="13" applyNumberFormat="1" applyFont="1" applyFill="1" applyBorder="1" applyAlignment="1">
      <alignment horizontal="center" vertical="center" wrapText="1"/>
    </xf>
    <xf numFmtId="0" fontId="57" fillId="0" borderId="5" xfId="13" applyFont="1" applyFill="1" applyBorder="1" applyAlignment="1">
      <alignment horizontal="center" vertical="center" wrapText="1"/>
    </xf>
    <xf numFmtId="0" fontId="6" fillId="0" borderId="30" xfId="0" applyFont="1" applyFill="1" applyBorder="1" applyAlignment="1">
      <alignment horizontal="center" vertical="center" wrapText="1"/>
    </xf>
    <xf numFmtId="0" fontId="51" fillId="0" borderId="0" xfId="0" applyFont="1" applyFill="1" applyAlignment="1">
      <alignment horizontal="center" vertical="center"/>
    </xf>
    <xf numFmtId="0" fontId="14" fillId="3" borderId="34" xfId="0" applyFont="1" applyFill="1" applyBorder="1" applyAlignment="1">
      <alignment horizontal="center" vertical="center" wrapText="1"/>
    </xf>
    <xf numFmtId="0" fontId="14" fillId="3" borderId="35" xfId="0" applyFont="1" applyFill="1" applyBorder="1" applyAlignment="1">
      <alignment horizontal="center" vertical="center" wrapText="1"/>
    </xf>
    <xf numFmtId="0" fontId="14" fillId="3" borderId="36" xfId="0" applyFont="1" applyFill="1" applyBorder="1" applyAlignment="1">
      <alignment horizontal="center" vertical="center" wrapText="1"/>
    </xf>
    <xf numFmtId="0" fontId="14" fillId="3" borderId="37" xfId="0" applyFont="1" applyFill="1" applyBorder="1" applyAlignment="1">
      <alignment horizontal="center" vertical="center" wrapText="1"/>
    </xf>
    <xf numFmtId="0" fontId="14" fillId="3" borderId="38" xfId="0" applyFont="1" applyFill="1" applyBorder="1" applyAlignment="1">
      <alignment horizontal="center" vertical="center" wrapText="1"/>
    </xf>
    <xf numFmtId="0" fontId="61" fillId="0" borderId="39" xfId="0" applyFont="1" applyBorder="1" applyAlignment="1">
      <alignment horizontal="center" vertical="center"/>
    </xf>
    <xf numFmtId="0" fontId="14" fillId="3" borderId="30"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9" xfId="0" applyFont="1" applyFill="1" applyBorder="1" applyAlignment="1">
      <alignment horizontal="center" vertical="center" wrapText="1"/>
    </xf>
    <xf numFmtId="0" fontId="61" fillId="0" borderId="0" xfId="0" applyFont="1" applyBorder="1" applyAlignment="1">
      <alignment horizontal="center" vertical="center"/>
    </xf>
    <xf numFmtId="0" fontId="12" fillId="3" borderId="5" xfId="0" applyFont="1" applyFill="1" applyBorder="1" applyAlignment="1">
      <alignment horizontal="center" vertical="center" wrapText="1"/>
    </xf>
    <xf numFmtId="0" fontId="12" fillId="3" borderId="5" xfId="0" applyFont="1" applyFill="1" applyBorder="1" applyAlignment="1">
      <alignment horizontal="center" vertical="center" wrapText="1" shrinkToFit="1"/>
    </xf>
    <xf numFmtId="0" fontId="12" fillId="3" borderId="37" xfId="0" applyFont="1" applyFill="1" applyBorder="1" applyAlignment="1">
      <alignment horizontal="center" vertical="center" wrapText="1"/>
    </xf>
    <xf numFmtId="0" fontId="12" fillId="3" borderId="41"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7" xfId="0" applyFont="1" applyFill="1" applyBorder="1" applyAlignment="1">
      <alignment horizontal="center" vertical="center" wrapText="1"/>
    </xf>
    <xf numFmtId="0" fontId="12" fillId="3" borderId="18"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2" fillId="3" borderId="42" xfId="0" applyFont="1" applyFill="1" applyBorder="1" applyAlignment="1">
      <alignment horizontal="center" vertical="center" wrapText="1" shrinkToFit="1"/>
    </xf>
    <xf numFmtId="0" fontId="12" fillId="3" borderId="3" xfId="0" applyFont="1" applyFill="1" applyBorder="1" applyAlignment="1">
      <alignment horizontal="center" vertical="center" wrapText="1" shrinkToFit="1"/>
    </xf>
    <xf numFmtId="0" fontId="12" fillId="3" borderId="43" xfId="0" applyFont="1" applyFill="1" applyBorder="1" applyAlignment="1">
      <alignment horizontal="center" vertical="center" wrapText="1" shrinkToFit="1"/>
    </xf>
    <xf numFmtId="0" fontId="60" fillId="0" borderId="0" xfId="6" applyNumberFormat="1" applyFont="1" applyAlignment="1">
      <alignment horizontal="left" vertical="center" wrapText="1"/>
    </xf>
    <xf numFmtId="0" fontId="57" fillId="0" borderId="0" xfId="6" applyNumberFormat="1" applyFont="1" applyAlignment="1">
      <alignment horizontal="center"/>
    </xf>
    <xf numFmtId="0" fontId="57" fillId="0" borderId="0" xfId="6" applyFont="1" applyAlignment="1">
      <alignment horizontal="center"/>
    </xf>
    <xf numFmtId="49" fontId="57" fillId="0" borderId="5" xfId="6" applyNumberFormat="1" applyFont="1" applyBorder="1" applyAlignment="1">
      <alignment horizontal="center" vertical="center"/>
    </xf>
    <xf numFmtId="169" fontId="57" fillId="0" borderId="5" xfId="6" applyNumberFormat="1" applyFont="1" applyBorder="1" applyAlignment="1">
      <alignment horizontal="center" vertical="center" wrapText="1"/>
    </xf>
    <xf numFmtId="0" fontId="57" fillId="0" borderId="5" xfId="6"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9" xfId="0" applyFont="1" applyBorder="1" applyAlignment="1">
      <alignment horizontal="center" vertical="center"/>
    </xf>
    <xf numFmtId="166" fontId="4" fillId="0" borderId="0" xfId="9" applyNumberFormat="1" applyFont="1" applyFill="1" applyBorder="1" applyAlignment="1">
      <alignment horizontal="left" vertical="center" wrapText="1"/>
    </xf>
    <xf numFmtId="0" fontId="6" fillId="0" borderId="0" xfId="0" applyFont="1" applyAlignment="1">
      <alignment horizontal="center"/>
    </xf>
    <xf numFmtId="0" fontId="77" fillId="0" borderId="22" xfId="0" applyFont="1" applyBorder="1" applyAlignment="1">
      <alignment vertical="center" wrapText="1"/>
    </xf>
    <xf numFmtId="0" fontId="12" fillId="3" borderId="30"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12" fillId="3" borderId="38" xfId="0" applyFont="1" applyFill="1" applyBorder="1" applyAlignment="1">
      <alignment horizontal="center" vertical="center" wrapText="1"/>
    </xf>
    <xf numFmtId="3" fontId="72" fillId="0" borderId="5" xfId="0" applyNumberFormat="1" applyFont="1" applyBorder="1" applyAlignment="1">
      <alignment horizontal="center" vertical="center" wrapText="1"/>
    </xf>
    <xf numFmtId="0" fontId="20" fillId="0" borderId="5" xfId="0" applyFont="1" applyFill="1" applyBorder="1" applyAlignment="1">
      <alignment horizontal="center" vertical="center" wrapText="1"/>
    </xf>
    <xf numFmtId="0" fontId="12" fillId="0" borderId="0" xfId="0" applyFont="1" applyAlignment="1">
      <alignment horizontal="center"/>
    </xf>
    <xf numFmtId="49" fontId="4" fillId="0" borderId="5"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6" fillId="0" borderId="2" xfId="0" applyFont="1" applyBorder="1" applyAlignment="1">
      <alignment horizontal="center"/>
    </xf>
    <xf numFmtId="0" fontId="6" fillId="0" borderId="4" xfId="0" applyFont="1" applyBorder="1" applyAlignment="1">
      <alignment horizont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169" fontId="6" fillId="0" borderId="17" xfId="6" applyNumberFormat="1" applyFont="1" applyBorder="1" applyAlignment="1">
      <alignment horizontal="center" vertical="center" wrapText="1"/>
    </xf>
    <xf numFmtId="169" fontId="6" fillId="0" borderId="7" xfId="6" applyNumberFormat="1" applyFont="1" applyBorder="1" applyAlignment="1">
      <alignment horizontal="center" vertical="center" wrapText="1"/>
    </xf>
    <xf numFmtId="0" fontId="6" fillId="0" borderId="0" xfId="6" applyNumberFormat="1" applyFont="1" applyAlignment="1">
      <alignment horizontal="center"/>
    </xf>
    <xf numFmtId="49" fontId="6" fillId="0" borderId="5" xfId="6" applyNumberFormat="1" applyFont="1" applyBorder="1" applyAlignment="1">
      <alignment horizontal="center" vertical="center"/>
    </xf>
    <xf numFmtId="169" fontId="6" fillId="0" borderId="5" xfId="6" applyNumberFormat="1" applyFont="1" applyBorder="1" applyAlignment="1">
      <alignment horizontal="center" vertical="center" wrapText="1"/>
    </xf>
    <xf numFmtId="0" fontId="6" fillId="0" borderId="5" xfId="6" applyNumberFormat="1" applyFont="1" applyBorder="1" applyAlignment="1">
      <alignment horizontal="center" vertical="center" wrapText="1"/>
    </xf>
    <xf numFmtId="3" fontId="20" fillId="0" borderId="5" xfId="0" applyNumberFormat="1" applyFont="1" applyBorder="1" applyAlignment="1">
      <alignment horizontal="center" vertical="center" wrapText="1"/>
    </xf>
    <xf numFmtId="0" fontId="23" fillId="0" borderId="5" xfId="0" applyFont="1" applyBorder="1" applyAlignment="1">
      <alignment horizontal="center" vertical="center" wrapText="1"/>
    </xf>
    <xf numFmtId="3" fontId="20" fillId="0" borderId="17" xfId="0" applyNumberFormat="1" applyFont="1" applyBorder="1" applyAlignment="1">
      <alignment horizontal="center" vertical="center" wrapText="1"/>
    </xf>
    <xf numFmtId="3" fontId="20" fillId="0" borderId="18" xfId="0" applyNumberFormat="1" applyFont="1" applyBorder="1" applyAlignment="1">
      <alignment horizontal="center" vertical="center" wrapText="1"/>
    </xf>
    <xf numFmtId="3" fontId="20" fillId="0" borderId="7" xfId="0" applyNumberFormat="1" applyFont="1" applyBorder="1" applyAlignment="1">
      <alignment horizontal="center" vertical="center" wrapText="1"/>
    </xf>
    <xf numFmtId="3" fontId="12" fillId="0" borderId="2" xfId="0" applyNumberFormat="1" applyFont="1" applyBorder="1" applyAlignment="1">
      <alignment horizontal="center" vertical="center" wrapText="1"/>
    </xf>
    <xf numFmtId="3" fontId="12" fillId="0" borderId="3" xfId="0" applyNumberFormat="1" applyFont="1" applyBorder="1" applyAlignment="1">
      <alignment horizontal="center" vertical="center" wrapText="1"/>
    </xf>
    <xf numFmtId="3" fontId="12" fillId="0" borderId="4" xfId="0" applyNumberFormat="1" applyFont="1" applyBorder="1" applyAlignment="1">
      <alignment horizontal="center" vertical="center" wrapText="1"/>
    </xf>
    <xf numFmtId="0" fontId="4" fillId="0" borderId="7" xfId="0" applyFont="1" applyBorder="1" applyAlignment="1">
      <alignment horizontal="center" vertical="center" wrapText="1"/>
    </xf>
    <xf numFmtId="0" fontId="4" fillId="0" borderId="18" xfId="0" applyFont="1" applyBorder="1" applyAlignment="1">
      <alignment horizontal="center" vertical="center" wrapText="1"/>
    </xf>
    <xf numFmtId="3" fontId="6" fillId="0" borderId="19" xfId="0" applyNumberFormat="1" applyFont="1" applyBorder="1" applyAlignment="1">
      <alignment horizontal="center" vertical="center" wrapText="1"/>
    </xf>
    <xf numFmtId="3" fontId="6" fillId="0" borderId="20" xfId="0" applyNumberFormat="1" applyFont="1" applyBorder="1" applyAlignment="1">
      <alignment horizontal="center" vertical="center" wrapText="1"/>
    </xf>
    <xf numFmtId="3" fontId="6" fillId="0" borderId="21" xfId="0" applyNumberFormat="1" applyFont="1" applyBorder="1" applyAlignment="1">
      <alignment horizontal="center" vertical="center" wrapText="1"/>
    </xf>
    <xf numFmtId="3" fontId="6" fillId="0" borderId="0" xfId="0" applyNumberFormat="1" applyFont="1" applyAlignment="1">
      <alignment horizontal="center"/>
    </xf>
    <xf numFmtId="3" fontId="4" fillId="0" borderId="0" xfId="0" applyNumberFormat="1" applyFont="1" applyAlignment="1">
      <alignment horizontal="center"/>
    </xf>
    <xf numFmtId="3" fontId="6" fillId="0" borderId="0" xfId="0" applyNumberFormat="1" applyFont="1" applyFill="1" applyBorder="1" applyAlignment="1">
      <alignment horizontal="center"/>
    </xf>
    <xf numFmtId="3" fontId="6" fillId="0" borderId="1" xfId="0" applyNumberFormat="1" applyFont="1" applyFill="1" applyBorder="1" applyAlignment="1">
      <alignment horizontal="center"/>
    </xf>
    <xf numFmtId="3" fontId="6" fillId="0" borderId="0" xfId="0" applyNumberFormat="1" applyFont="1" applyFill="1" applyBorder="1" applyAlignment="1">
      <alignment horizontal="center" shrinkToFit="1"/>
    </xf>
    <xf numFmtId="3" fontId="6" fillId="0" borderId="0" xfId="0" applyNumberFormat="1" applyFont="1" applyBorder="1" applyAlignment="1">
      <alignment horizontal="center"/>
    </xf>
    <xf numFmtId="3" fontId="6" fillId="0" borderId="2"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3" fontId="6" fillId="0" borderId="4" xfId="0" applyNumberFormat="1" applyFont="1" applyBorder="1" applyAlignment="1">
      <alignment horizontal="center" vertical="center" wrapText="1"/>
    </xf>
    <xf numFmtId="3" fontId="12" fillId="0" borderId="2" xfId="0" applyNumberFormat="1" applyFont="1" applyBorder="1" applyAlignment="1">
      <alignment horizontal="center" vertical="center" shrinkToFit="1"/>
    </xf>
    <xf numFmtId="3" fontId="12" fillId="0" borderId="3" xfId="0" applyNumberFormat="1" applyFont="1" applyBorder="1" applyAlignment="1">
      <alignment horizontal="center" vertical="center" shrinkToFit="1"/>
    </xf>
    <xf numFmtId="3" fontId="12" fillId="0" borderId="4" xfId="0" applyNumberFormat="1" applyFont="1" applyBorder="1" applyAlignment="1">
      <alignment horizontal="center" vertical="center" shrinkToFit="1"/>
    </xf>
    <xf numFmtId="0" fontId="6" fillId="0" borderId="3" xfId="0" applyFont="1" applyBorder="1" applyAlignment="1">
      <alignment horizontal="center"/>
    </xf>
    <xf numFmtId="0" fontId="6" fillId="0" borderId="1" xfId="0" applyFont="1" applyBorder="1" applyAlignment="1">
      <alignment horizontal="right"/>
    </xf>
    <xf numFmtId="0" fontId="6" fillId="0" borderId="17" xfId="0" applyFont="1" applyBorder="1" applyAlignment="1">
      <alignment horizontal="center" vertical="center"/>
    </xf>
    <xf numFmtId="0" fontId="6" fillId="0" borderId="7" xfId="0" applyFont="1" applyBorder="1" applyAlignment="1">
      <alignment horizontal="center" vertical="center"/>
    </xf>
    <xf numFmtId="0" fontId="6" fillId="0" borderId="5" xfId="0" applyFont="1" applyBorder="1" applyAlignment="1">
      <alignment horizontal="center"/>
    </xf>
    <xf numFmtId="0" fontId="20" fillId="0" borderId="5" xfId="0" applyFont="1" applyBorder="1" applyAlignment="1">
      <alignment horizontal="center" vertical="center" wrapText="1"/>
    </xf>
    <xf numFmtId="0" fontId="21" fillId="0" borderId="5" xfId="0" applyFont="1" applyBorder="1" applyAlignment="1">
      <alignment horizontal="center" vertical="center" wrapText="1"/>
    </xf>
    <xf numFmtId="0" fontId="20" fillId="0" borderId="2"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17"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0" xfId="0" applyFont="1" applyAlignment="1">
      <alignment horizontal="center"/>
    </xf>
    <xf numFmtId="167" fontId="20" fillId="0" borderId="5" xfId="0" applyNumberFormat="1" applyFont="1" applyBorder="1" applyAlignment="1">
      <alignment horizontal="center" vertical="center" wrapText="1"/>
    </xf>
    <xf numFmtId="0" fontId="20" fillId="0" borderId="5" xfId="0" applyFont="1" applyBorder="1" applyAlignment="1">
      <alignment horizontal="center"/>
    </xf>
    <xf numFmtId="3" fontId="6" fillId="0" borderId="5" xfId="0" applyNumberFormat="1" applyFont="1" applyBorder="1" applyAlignment="1">
      <alignment horizontal="center" vertical="center" wrapText="1" shrinkToFit="1"/>
    </xf>
    <xf numFmtId="3" fontId="6" fillId="0" borderId="5" xfId="0" applyNumberFormat="1" applyFont="1" applyBorder="1" applyAlignment="1">
      <alignment horizontal="center" vertical="center" shrinkToFit="1"/>
    </xf>
    <xf numFmtId="3" fontId="6" fillId="0" borderId="1" xfId="0" applyNumberFormat="1" applyFont="1" applyBorder="1" applyAlignment="1">
      <alignment horizontal="right"/>
    </xf>
    <xf numFmtId="3" fontId="6" fillId="0" borderId="1" xfId="0" applyNumberFormat="1" applyFont="1" applyBorder="1" applyAlignment="1">
      <alignment horizontal="center"/>
    </xf>
    <xf numFmtId="0" fontId="6"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1" xfId="0" applyFont="1" applyBorder="1" applyAlignment="1">
      <alignment horizontal="center" vertical="center" wrapText="1"/>
    </xf>
    <xf numFmtId="0" fontId="24" fillId="0" borderId="5" xfId="5" applyFont="1" applyFill="1" applyBorder="1" applyAlignment="1">
      <alignment horizontal="center" vertical="center" wrapText="1"/>
    </xf>
    <xf numFmtId="0" fontId="24" fillId="0" borderId="0" xfId="0" applyFont="1" applyFill="1" applyAlignment="1">
      <alignment wrapText="1"/>
    </xf>
    <xf numFmtId="0" fontId="24" fillId="0" borderId="0" xfId="0" applyFont="1" applyFill="1" applyAlignment="1">
      <alignment horizontal="center" vertical="center" wrapText="1"/>
    </xf>
    <xf numFmtId="0" fontId="25" fillId="0" borderId="0" xfId="0" applyFont="1" applyFill="1" applyAlignment="1">
      <alignment horizontal="center" vertical="center" wrapText="1"/>
    </xf>
    <xf numFmtId="0" fontId="24" fillId="0" borderId="5" xfId="0" applyFont="1" applyFill="1" applyBorder="1" applyAlignment="1">
      <alignment horizontal="center" vertical="center" wrapText="1"/>
    </xf>
    <xf numFmtId="0" fontId="6" fillId="0" borderId="5" xfId="0" applyFont="1" applyBorder="1" applyAlignment="1">
      <alignment horizontal="center" vertical="center"/>
    </xf>
    <xf numFmtId="49"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xf>
    <xf numFmtId="0" fontId="6" fillId="0" borderId="5" xfId="0" applyFont="1" applyBorder="1" applyAlignment="1">
      <alignment horizontal="center" vertical="center" shrinkToFit="1"/>
    </xf>
    <xf numFmtId="0" fontId="20" fillId="0" borderId="2" xfId="6" applyNumberFormat="1" applyFont="1" applyFill="1" applyBorder="1" applyAlignment="1">
      <alignment horizontal="center" vertical="center"/>
    </xf>
    <xf numFmtId="0" fontId="20" fillId="0" borderId="3" xfId="6" applyNumberFormat="1" applyFont="1" applyFill="1" applyBorder="1" applyAlignment="1">
      <alignment horizontal="center" vertical="center"/>
    </xf>
    <xf numFmtId="0" fontId="20" fillId="0" borderId="4" xfId="6" applyNumberFormat="1" applyFont="1" applyFill="1" applyBorder="1" applyAlignment="1">
      <alignment horizontal="center" vertical="center"/>
    </xf>
    <xf numFmtId="169" fontId="20" fillId="0" borderId="17" xfId="6" applyNumberFormat="1" applyFont="1" applyFill="1" applyBorder="1" applyAlignment="1">
      <alignment horizontal="center" vertical="center" wrapText="1"/>
    </xf>
    <xf numFmtId="169" fontId="20" fillId="0" borderId="7" xfId="6" applyNumberFormat="1" applyFont="1" applyFill="1" applyBorder="1" applyAlignment="1">
      <alignment horizontal="center" vertical="center" wrapText="1"/>
    </xf>
    <xf numFmtId="169" fontId="20" fillId="0" borderId="25" xfId="6" applyNumberFormat="1" applyFont="1" applyFill="1" applyBorder="1" applyAlignment="1">
      <alignment horizontal="center" vertical="center"/>
    </xf>
    <xf numFmtId="169" fontId="20" fillId="0" borderId="26" xfId="6" applyNumberFormat="1" applyFont="1" applyFill="1" applyBorder="1" applyAlignment="1">
      <alignment horizontal="center" vertical="center"/>
    </xf>
    <xf numFmtId="169" fontId="20" fillId="0" borderId="27" xfId="6" applyNumberFormat="1" applyFont="1" applyFill="1" applyBorder="1" applyAlignment="1">
      <alignment horizontal="center" vertical="center"/>
    </xf>
    <xf numFmtId="169" fontId="20" fillId="0" borderId="28" xfId="6" applyNumberFormat="1" applyFont="1" applyFill="1" applyBorder="1" applyAlignment="1">
      <alignment horizontal="center" vertical="center"/>
    </xf>
    <xf numFmtId="0" fontId="20" fillId="0" borderId="23" xfId="6" applyNumberFormat="1" applyFont="1" applyFill="1" applyBorder="1" applyAlignment="1">
      <alignment horizontal="center" vertical="center"/>
    </xf>
    <xf numFmtId="0" fontId="20" fillId="0" borderId="12" xfId="6" applyNumberFormat="1" applyFont="1" applyFill="1" applyBorder="1" applyAlignment="1">
      <alignment horizontal="center" vertical="center"/>
    </xf>
    <xf numFmtId="0" fontId="20" fillId="0" borderId="24" xfId="6" applyNumberFormat="1" applyFont="1" applyFill="1" applyBorder="1" applyAlignment="1">
      <alignment horizontal="center" vertical="center"/>
    </xf>
    <xf numFmtId="0" fontId="20" fillId="0" borderId="5" xfId="6" applyNumberFormat="1" applyFont="1" applyFill="1" applyBorder="1" applyAlignment="1">
      <alignment horizontal="center" vertical="center"/>
    </xf>
    <xf numFmtId="3" fontId="6" fillId="0" borderId="0" xfId="0" applyNumberFormat="1" applyFont="1" applyFill="1" applyAlignment="1">
      <alignment horizontal="center"/>
    </xf>
    <xf numFmtId="0" fontId="6" fillId="0" borderId="0" xfId="3" applyNumberFormat="1" applyFont="1" applyFill="1" applyAlignment="1">
      <alignment horizontal="center" vertical="center" wrapText="1"/>
    </xf>
    <xf numFmtId="0" fontId="4" fillId="0" borderId="0" xfId="0" applyFont="1" applyFill="1" applyAlignment="1">
      <alignment horizontal="center" vertical="center" wrapText="1"/>
    </xf>
    <xf numFmtId="0" fontId="6" fillId="0" borderId="5" xfId="3" applyNumberFormat="1" applyFont="1" applyFill="1" applyBorder="1" applyAlignment="1">
      <alignment horizontal="center" vertical="center" wrapText="1"/>
    </xf>
    <xf numFmtId="0" fontId="6" fillId="0" borderId="17" xfId="3" applyNumberFormat="1" applyFont="1" applyFill="1" applyBorder="1" applyAlignment="1">
      <alignment horizontal="center" vertical="center" wrapText="1"/>
    </xf>
    <xf numFmtId="0" fontId="6" fillId="0" borderId="7" xfId="3" applyNumberFormat="1" applyFont="1" applyFill="1" applyBorder="1" applyAlignment="1">
      <alignment horizontal="center" vertical="center" wrapText="1"/>
    </xf>
    <xf numFmtId="0" fontId="6" fillId="0" borderId="5" xfId="7" applyFont="1" applyFill="1" applyBorder="1" applyAlignment="1">
      <alignment horizontal="center" vertical="center" wrapText="1"/>
    </xf>
    <xf numFmtId="0" fontId="6" fillId="0" borderId="17" xfId="7" applyFont="1" applyFill="1" applyBorder="1" applyAlignment="1">
      <alignment horizontal="center" vertical="center" wrapText="1"/>
    </xf>
    <xf numFmtId="0" fontId="6" fillId="0" borderId="18" xfId="7" applyFont="1" applyFill="1" applyBorder="1" applyAlignment="1">
      <alignment horizontal="center" vertical="center" wrapText="1"/>
    </xf>
    <xf numFmtId="0" fontId="6" fillId="0" borderId="7" xfId="7" applyFont="1" applyFill="1" applyBorder="1" applyAlignment="1">
      <alignment horizontal="center" vertical="center" wrapText="1"/>
    </xf>
    <xf numFmtId="0" fontId="6" fillId="0" borderId="5" xfId="7" applyFont="1" applyFill="1" applyBorder="1" applyAlignment="1">
      <alignment horizontal="center" vertical="center"/>
    </xf>
    <xf numFmtId="0" fontId="51" fillId="0" borderId="0" xfId="7" applyFont="1" applyAlignment="1">
      <alignment horizontal="center"/>
    </xf>
    <xf numFmtId="0" fontId="6" fillId="0" borderId="2" xfId="7" applyFont="1" applyFill="1" applyBorder="1" applyAlignment="1">
      <alignment horizontal="center" vertical="center" wrapText="1"/>
    </xf>
    <xf numFmtId="166" fontId="6" fillId="0" borderId="5" xfId="1" applyNumberFormat="1" applyFont="1" applyFill="1" applyBorder="1" applyAlignment="1">
      <alignment horizontal="center" vertical="center" wrapText="1"/>
    </xf>
    <xf numFmtId="0" fontId="6" fillId="0" borderId="3" xfId="7" applyFont="1" applyFill="1" applyBorder="1" applyAlignment="1">
      <alignment horizontal="center" vertical="center" wrapText="1"/>
    </xf>
    <xf numFmtId="0" fontId="6" fillId="0" borderId="4" xfId="7" applyFont="1" applyFill="1" applyBorder="1" applyAlignment="1">
      <alignment horizontal="center" vertical="center" wrapText="1"/>
    </xf>
    <xf numFmtId="0" fontId="6" fillId="0" borderId="0" xfId="0" applyFont="1" applyAlignment="1">
      <alignment horizontal="center" vertical="center"/>
    </xf>
    <xf numFmtId="0" fontId="6" fillId="0" borderId="5" xfId="4" applyFont="1" applyBorder="1" applyAlignment="1">
      <alignment horizontal="center" vertical="center" wrapText="1"/>
    </xf>
    <xf numFmtId="3" fontId="6" fillId="0" borderId="5" xfId="4" applyNumberFormat="1" applyFont="1" applyBorder="1" applyAlignment="1">
      <alignment horizontal="center" vertical="center" wrapText="1"/>
    </xf>
    <xf numFmtId="0" fontId="7" fillId="0" borderId="5" xfId="4" applyFont="1" applyBorder="1" applyAlignment="1">
      <alignment horizontal="center" vertical="center" wrapText="1"/>
    </xf>
    <xf numFmtId="0" fontId="6" fillId="0" borderId="0" xfId="0" applyFont="1" applyAlignment="1">
      <alignment shrinkToFit="1"/>
    </xf>
    <xf numFmtId="0" fontId="23" fillId="0" borderId="0" xfId="0" applyFont="1" applyAlignment="1">
      <alignment vertical="justify"/>
    </xf>
    <xf numFmtId="0" fontId="6" fillId="0" borderId="0" xfId="0" applyFont="1" applyAlignment="1">
      <alignment horizontal="center" wrapText="1"/>
    </xf>
    <xf numFmtId="0" fontId="24" fillId="0" borderId="0" xfId="0" applyFont="1" applyAlignment="1">
      <alignment wrapText="1"/>
    </xf>
    <xf numFmtId="0" fontId="24" fillId="0" borderId="0" xfId="0" applyFont="1" applyAlignment="1">
      <alignment horizontal="center" vertical="center" wrapText="1"/>
    </xf>
    <xf numFmtId="0" fontId="25" fillId="0" borderId="0" xfId="0" applyFont="1" applyAlignment="1">
      <alignment horizontal="center" vertical="center" wrapText="1"/>
    </xf>
    <xf numFmtId="0" fontId="24" fillId="0" borderId="5" xfId="0" applyFont="1" applyBorder="1" applyAlignment="1">
      <alignment horizontal="center" vertical="center" wrapText="1"/>
    </xf>
    <xf numFmtId="0" fontId="6" fillId="0" borderId="0" xfId="0" applyFont="1" applyFill="1" applyAlignment="1">
      <alignment horizontal="center" wrapText="1"/>
    </xf>
    <xf numFmtId="0" fontId="6" fillId="0" borderId="5" xfId="0" applyFont="1" applyFill="1" applyBorder="1" applyAlignment="1">
      <alignment horizontal="center" vertical="center" wrapText="1"/>
    </xf>
    <xf numFmtId="0" fontId="34" fillId="0" borderId="0" xfId="0" applyFont="1" applyFill="1" applyAlignment="1">
      <alignment horizontal="center"/>
    </xf>
    <xf numFmtId="0" fontId="20" fillId="0" borderId="0" xfId="0" applyFont="1" applyAlignment="1">
      <alignment horizontal="center" wrapText="1"/>
    </xf>
    <xf numFmtId="0" fontId="47" fillId="0" borderId="0" xfId="0" applyFont="1" applyAlignment="1">
      <alignment vertical="center" wrapText="1"/>
    </xf>
    <xf numFmtId="0" fontId="12" fillId="0" borderId="5" xfId="0" applyFont="1" applyBorder="1" applyAlignment="1">
      <alignment horizontal="center" vertical="center" wrapText="1"/>
    </xf>
    <xf numFmtId="0" fontId="66" fillId="0" borderId="5" xfId="0" applyFont="1" applyBorder="1" applyAlignment="1">
      <alignment horizontal="center" vertical="center" wrapText="1"/>
    </xf>
    <xf numFmtId="0" fontId="19" fillId="0" borderId="22" xfId="0" applyFont="1" applyBorder="1" applyAlignment="1">
      <alignment horizont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9" fontId="4" fillId="2" borderId="46" xfId="0" applyNumberFormat="1" applyFont="1" applyFill="1" applyBorder="1" applyAlignment="1">
      <alignment horizontal="center" vertical="center" wrapText="1"/>
    </xf>
    <xf numFmtId="9" fontId="4" fillId="2" borderId="47" xfId="0" applyNumberFormat="1" applyFont="1" applyFill="1" applyBorder="1" applyAlignment="1">
      <alignment horizontal="center" vertical="center" wrapText="1"/>
    </xf>
    <xf numFmtId="9" fontId="4" fillId="2" borderId="48" xfId="0" applyNumberFormat="1" applyFont="1" applyFill="1" applyBorder="1" applyAlignment="1">
      <alignment horizontal="center" vertical="center" wrapText="1"/>
    </xf>
    <xf numFmtId="9" fontId="4" fillId="2" borderId="20" xfId="0" applyNumberFormat="1" applyFont="1" applyFill="1" applyBorder="1" applyAlignment="1">
      <alignment horizontal="center" vertical="center" wrapText="1"/>
    </xf>
    <xf numFmtId="9" fontId="4" fillId="2" borderId="0" xfId="0" applyNumberFormat="1" applyFont="1" applyFill="1" applyBorder="1" applyAlignment="1">
      <alignment horizontal="center" vertical="center" wrapText="1"/>
    </xf>
    <xf numFmtId="9" fontId="4" fillId="2" borderId="49" xfId="0" applyNumberFormat="1" applyFont="1" applyFill="1" applyBorder="1" applyAlignment="1">
      <alignment horizontal="center" vertical="center" wrapText="1"/>
    </xf>
    <xf numFmtId="9" fontId="4" fillId="2" borderId="50" xfId="0" applyNumberFormat="1" applyFont="1" applyFill="1" applyBorder="1" applyAlignment="1">
      <alignment horizontal="center" vertical="center" wrapText="1"/>
    </xf>
    <xf numFmtId="9" fontId="4" fillId="2" borderId="51" xfId="0" applyNumberFormat="1" applyFont="1" applyFill="1" applyBorder="1" applyAlignment="1">
      <alignment horizontal="center" vertical="center" wrapText="1"/>
    </xf>
    <xf numFmtId="9" fontId="4" fillId="2" borderId="52" xfId="0" applyNumberFormat="1" applyFont="1" applyFill="1" applyBorder="1" applyAlignment="1">
      <alignment horizontal="center" vertical="center" wrapText="1"/>
    </xf>
    <xf numFmtId="9" fontId="4" fillId="2" borderId="8" xfId="0"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0" fontId="6" fillId="0" borderId="1" xfId="0" applyFont="1" applyBorder="1" applyAlignment="1">
      <alignment horizontal="center"/>
    </xf>
    <xf numFmtId="0" fontId="34" fillId="0" borderId="0" xfId="0" applyFont="1" applyAlignment="1">
      <alignment horizontal="center"/>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17"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32" fillId="0" borderId="0" xfId="0" applyFont="1" applyAlignment="1">
      <alignment horizontal="center" wrapText="1"/>
    </xf>
    <xf numFmtId="0" fontId="6" fillId="0" borderId="53"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56" xfId="0" applyFont="1" applyBorder="1" applyAlignment="1">
      <alignment horizontal="center" vertical="center" wrapText="1"/>
    </xf>
    <xf numFmtId="0" fontId="6" fillId="0" borderId="57" xfId="0" applyFont="1" applyBorder="1" applyAlignment="1">
      <alignment horizontal="center" vertical="center" wrapText="1"/>
    </xf>
    <xf numFmtId="0" fontId="6" fillId="0" borderId="58" xfId="0" applyFont="1" applyBorder="1" applyAlignment="1">
      <alignment horizontal="center" vertical="center" wrapText="1"/>
    </xf>
    <xf numFmtId="0" fontId="20" fillId="0" borderId="59" xfId="0" applyFont="1" applyBorder="1" applyAlignment="1">
      <alignment horizontal="center" vertical="center" wrapText="1"/>
    </xf>
    <xf numFmtId="0" fontId="6" fillId="0" borderId="60" xfId="0" applyFont="1" applyBorder="1" applyAlignment="1">
      <alignment horizontal="center" vertical="center" shrinkToFit="1"/>
    </xf>
    <xf numFmtId="0" fontId="6" fillId="0" borderId="61" xfId="0" applyFont="1" applyBorder="1" applyAlignment="1">
      <alignment horizontal="center" vertical="center" shrinkToFit="1"/>
    </xf>
    <xf numFmtId="0" fontId="4" fillId="0" borderId="62" xfId="0" applyFont="1" applyBorder="1" applyAlignment="1">
      <alignment horizontal="center" vertical="center"/>
    </xf>
    <xf numFmtId="38" fontId="4" fillId="0" borderId="63" xfId="0" applyNumberFormat="1" applyFont="1" applyBorder="1" applyAlignment="1">
      <alignment vertical="center" shrinkToFit="1"/>
    </xf>
    <xf numFmtId="0" fontId="4" fillId="0" borderId="64" xfId="0" applyFont="1" applyBorder="1" applyAlignment="1">
      <alignment horizontal="center" vertical="center"/>
    </xf>
    <xf numFmtId="38" fontId="4" fillId="0" borderId="65" xfId="0" applyNumberFormat="1" applyFont="1" applyBorder="1" applyAlignment="1">
      <alignment vertical="center" shrinkToFit="1"/>
    </xf>
    <xf numFmtId="0" fontId="4" fillId="0" borderId="66" xfId="0" applyFont="1" applyBorder="1" applyAlignment="1">
      <alignment horizontal="center" vertical="center"/>
    </xf>
    <xf numFmtId="38" fontId="4" fillId="0" borderId="67" xfId="0" applyNumberFormat="1" applyFont="1" applyBorder="1" applyAlignment="1">
      <alignment vertical="center" shrinkToFit="1"/>
    </xf>
    <xf numFmtId="0" fontId="6" fillId="0" borderId="68" xfId="0" applyFont="1" applyFill="1" applyBorder="1" applyAlignment="1">
      <alignment horizontal="center" vertical="center"/>
    </xf>
    <xf numFmtId="0" fontId="6" fillId="0" borderId="69" xfId="0" applyFont="1" applyFill="1" applyBorder="1" applyAlignment="1">
      <alignment horizontal="center" vertical="center"/>
    </xf>
    <xf numFmtId="38" fontId="6" fillId="0" borderId="70" xfId="0" applyNumberFormat="1" applyFont="1" applyFill="1" applyBorder="1" applyAlignment="1">
      <alignment vertical="center" shrinkToFit="1"/>
    </xf>
    <xf numFmtId="38" fontId="6" fillId="0" borderId="71" xfId="0" applyNumberFormat="1" applyFont="1" applyFill="1" applyBorder="1" applyAlignment="1">
      <alignment vertical="center" shrinkToFit="1"/>
    </xf>
  </cellXfs>
  <cellStyles count="28">
    <cellStyle name="Comma" xfId="1" builtinId="3"/>
    <cellStyle name="Comma 2" xfId="2"/>
    <cellStyle name="Comma 2 2" xfId="10"/>
    <cellStyle name="Comma 2 3" xfId="21"/>
    <cellStyle name="Comma 3" xfId="9"/>
    <cellStyle name="Comma 3 2" xfId="14"/>
    <cellStyle name="Comma 4" xfId="12"/>
    <cellStyle name="Comma 5" xfId="20"/>
    <cellStyle name="Comma 6" xfId="26"/>
    <cellStyle name="Comma 8" xfId="19"/>
    <cellStyle name="Currency 2" xfId="22"/>
    <cellStyle name="Hyperlink" xfId="17" builtinId="8"/>
    <cellStyle name="Normal" xfId="0" builtinId="0"/>
    <cellStyle name="Normal 2" xfId="8"/>
    <cellStyle name="Normal 2 2" xfId="23"/>
    <cellStyle name="Normal 3" xfId="11"/>
    <cellStyle name="Normal 4" xfId="24"/>
    <cellStyle name="Normal 5" xfId="25"/>
    <cellStyle name="Normal_050723 Bieu mau che do chinh sach moi BSMT (tinh Yen Bai)" xfId="13"/>
    <cellStyle name="Normal_8. Mau bieu tong hop cac chinh sach an sinh xa hoi" xfId="7"/>
    <cellStyle name="Normal_Bieu so 2(DPsua)" xfId="3"/>
    <cellStyle name="Normal_Bieu so 2(DPsua) 2 2" xfId="15"/>
    <cellStyle name="Normal_DU TOAN  NSNN" xfId="4"/>
    <cellStyle name="Normal_DU TOAN NGAN SACH DIA PHUONG" xfId="5"/>
    <cellStyle name="Normal_In brief" xfId="6"/>
    <cellStyle name="Normal_Sheet1" xfId="18"/>
    <cellStyle name="Percent" xfId="16" builtinId="5"/>
    <cellStyle name="Percent 2" xfId="27"/>
  </cellStyles>
  <dxfs count="4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18</xdr:row>
      <xdr:rowOff>209550</xdr:rowOff>
    </xdr:from>
    <xdr:to>
      <xdr:col>5</xdr:col>
      <xdr:colOff>76200</xdr:colOff>
      <xdr:row>19</xdr:row>
      <xdr:rowOff>121584</xdr:rowOff>
    </xdr:to>
    <xdr:sp macro="" textlink="">
      <xdr:nvSpPr>
        <xdr:cNvPr id="55165"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18</xdr:row>
      <xdr:rowOff>209550</xdr:rowOff>
    </xdr:from>
    <xdr:to>
      <xdr:col>5</xdr:col>
      <xdr:colOff>76200</xdr:colOff>
      <xdr:row>19</xdr:row>
      <xdr:rowOff>121584</xdr:rowOff>
    </xdr:to>
    <xdr:sp macro="" textlink="">
      <xdr:nvSpPr>
        <xdr:cNvPr id="2"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4"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5"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7"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76200</xdr:colOff>
      <xdr:row>3</xdr:row>
      <xdr:rowOff>28575</xdr:rowOff>
    </xdr:to>
    <xdr:sp macro="" textlink="">
      <xdr:nvSpPr>
        <xdr:cNvPr id="77299" name="Text Box 1"/>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0" name="Text Box 19"/>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1" name="Text Box 27"/>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2" name="Text Box 5"/>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6"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7"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8"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38099</xdr:rowOff>
    </xdr:to>
    <xdr:sp macro="" textlink="">
      <xdr:nvSpPr>
        <xdr:cNvPr id="9" name="Text Box 5"/>
        <xdr:cNvSpPr txBox="1">
          <a:spLocks noChangeArrowheads="1"/>
        </xdr:cNvSpPr>
      </xdr:nvSpPr>
      <xdr:spPr bwMode="auto">
        <a:xfrm>
          <a:off x="5191125" y="4953000"/>
          <a:ext cx="76200" cy="2285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0"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1"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2"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3"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4"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5"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6"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7"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8"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0"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1"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2"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3"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4"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5"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6"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7"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8"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9"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0"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1"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2"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3"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4"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5"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6"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7"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8"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9"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am%202018\OneDrive\Nam%202018\Dutoan2019_2021\Btc\Tong%20hop%20Chi%20tieu%20kinh%20te%20xh%20nam%20201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am%202017\Dropbox\Nam%202017\Candoihangquy\UTH%206%20thang%20dau%20nam%20va%20du%20toan%20NSNN%206%20thang%20cuoi%20nam%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am%202019/CandoiNSNN2019/UTH%206%20thang%20dau%20nam%20va%20du%20toan%20NSNN%206%20thang%20cuoi%20nam%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am%202019/DutoanNSNN2020/Copy%20of%20Uth%20thu-chi%202018-%20dt%20thu-chi%202019%20-%203%20nam%202019-2021%20sau%20ngay%2022-1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gay%2005-01%20Phu%20luc%20cong%20khai%20NSNN%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so 1"/>
      <sheetName val="Tong hop (2)"/>
      <sheetName val="Tong hop"/>
      <sheetName val="Cuc TK 1"/>
      <sheetName val="Cuc TK 2"/>
      <sheetName val="Cuc thue"/>
      <sheetName val="So VHTTDL"/>
      <sheetName val="So KH&amp;DT"/>
      <sheetName val="Sở TN&amp;MT"/>
      <sheetName val="So XD"/>
      <sheetName val="So NV"/>
      <sheetName val="GD DT"/>
      <sheetName val="So YT"/>
      <sheetName val="Sở NN"/>
      <sheetName val="so lieu GTVT"/>
      <sheetName val="GTVT"/>
      <sheetName val="So LĐ"/>
      <sheetName val="UBND huyen"/>
    </sheetNames>
    <sheetDataSet>
      <sheetData sheetId="0"/>
      <sheetData sheetId="1"/>
      <sheetData sheetId="2">
        <row r="109">
          <cell r="K109">
            <v>4.6100000000000003</v>
          </cell>
        </row>
        <row r="220">
          <cell r="K220">
            <v>173</v>
          </cell>
          <cell r="L220">
            <v>173</v>
          </cell>
        </row>
        <row r="223">
          <cell r="K223">
            <v>4977</v>
          </cell>
          <cell r="L223">
            <v>5027</v>
          </cell>
        </row>
        <row r="225">
          <cell r="K225">
            <v>2742</v>
          </cell>
          <cell r="L225">
            <v>2770</v>
          </cell>
        </row>
        <row r="226">
          <cell r="K226">
            <v>1313</v>
          </cell>
          <cell r="L226">
            <v>1122</v>
          </cell>
        </row>
        <row r="227">
          <cell r="K227">
            <v>200</v>
          </cell>
          <cell r="L227">
            <v>200</v>
          </cell>
        </row>
        <row r="228">
          <cell r="K228">
            <v>913</v>
          </cell>
          <cell r="L228">
            <v>913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
    </sheetNames>
    <sheetDataSet>
      <sheetData sheetId="0">
        <row r="59">
          <cell r="H59">
            <v>2503126</v>
          </cell>
        </row>
        <row r="61">
          <cell r="H61">
            <v>80319</v>
          </cell>
        </row>
        <row r="62">
          <cell r="H62">
            <v>86900</v>
          </cell>
        </row>
        <row r="63">
          <cell r="H63">
            <v>4427</v>
          </cell>
        </row>
        <row r="64">
          <cell r="H64">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ân đối chung"/>
      <sheetName val="Chi NSĐP"/>
      <sheetName val="Cân đối chung-không kể BSNSH"/>
    </sheetNames>
    <sheetDataSet>
      <sheetData sheetId="0">
        <row r="63">
          <cell r="G63">
            <v>0</v>
          </cell>
          <cell r="S63">
            <v>0</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TXH 2018-2020"/>
      <sheetName val="Thu NSNN 2018-2021"/>
      <sheetName val="Chi NSĐP 2018-2021"/>
      <sheetName val="CĐ NSĐP 2019-2021"/>
      <sheetName val="Bố trí"/>
      <sheetName val="Can doi 2018-2019"/>
      <sheetName val="Phụ lục số 1"/>
      <sheetName val="Phụ lục số 2"/>
      <sheetName val="Phụ lục số 3-thu bs"/>
      <sheetName val="Phụ lục số 8"/>
      <sheetName val="Phụ lục số 3"/>
      <sheetName val="Phụ lục số 4"/>
      <sheetName val="Phụ lục số 5"/>
      <sheetName val="Phụ lục số 6"/>
      <sheetName val="Phụ lục số 7"/>
      <sheetName val="DP&amp;DT"/>
      <sheetName val="XSKT"/>
      <sheetName val="KH vay và trả nợ"/>
      <sheetName val="10%TK tăng thêm so với năm 2018"/>
      <sheetName val="Thu NSH"/>
      <sheetName val="Chi NSH"/>
      <sheetName val="Nhu cầu TLCS năm 2019"/>
      <sheetName val="Chính sách chế độ 2017-2019"/>
      <sheetName val="TLTT nam 2018- 2019"/>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sheetData sheetId="1"/>
      <sheetData sheetId="2"/>
      <sheetData sheetId="3"/>
      <sheetData sheetId="4"/>
      <sheetData sheetId="5"/>
      <sheetData sheetId="6"/>
      <sheetData sheetId="7"/>
      <sheetData sheetId="8"/>
      <sheetData sheetId="9">
        <row r="6">
          <cell r="I6">
            <v>16453610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3"/>
      <sheetName val="Phụ lục số 4"/>
      <sheetName val="Phụ lục số 5"/>
      <sheetName val="Phụ lục số 6"/>
      <sheetName val="Phụ lục số 7"/>
      <sheetName val="Phụ lục số 8"/>
      <sheetName val="Phụ lục số 3-thu bs"/>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2">
          <cell r="A2" t="str">
            <v>(Kèm theo Quyết định số    22/QĐ-UBND-HC ngày  10 tháng 01 năm 2022    của UBND tỉnh Đồng Tháp)</v>
          </cell>
        </row>
        <row r="9">
          <cell r="K9">
            <v>9300</v>
          </cell>
          <cell r="L9">
            <v>9500</v>
          </cell>
        </row>
        <row r="10">
          <cell r="K10">
            <v>5800</v>
          </cell>
          <cell r="L10">
            <v>7500</v>
          </cell>
        </row>
        <row r="11">
          <cell r="K11">
            <v>16100</v>
          </cell>
          <cell r="L11">
            <v>18000</v>
          </cell>
        </row>
        <row r="12">
          <cell r="K12">
            <v>18900</v>
          </cell>
          <cell r="L12">
            <v>27000</v>
          </cell>
        </row>
        <row r="13">
          <cell r="K13">
            <v>13200</v>
          </cell>
          <cell r="L13">
            <v>19098</v>
          </cell>
        </row>
        <row r="14">
          <cell r="K14">
            <v>5000</v>
          </cell>
          <cell r="L14">
            <v>3000</v>
          </cell>
        </row>
        <row r="15">
          <cell r="K15">
            <v>21400</v>
          </cell>
          <cell r="L15">
            <v>26000</v>
          </cell>
        </row>
        <row r="16">
          <cell r="K16">
            <v>28600</v>
          </cell>
          <cell r="L16">
            <v>33000</v>
          </cell>
        </row>
        <row r="17">
          <cell r="K17">
            <v>8900</v>
          </cell>
          <cell r="L17">
            <v>7000</v>
          </cell>
        </row>
        <row r="18">
          <cell r="K18">
            <v>11300</v>
          </cell>
          <cell r="L18">
            <v>7000</v>
          </cell>
        </row>
        <row r="19">
          <cell r="K19">
            <v>3000</v>
          </cell>
          <cell r="L19">
            <v>1500</v>
          </cell>
        </row>
        <row r="20">
          <cell r="K20">
            <v>7200</v>
          </cell>
          <cell r="L20">
            <v>10500</v>
          </cell>
        </row>
      </sheetData>
      <sheetData sheetId="81"/>
      <sheetData sheetId="82"/>
      <sheetData sheetId="8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6.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file:///C:\Users\quangbx\AppData\Roaming\Microsoft\Stc\QLDN\L&#7853;p%20d&#7921;%20to&#225;n%202020.xls" TargetMode="External"/><Relationship Id="rId1" Type="http://schemas.openxmlformats.org/officeDocument/2006/relationships/printerSettings" Target="../printerSettings/printerSettings37.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54.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6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70.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1.bin"/><Relationship Id="rId1" Type="http://schemas.openxmlformats.org/officeDocument/2006/relationships/hyperlink" Target="file:///C:\Users\quangbx\AppData\Roaming\Microsoft\Stc\QLDN\L&#7853;p%20d&#7921;%20to&#225;n%202020.xls" TargetMode="External"/><Relationship Id="rId5" Type="http://schemas.openxmlformats.org/officeDocument/2006/relationships/comments" Target="../comments25.xml"/><Relationship Id="rId4"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comments" Target="../comments26.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4" Type="http://schemas.openxmlformats.org/officeDocument/2006/relationships/comments" Target="../comments2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4"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comments" Target="../comments29.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hyperlink" Target="file:///C:\Users\quangbx\AppData\Roaming\Microsoft\Stc\QLDN\L&#7853;p%20d&#7921;%20to&#225;n%202020.xls" TargetMode="External"/><Relationship Id="rId1" Type="http://schemas.openxmlformats.org/officeDocument/2006/relationships/printerSettings" Target="../printerSettings/printerSettings90.bin"/><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4" Type="http://schemas.openxmlformats.org/officeDocument/2006/relationships/comments" Target="../comments31.xm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4" Type="http://schemas.openxmlformats.org/officeDocument/2006/relationships/comments" Target="../comments32.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4" Type="http://schemas.openxmlformats.org/officeDocument/2006/relationships/comments" Target="../comments3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104.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file:///C:\Users\quangbx\AppData\Nam%202019\quangbx\AppData\Roaming\Tc_NS_2021-2025\Sldtbxh\BC197%20%20So%20_%20Bo%20KQ%20dieu%20tra%202019.signed.pdf" TargetMode="External"/><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194"/>
  <sheetViews>
    <sheetView topLeftCell="A3" zoomScaleNormal="100" workbookViewId="0">
      <pane xSplit="8" ySplit="7" topLeftCell="L10"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1033" customWidth="1"/>
    <col min="2" max="2" width="30.875" style="210" customWidth="1"/>
    <col min="3" max="11" width="8.625" style="210" hidden="1" customWidth="1"/>
    <col min="12" max="12" width="8.625" style="210" customWidth="1"/>
    <col min="13" max="14" width="8.625" style="210" hidden="1" customWidth="1"/>
    <col min="15" max="15" width="7.625" style="210" hidden="1" customWidth="1"/>
    <col min="16" max="17" width="7.375" style="210" customWidth="1"/>
    <col min="18" max="18" width="7.75" style="210" customWidth="1"/>
    <col min="19" max="19" width="8" style="210" customWidth="1"/>
    <col min="20" max="20" width="7.625" style="210" customWidth="1"/>
    <col min="21" max="21" width="6.875" style="210" customWidth="1"/>
    <col min="22" max="22" width="7.75" style="210" customWidth="1"/>
    <col min="23" max="23" width="8" style="210" customWidth="1"/>
    <col min="24" max="24" width="7.625" style="210" customWidth="1"/>
    <col min="25" max="25" width="7.25" style="210" customWidth="1"/>
    <col min="26" max="26" width="8.625" style="210" customWidth="1"/>
    <col min="27" max="27" width="6.875" style="210" customWidth="1"/>
    <col min="28" max="28" width="7" style="210" customWidth="1"/>
    <col min="29" max="29" width="7.5" style="210" customWidth="1"/>
    <col min="30" max="30" width="8" style="210" customWidth="1"/>
    <col min="31" max="32" width="8.625" style="210" customWidth="1"/>
    <col min="33" max="33" width="7.625" style="210" customWidth="1"/>
    <col min="34" max="34" width="6.375" style="210" customWidth="1"/>
    <col min="35" max="35" width="8.5" style="210" customWidth="1"/>
    <col min="36" max="16384" width="9" style="210"/>
  </cols>
  <sheetData>
    <row r="1" spans="1:99" s="1" customFormat="1" ht="47.25" customHeight="1" x14ac:dyDescent="0.25">
      <c r="A1" s="1362" t="s">
        <v>1054</v>
      </c>
      <c r="B1" s="1362"/>
      <c r="C1" s="1362"/>
      <c r="D1" s="1362"/>
      <c r="E1" s="1362"/>
      <c r="F1" s="1362"/>
      <c r="G1" s="1362"/>
      <c r="H1" s="1362"/>
      <c r="I1" s="1362"/>
      <c r="J1" s="1362"/>
      <c r="K1" s="1362"/>
      <c r="L1" s="1362"/>
      <c r="M1" s="1362"/>
      <c r="N1" s="1362"/>
      <c r="O1" s="1362"/>
      <c r="P1" s="1362"/>
      <c r="Q1" s="1362"/>
      <c r="R1" s="1362"/>
      <c r="S1" s="1362"/>
      <c r="T1" s="1362"/>
      <c r="U1" s="1362"/>
      <c r="V1" s="1362"/>
      <c r="W1" s="1362"/>
      <c r="X1" s="1362"/>
      <c r="Y1" s="1362"/>
      <c r="Z1" s="1362"/>
      <c r="AA1" s="1362"/>
      <c r="AB1" s="1362"/>
      <c r="AC1" s="1362"/>
      <c r="AD1" s="1362"/>
      <c r="AE1" s="1362"/>
      <c r="AF1" s="1362"/>
      <c r="AG1" s="1362"/>
      <c r="AH1" s="1362"/>
      <c r="AI1" s="1263"/>
      <c r="AQ1" s="1263"/>
      <c r="AY1" s="1263"/>
      <c r="BG1" s="1263"/>
      <c r="BO1" s="1263"/>
      <c r="BW1" s="1263"/>
      <c r="CE1" s="1263"/>
      <c r="CM1" s="1263"/>
      <c r="CU1" s="1263"/>
    </row>
    <row r="2" spans="1:99" x14ac:dyDescent="0.25">
      <c r="B2" s="243"/>
      <c r="C2" s="463"/>
      <c r="D2" s="463"/>
      <c r="E2" s="463"/>
      <c r="F2" s="463"/>
      <c r="G2" s="463"/>
      <c r="H2" s="463"/>
      <c r="I2" s="463"/>
      <c r="J2" s="463"/>
      <c r="K2" s="463"/>
      <c r="L2" s="463"/>
      <c r="M2" s="463"/>
      <c r="N2" s="463"/>
      <c r="O2" s="463"/>
      <c r="P2" s="463"/>
      <c r="Q2" s="463"/>
      <c r="R2" s="463"/>
      <c r="S2" s="463"/>
      <c r="T2" s="463"/>
      <c r="U2" s="463"/>
      <c r="X2" s="31"/>
      <c r="Y2" s="31"/>
      <c r="Z2" s="31"/>
      <c r="AA2" s="31"/>
    </row>
    <row r="3" spans="1:99" s="7" customFormat="1" ht="15.75" customHeight="1" x14ac:dyDescent="0.25">
      <c r="A3" s="1361" t="s">
        <v>400</v>
      </c>
      <c r="B3" s="1361" t="s">
        <v>401</v>
      </c>
      <c r="C3" s="1358" t="s">
        <v>1193</v>
      </c>
      <c r="D3" s="1358" t="s">
        <v>1194</v>
      </c>
      <c r="E3" s="1358" t="s">
        <v>1195</v>
      </c>
      <c r="F3" s="1358" t="s">
        <v>1196</v>
      </c>
      <c r="G3" s="1358" t="s">
        <v>1177</v>
      </c>
      <c r="H3" s="1358" t="s">
        <v>1041</v>
      </c>
      <c r="I3" s="1358" t="s">
        <v>1042</v>
      </c>
      <c r="J3" s="1358" t="s">
        <v>1043</v>
      </c>
      <c r="K3" s="1358" t="s">
        <v>1044</v>
      </c>
      <c r="L3" s="1358" t="s">
        <v>1031</v>
      </c>
      <c r="M3" s="1361" t="s">
        <v>1049</v>
      </c>
      <c r="N3" s="1358" t="s">
        <v>1055</v>
      </c>
      <c r="O3" s="1358" t="s">
        <v>429</v>
      </c>
      <c r="P3" s="1358" t="s">
        <v>1032</v>
      </c>
      <c r="Q3" s="1358" t="s">
        <v>1033</v>
      </c>
      <c r="R3" s="1358" t="s">
        <v>947</v>
      </c>
      <c r="S3" s="1358" t="s">
        <v>1424</v>
      </c>
      <c r="T3" s="1361" t="s">
        <v>1431</v>
      </c>
      <c r="U3" s="1358" t="s">
        <v>1432</v>
      </c>
      <c r="V3" s="1358" t="s">
        <v>1425</v>
      </c>
      <c r="W3" s="1361" t="s">
        <v>1035</v>
      </c>
      <c r="X3" s="1358" t="s">
        <v>1056</v>
      </c>
      <c r="Y3" s="1358" t="s">
        <v>429</v>
      </c>
      <c r="Z3" s="1358" t="s">
        <v>1079</v>
      </c>
      <c r="AA3" s="1361" t="s">
        <v>1023</v>
      </c>
      <c r="AB3" s="1361" t="s">
        <v>950</v>
      </c>
      <c r="AC3" s="1361" t="s">
        <v>972</v>
      </c>
      <c r="AD3" s="1361" t="s">
        <v>971</v>
      </c>
      <c r="AE3" s="1361" t="s">
        <v>970</v>
      </c>
      <c r="AF3" s="1361" t="s">
        <v>1036</v>
      </c>
      <c r="AG3" s="1358" t="s">
        <v>1057</v>
      </c>
      <c r="AH3" s="1358" t="s">
        <v>429</v>
      </c>
      <c r="AI3" s="1358" t="s">
        <v>1072</v>
      </c>
    </row>
    <row r="4" spans="1:99" s="7" customFormat="1" x14ac:dyDescent="0.25">
      <c r="A4" s="1363"/>
      <c r="B4" s="1363"/>
      <c r="C4" s="1359"/>
      <c r="D4" s="1359"/>
      <c r="E4" s="1359"/>
      <c r="F4" s="1359"/>
      <c r="G4" s="1359"/>
      <c r="H4" s="1359"/>
      <c r="I4" s="1359"/>
      <c r="J4" s="1359"/>
      <c r="K4" s="1359"/>
      <c r="L4" s="1359"/>
      <c r="M4" s="1361"/>
      <c r="N4" s="1359"/>
      <c r="O4" s="1359"/>
      <c r="P4" s="1359"/>
      <c r="Q4" s="1359"/>
      <c r="R4" s="1359"/>
      <c r="S4" s="1359"/>
      <c r="T4" s="1361"/>
      <c r="U4" s="1359"/>
      <c r="V4" s="1359"/>
      <c r="W4" s="1361"/>
      <c r="X4" s="1359"/>
      <c r="Y4" s="1359"/>
      <c r="Z4" s="1359"/>
      <c r="AA4" s="1361"/>
      <c r="AB4" s="1361"/>
      <c r="AC4" s="1361"/>
      <c r="AD4" s="1361"/>
      <c r="AE4" s="1361"/>
      <c r="AF4" s="1361"/>
      <c r="AG4" s="1359"/>
      <c r="AH4" s="1359"/>
      <c r="AI4" s="1359"/>
    </row>
    <row r="5" spans="1:99" s="7" customFormat="1" ht="135" customHeight="1" x14ac:dyDescent="0.25">
      <c r="A5" s="1363"/>
      <c r="B5" s="1363"/>
      <c r="C5" s="1360"/>
      <c r="D5" s="1360"/>
      <c r="E5" s="1360"/>
      <c r="F5" s="1360"/>
      <c r="G5" s="1360"/>
      <c r="H5" s="1360"/>
      <c r="I5" s="1360"/>
      <c r="J5" s="1360"/>
      <c r="K5" s="1360"/>
      <c r="L5" s="1360"/>
      <c r="M5" s="1361"/>
      <c r="N5" s="1360"/>
      <c r="O5" s="1360"/>
      <c r="P5" s="1360"/>
      <c r="Q5" s="1360"/>
      <c r="R5" s="1360"/>
      <c r="S5" s="1360"/>
      <c r="T5" s="1361"/>
      <c r="U5" s="1360"/>
      <c r="V5" s="1360"/>
      <c r="W5" s="1361"/>
      <c r="X5" s="1360"/>
      <c r="Y5" s="1360"/>
      <c r="Z5" s="1360"/>
      <c r="AA5" s="1361"/>
      <c r="AB5" s="1361"/>
      <c r="AC5" s="1361"/>
      <c r="AD5" s="1361"/>
      <c r="AE5" s="1361"/>
      <c r="AF5" s="1361"/>
      <c r="AG5" s="1360"/>
      <c r="AH5" s="1360"/>
      <c r="AI5" s="1360"/>
    </row>
    <row r="6" spans="1:99" s="465" customFormat="1" hidden="1" x14ac:dyDescent="0.25">
      <c r="A6" s="464">
        <v>1</v>
      </c>
      <c r="B6" s="464">
        <v>2</v>
      </c>
      <c r="C6" s="464"/>
      <c r="D6" s="464"/>
      <c r="E6" s="464"/>
      <c r="F6" s="464"/>
      <c r="G6" s="464"/>
      <c r="H6" s="464"/>
      <c r="I6" s="464"/>
      <c r="J6" s="464"/>
      <c r="K6" s="464"/>
      <c r="L6" s="464"/>
      <c r="M6" s="464"/>
      <c r="N6" s="464"/>
      <c r="O6" s="464"/>
      <c r="P6" s="464"/>
      <c r="Q6" s="464"/>
      <c r="R6" s="464"/>
      <c r="S6" s="464"/>
      <c r="T6" s="464"/>
      <c r="U6" s="464"/>
      <c r="V6" s="464"/>
      <c r="W6" s="464"/>
      <c r="X6" s="464"/>
      <c r="Y6" s="464"/>
      <c r="Z6" s="464"/>
      <c r="AA6" s="464"/>
      <c r="AB6" s="464"/>
      <c r="AC6" s="464"/>
      <c r="AD6" s="464"/>
      <c r="AE6" s="464"/>
      <c r="AF6" s="464"/>
      <c r="AG6" s="464"/>
      <c r="AH6" s="464"/>
      <c r="AI6" s="464"/>
    </row>
    <row r="7" spans="1:99" s="18" customFormat="1" x14ac:dyDescent="0.25">
      <c r="A7" s="1044" t="s">
        <v>407</v>
      </c>
      <c r="B7" s="1081" t="s">
        <v>408</v>
      </c>
      <c r="C7" s="212">
        <f t="shared" ref="C7:L7" si="0">SUM(C8,C28)</f>
        <v>1553480</v>
      </c>
      <c r="D7" s="212">
        <f t="shared" si="0"/>
        <v>2543746.399896</v>
      </c>
      <c r="E7" s="212">
        <f t="shared" si="0"/>
        <v>2504230</v>
      </c>
      <c r="F7" s="212">
        <f t="shared" si="0"/>
        <v>2936820</v>
      </c>
      <c r="G7" s="212">
        <f t="shared" si="0"/>
        <v>3970508.1362620005</v>
      </c>
      <c r="H7" s="212">
        <f t="shared" si="0"/>
        <v>4156306.1199669996</v>
      </c>
      <c r="I7" s="212">
        <f t="shared" si="0"/>
        <v>4518654.2436259994</v>
      </c>
      <c r="J7" s="212">
        <f t="shared" si="0"/>
        <v>4583182.5757370004</v>
      </c>
      <c r="K7" s="212">
        <f t="shared" si="0"/>
        <v>4112417.5781439999</v>
      </c>
      <c r="L7" s="212">
        <f t="shared" si="0"/>
        <v>5174957</v>
      </c>
      <c r="M7" s="212">
        <f>SUM(H7:L7)</f>
        <v>22545517.517473999</v>
      </c>
      <c r="N7" s="984"/>
      <c r="O7" s="984">
        <f>M7/$M$7</f>
        <v>1</v>
      </c>
      <c r="P7" s="212">
        <f>SUM(P8,P28)</f>
        <v>6334779</v>
      </c>
      <c r="Q7" s="212">
        <f>SUM(Q8,Q28)</f>
        <v>6851996</v>
      </c>
      <c r="R7" s="212">
        <f>SUM(R8,R28)</f>
        <v>6983868</v>
      </c>
      <c r="S7" s="212">
        <f>SUM(S8,S28)</f>
        <v>8771013</v>
      </c>
      <c r="T7" s="212">
        <f>SUM(P7:S7)</f>
        <v>28941656</v>
      </c>
      <c r="U7" s="212"/>
      <c r="V7" s="212">
        <f>SUM(V8,V28)</f>
        <v>8050000</v>
      </c>
      <c r="W7" s="212">
        <f>SUM(T7,V7)</f>
        <v>36991656</v>
      </c>
      <c r="X7" s="212"/>
      <c r="Y7" s="984">
        <f>W7/$W$7</f>
        <v>1</v>
      </c>
      <c r="Z7" s="984">
        <f>W7/M7-1</f>
        <v>0.64075435267030167</v>
      </c>
      <c r="AA7" s="212">
        <f>SUM(AA8,AA28)</f>
        <v>8140900</v>
      </c>
      <c r="AB7" s="212">
        <f>SUM(AB8,AB28)</f>
        <v>8857000</v>
      </c>
      <c r="AC7" s="212">
        <f>SUM(AC8,AC28)</f>
        <v>9551000</v>
      </c>
      <c r="AD7" s="212">
        <f>SUM(AD8,AD28)</f>
        <v>10261000</v>
      </c>
      <c r="AE7" s="212">
        <f>SUM(AE8,AE28)</f>
        <v>11050000</v>
      </c>
      <c r="AF7" s="212">
        <f>SUM(AA7:AE7)</f>
        <v>47859900</v>
      </c>
      <c r="AG7" s="984"/>
      <c r="AH7" s="984">
        <f>AF7/$AF$7</f>
        <v>1</v>
      </c>
      <c r="AI7" s="984">
        <f>AF7/W7-1</f>
        <v>0.29380258077659449</v>
      </c>
    </row>
    <row r="8" spans="1:99" s="18" customFormat="1" x14ac:dyDescent="0.25">
      <c r="A8" s="1082" t="s">
        <v>409</v>
      </c>
      <c r="B8" s="1083" t="s">
        <v>410</v>
      </c>
      <c r="C8" s="225">
        <f t="shared" ref="C8:K8" si="1">SUM(C10,C11,C12,C13,C14:C27)</f>
        <v>1322540</v>
      </c>
      <c r="D8" s="225">
        <f t="shared" si="1"/>
        <v>2238026.399896</v>
      </c>
      <c r="E8" s="225">
        <f t="shared" si="1"/>
        <v>2175030</v>
      </c>
      <c r="F8" s="225">
        <f t="shared" si="1"/>
        <v>2627990</v>
      </c>
      <c r="G8" s="225">
        <f t="shared" si="1"/>
        <v>3663943.1287150006</v>
      </c>
      <c r="H8" s="225">
        <f t="shared" si="1"/>
        <v>3798739.5013269996</v>
      </c>
      <c r="I8" s="225">
        <f t="shared" si="1"/>
        <v>4099702.3977709995</v>
      </c>
      <c r="J8" s="225">
        <f t="shared" si="1"/>
        <v>4126341.428791</v>
      </c>
      <c r="K8" s="225">
        <f t="shared" si="1"/>
        <v>3972338.7808679999</v>
      </c>
      <c r="L8" s="225">
        <f t="shared" ref="L8:V8" si="2">SUM(L10,L11,L12,L13,L14:L27)</f>
        <v>4931116</v>
      </c>
      <c r="M8" s="225">
        <f t="shared" ref="M8:M28" si="3">SUM(H8:L8)</f>
        <v>20928238.108756997</v>
      </c>
      <c r="N8" s="985"/>
      <c r="O8" s="985">
        <f t="shared" ref="O8:O28" si="4">M8/$M$7</f>
        <v>0.92826603303900546</v>
      </c>
      <c r="P8" s="225">
        <f t="shared" si="2"/>
        <v>6237814</v>
      </c>
      <c r="Q8" s="225">
        <f t="shared" si="2"/>
        <v>6744580</v>
      </c>
      <c r="R8" s="225">
        <f t="shared" si="2"/>
        <v>6909606</v>
      </c>
      <c r="S8" s="225">
        <f>SUM(S10,S11,S12,S13,S14:S27)</f>
        <v>8644723</v>
      </c>
      <c r="T8" s="225">
        <f t="shared" ref="T8:T64" si="5">SUM(P8:S8)</f>
        <v>28536723</v>
      </c>
      <c r="U8" s="225"/>
      <c r="V8" s="225">
        <f t="shared" si="2"/>
        <v>7964000</v>
      </c>
      <c r="W8" s="225">
        <f t="shared" ref="W8:W64" si="6">SUM(T8,V8)</f>
        <v>36500723</v>
      </c>
      <c r="X8" s="225"/>
      <c r="Y8" s="985">
        <f t="shared" ref="Y8:Y63" si="7">W8/$W$7</f>
        <v>0.98672854764869133</v>
      </c>
      <c r="Z8" s="985">
        <f t="shared" ref="Z8:Z31" si="8">W8/M8-1</f>
        <v>0.74408962714959803</v>
      </c>
      <c r="AA8" s="225">
        <f>SUM(AA10,AA11,AA12,AA13,AA14:AA27)</f>
        <v>8035900</v>
      </c>
      <c r="AB8" s="225">
        <f>SUM(AB10,AB11,AB12,AB13,AB14:AB27)</f>
        <v>8740000</v>
      </c>
      <c r="AC8" s="225">
        <f>SUM(AC10,AC11,AC12,AC13,AC14:AC27)</f>
        <v>9422000</v>
      </c>
      <c r="AD8" s="225">
        <f>SUM(AD10,AD11,AD12,AD13,AD14:AD27)</f>
        <v>10120000</v>
      </c>
      <c r="AE8" s="225">
        <f>SUM(AE10,AE11,AE12,AE13,AE14:AE27)</f>
        <v>10897000</v>
      </c>
      <c r="AF8" s="225">
        <f t="shared" ref="AF8:AF71" si="9">SUM(AA8:AE8)</f>
        <v>47214900</v>
      </c>
      <c r="AG8" s="985"/>
      <c r="AH8" s="985">
        <f t="shared" ref="AH8:AH14" si="10">AF8/$AF$7</f>
        <v>0.98652316448634447</v>
      </c>
      <c r="AI8" s="985">
        <f t="shared" ref="AI8:AI28" si="11">AF8/W8-1</f>
        <v>0.29353328151883451</v>
      </c>
    </row>
    <row r="9" spans="1:99" s="9" customFormat="1" ht="31.5" x14ac:dyDescent="0.25">
      <c r="A9" s="1084"/>
      <c r="B9" s="823" t="s">
        <v>979</v>
      </c>
      <c r="C9" s="222">
        <f>C8-C20-C27</f>
        <v>781630</v>
      </c>
      <c r="D9" s="222">
        <f>D8-D20-D27</f>
        <v>1012420</v>
      </c>
      <c r="E9" s="222">
        <f>E8-E20-E27</f>
        <v>1278230</v>
      </c>
      <c r="F9" s="222">
        <f>F8-F20-F27</f>
        <v>1827240</v>
      </c>
      <c r="G9" s="222">
        <f t="shared" ref="G9:L9" si="12">G8-G20-G27</f>
        <v>2445921.4765880005</v>
      </c>
      <c r="H9" s="222">
        <f t="shared" si="12"/>
        <v>2716706.9705919996</v>
      </c>
      <c r="I9" s="222">
        <f t="shared" si="12"/>
        <v>2881335.0339119998</v>
      </c>
      <c r="J9" s="222">
        <f t="shared" si="12"/>
        <v>2871723.7974100001</v>
      </c>
      <c r="K9" s="222">
        <f t="shared" si="12"/>
        <v>2637997.8620639998</v>
      </c>
      <c r="L9" s="222">
        <f t="shared" si="12"/>
        <v>3357995</v>
      </c>
      <c r="M9" s="222">
        <f t="shared" si="3"/>
        <v>14465758.663977999</v>
      </c>
      <c r="N9" s="822"/>
      <c r="O9" s="822">
        <f t="shared" si="4"/>
        <v>0.64162460022335932</v>
      </c>
      <c r="P9" s="222">
        <f t="shared" ref="P9:V9" si="13">P8-P20-P27</f>
        <v>4473231</v>
      </c>
      <c r="Q9" s="222">
        <f t="shared" si="13"/>
        <v>4627083</v>
      </c>
      <c r="R9" s="222">
        <f t="shared" si="13"/>
        <v>4694910</v>
      </c>
      <c r="S9" s="222">
        <f>S8-S20-S27</f>
        <v>6156473</v>
      </c>
      <c r="T9" s="222">
        <f t="shared" si="5"/>
        <v>19951697</v>
      </c>
      <c r="U9" s="222"/>
      <c r="V9" s="222">
        <f t="shared" si="13"/>
        <v>5414000</v>
      </c>
      <c r="W9" s="222">
        <f t="shared" si="6"/>
        <v>25365697</v>
      </c>
      <c r="X9" s="222"/>
      <c r="Y9" s="822">
        <f t="shared" si="7"/>
        <v>0.68571401615542704</v>
      </c>
      <c r="Z9" s="822">
        <f t="shared" si="8"/>
        <v>0.75349925221444147</v>
      </c>
      <c r="AA9" s="222">
        <f>AA8-AA20-AA27</f>
        <v>5785900</v>
      </c>
      <c r="AB9" s="222">
        <f>AB8-AB20-AB27</f>
        <v>6390000</v>
      </c>
      <c r="AC9" s="222">
        <f>AC8-AC20-AC27</f>
        <v>7022000</v>
      </c>
      <c r="AD9" s="222">
        <f>AD8-AD20-AD27</f>
        <v>7720000</v>
      </c>
      <c r="AE9" s="222">
        <f>AE8-AE20-AE27</f>
        <v>8497000</v>
      </c>
      <c r="AF9" s="222">
        <f t="shared" si="9"/>
        <v>35414900</v>
      </c>
      <c r="AG9" s="822"/>
      <c r="AH9" s="822">
        <f t="shared" si="10"/>
        <v>0.73997020470163954</v>
      </c>
      <c r="AI9" s="985">
        <f t="shared" si="11"/>
        <v>0.3961729496335149</v>
      </c>
    </row>
    <row r="10" spans="1:99" s="9" customFormat="1" x14ac:dyDescent="0.25">
      <c r="A10" s="1084">
        <v>1</v>
      </c>
      <c r="B10" s="551" t="s">
        <v>1157</v>
      </c>
      <c r="C10" s="222">
        <v>92540</v>
      </c>
      <c r="D10" s="222">
        <v>116990</v>
      </c>
      <c r="E10" s="222">
        <v>174910</v>
      </c>
      <c r="F10" s="222">
        <v>255100</v>
      </c>
      <c r="G10" s="222">
        <v>363111</v>
      </c>
      <c r="H10" s="222">
        <v>375470.05056100001</v>
      </c>
      <c r="I10" s="222">
        <v>392086.67269099999</v>
      </c>
      <c r="J10" s="222">
        <v>377894.530516</v>
      </c>
      <c r="K10" s="222">
        <v>203043.31661899999</v>
      </c>
      <c r="L10" s="222">
        <v>205240</v>
      </c>
      <c r="M10" s="222">
        <f t="shared" si="3"/>
        <v>1553734.570387</v>
      </c>
      <c r="N10" s="822"/>
      <c r="O10" s="822">
        <f t="shared" si="4"/>
        <v>6.8915453778462671E-2</v>
      </c>
      <c r="P10" s="222">
        <v>203694</v>
      </c>
      <c r="Q10" s="222">
        <v>198943</v>
      </c>
      <c r="R10" s="222">
        <v>203584</v>
      </c>
      <c r="S10" s="222">
        <v>223875</v>
      </c>
      <c r="T10" s="222">
        <f t="shared" si="5"/>
        <v>830096</v>
      </c>
      <c r="U10" s="1005"/>
      <c r="V10" s="222">
        <f>'Phụ lục số 1'!H15</f>
        <v>190000</v>
      </c>
      <c r="W10" s="222">
        <f t="shared" si="6"/>
        <v>1020096</v>
      </c>
      <c r="X10" s="1159">
        <f>+V10/S10%</f>
        <v>84.868788386376323</v>
      </c>
      <c r="Y10" s="822">
        <f t="shared" si="7"/>
        <v>2.7576381008733428E-2</v>
      </c>
      <c r="Z10" s="822">
        <f t="shared" si="8"/>
        <v>-0.34345542704509868</v>
      </c>
      <c r="AA10" s="222">
        <f>'Phụ lục số 1'!N15</f>
        <v>210000</v>
      </c>
      <c r="AB10" s="222">
        <f>'Phụ lục số 1'!T15</f>
        <v>220000</v>
      </c>
      <c r="AC10" s="222">
        <f>'Phụ lục số 1'!Z15</f>
        <v>230000</v>
      </c>
      <c r="AD10" s="222">
        <f>'Phụ lục số 1'!AF15</f>
        <v>240000</v>
      </c>
      <c r="AE10" s="222">
        <f>'Phụ lục số 1'!AL15</f>
        <v>250000</v>
      </c>
      <c r="AF10" s="222">
        <f t="shared" si="9"/>
        <v>1150000</v>
      </c>
      <c r="AG10" s="822"/>
      <c r="AH10" s="822">
        <f t="shared" si="10"/>
        <v>2.4028466419695822E-2</v>
      </c>
      <c r="AI10" s="985">
        <f t="shared" si="11"/>
        <v>0.12734487734487732</v>
      </c>
    </row>
    <row r="11" spans="1:99" s="9" customFormat="1" x14ac:dyDescent="0.25">
      <c r="A11" s="1084">
        <v>2</v>
      </c>
      <c r="B11" s="551" t="s">
        <v>1156</v>
      </c>
      <c r="C11" s="222">
        <v>44800</v>
      </c>
      <c r="D11" s="222">
        <v>101880</v>
      </c>
      <c r="E11" s="222">
        <v>76050</v>
      </c>
      <c r="F11" s="222">
        <v>172870</v>
      </c>
      <c r="G11" s="222">
        <v>148607</v>
      </c>
      <c r="H11" s="222">
        <v>143351.48759800001</v>
      </c>
      <c r="I11" s="222">
        <v>229165.69016900001</v>
      </c>
      <c r="J11" s="222">
        <v>259813.95480400001</v>
      </c>
      <c r="K11" s="222">
        <v>268703.66079599998</v>
      </c>
      <c r="L11" s="222">
        <v>332356</v>
      </c>
      <c r="M11" s="222">
        <f t="shared" si="3"/>
        <v>1233390.7933670001</v>
      </c>
      <c r="N11" s="822"/>
      <c r="O11" s="822">
        <f t="shared" si="4"/>
        <v>5.4706696903766137E-2</v>
      </c>
      <c r="P11" s="222">
        <v>323641</v>
      </c>
      <c r="Q11" s="222">
        <v>384159</v>
      </c>
      <c r="R11" s="222">
        <v>385864</v>
      </c>
      <c r="S11" s="222">
        <v>479648</v>
      </c>
      <c r="T11" s="222">
        <f t="shared" si="5"/>
        <v>1573312</v>
      </c>
      <c r="U11" s="1005"/>
      <c r="V11" s="222">
        <f>'Phụ lục số 1'!H21</f>
        <v>500000</v>
      </c>
      <c r="W11" s="222">
        <f t="shared" si="6"/>
        <v>2073312</v>
      </c>
      <c r="X11" s="1159">
        <f>+V11/S11%</f>
        <v>104.24311161518447</v>
      </c>
      <c r="Y11" s="822">
        <f t="shared" si="7"/>
        <v>5.6048099063204959E-2</v>
      </c>
      <c r="Z11" s="822">
        <f t="shared" si="8"/>
        <v>0.68098546798790505</v>
      </c>
      <c r="AA11" s="222">
        <f>'Phụ lục số 1'!N21</f>
        <v>535000</v>
      </c>
      <c r="AB11" s="222">
        <f>'Phụ lục số 1'!T21</f>
        <v>573000</v>
      </c>
      <c r="AC11" s="222">
        <f>'Phụ lục số 1'!Z21</f>
        <v>620000</v>
      </c>
      <c r="AD11" s="222">
        <f>'Phụ lục số 1'!AF21</f>
        <v>669000</v>
      </c>
      <c r="AE11" s="222">
        <f>'Phụ lục số 1'!AL21</f>
        <v>723000</v>
      </c>
      <c r="AF11" s="222">
        <f t="shared" si="9"/>
        <v>3120000</v>
      </c>
      <c r="AG11" s="822"/>
      <c r="AH11" s="822">
        <f t="shared" si="10"/>
        <v>6.5190274112566046E-2</v>
      </c>
      <c r="AI11" s="985">
        <f t="shared" si="11"/>
        <v>0.50483863499560133</v>
      </c>
    </row>
    <row r="12" spans="1:99" s="9" customFormat="1" x14ac:dyDescent="0.25">
      <c r="A12" s="1084">
        <v>3</v>
      </c>
      <c r="B12" s="551" t="s">
        <v>1155</v>
      </c>
      <c r="C12" s="222">
        <v>580</v>
      </c>
      <c r="D12" s="222">
        <v>630</v>
      </c>
      <c r="E12" s="222">
        <v>2440</v>
      </c>
      <c r="F12" s="222">
        <v>780</v>
      </c>
      <c r="G12" s="222">
        <v>3761</v>
      </c>
      <c r="H12" s="222">
        <v>8028.6076819999998</v>
      </c>
      <c r="I12" s="222">
        <v>7377.2642779999996</v>
      </c>
      <c r="J12" s="222">
        <v>17351.560365000001</v>
      </c>
      <c r="K12" s="222">
        <v>25825.109232999999</v>
      </c>
      <c r="L12" s="222">
        <v>69494</v>
      </c>
      <c r="M12" s="222">
        <f t="shared" si="3"/>
        <v>128076.541558</v>
      </c>
      <c r="N12" s="822"/>
      <c r="O12" s="822">
        <f t="shared" si="4"/>
        <v>5.680798476181961E-3</v>
      </c>
      <c r="P12" s="222">
        <v>61938</v>
      </c>
      <c r="Q12" s="222">
        <v>49785</v>
      </c>
      <c r="R12" s="222">
        <v>35833</v>
      </c>
      <c r="S12" s="222">
        <v>76845</v>
      </c>
      <c r="T12" s="222">
        <f t="shared" si="5"/>
        <v>224401</v>
      </c>
      <c r="U12" s="222"/>
      <c r="V12" s="222">
        <f>'Phụ lục số 1'!H27</f>
        <v>70000</v>
      </c>
      <c r="W12" s="222">
        <f t="shared" si="6"/>
        <v>294401</v>
      </c>
      <c r="X12" s="222">
        <f>+X10-100</f>
        <v>-15.131211613623677</v>
      </c>
      <c r="Y12" s="822">
        <f t="shared" si="7"/>
        <v>7.9585785507953477E-3</v>
      </c>
      <c r="Z12" s="822">
        <f t="shared" si="8"/>
        <v>1.2986332736559669</v>
      </c>
      <c r="AA12" s="222">
        <f>'Phụ lục số 1'!N27</f>
        <v>70000</v>
      </c>
      <c r="AB12" s="222">
        <f>'Phụ lục số 1'!T27</f>
        <v>75000</v>
      </c>
      <c r="AC12" s="222">
        <f>'Phụ lục số 1'!Z27</f>
        <v>80000</v>
      </c>
      <c r="AD12" s="222">
        <f>'Phụ lục số 1'!AF27</f>
        <v>85000</v>
      </c>
      <c r="AE12" s="222">
        <f>'Phụ lục số 1'!AL27</f>
        <v>90000</v>
      </c>
      <c r="AF12" s="222">
        <f t="shared" si="9"/>
        <v>400000</v>
      </c>
      <c r="AG12" s="822"/>
      <c r="AH12" s="822">
        <f t="shared" si="10"/>
        <v>8.3577274503289813E-3</v>
      </c>
      <c r="AI12" s="985">
        <f t="shared" si="11"/>
        <v>0.35869103705490124</v>
      </c>
    </row>
    <row r="13" spans="1:99" s="9" customFormat="1" x14ac:dyDescent="0.25">
      <c r="A13" s="1084">
        <v>4</v>
      </c>
      <c r="B13" s="551" t="s">
        <v>1073</v>
      </c>
      <c r="C13" s="222">
        <v>271920</v>
      </c>
      <c r="D13" s="222">
        <v>369340</v>
      </c>
      <c r="E13" s="222">
        <v>554950</v>
      </c>
      <c r="F13" s="222">
        <v>654560</v>
      </c>
      <c r="G13" s="222">
        <v>873678</v>
      </c>
      <c r="H13" s="222">
        <v>1024104.439563</v>
      </c>
      <c r="I13" s="222">
        <v>1064747.6828060001</v>
      </c>
      <c r="J13" s="222">
        <v>1081721.420525</v>
      </c>
      <c r="K13" s="222">
        <v>744273.199104</v>
      </c>
      <c r="L13" s="222">
        <v>586685</v>
      </c>
      <c r="M13" s="222">
        <f t="shared" si="3"/>
        <v>4501531.7419980001</v>
      </c>
      <c r="N13" s="822"/>
      <c r="O13" s="822">
        <f t="shared" si="4"/>
        <v>0.19966415667810991</v>
      </c>
      <c r="P13" s="222">
        <v>674044</v>
      </c>
      <c r="Q13" s="222">
        <v>895287</v>
      </c>
      <c r="R13" s="222">
        <v>943679</v>
      </c>
      <c r="S13" s="222">
        <v>1430938</v>
      </c>
      <c r="T13" s="222">
        <f t="shared" si="5"/>
        <v>3943948</v>
      </c>
      <c r="U13" s="1005"/>
      <c r="V13" s="222">
        <f>'Phụ lục số 1'!H32</f>
        <v>1210000</v>
      </c>
      <c r="W13" s="222">
        <f t="shared" si="6"/>
        <v>5153948</v>
      </c>
      <c r="X13" s="222">
        <f>+X11-100</f>
        <v>4.2431116151844748</v>
      </c>
      <c r="Y13" s="822">
        <f t="shared" si="7"/>
        <v>0.13932731208356824</v>
      </c>
      <c r="Z13" s="822">
        <f t="shared" si="8"/>
        <v>0.14493205766276018</v>
      </c>
      <c r="AA13" s="222">
        <f>'Phụ lục số 1'!N32</f>
        <v>1315000</v>
      </c>
      <c r="AB13" s="222">
        <f>'Phụ lục số 1'!T32</f>
        <v>1511000</v>
      </c>
      <c r="AC13" s="222">
        <f>'Phụ lục số 1'!Z32</f>
        <v>1737000</v>
      </c>
      <c r="AD13" s="222">
        <f>'Phụ lục số 1'!AF32</f>
        <v>1996000</v>
      </c>
      <c r="AE13" s="222">
        <f>'Phụ lục số 1'!AL32</f>
        <v>2295000</v>
      </c>
      <c r="AF13" s="222">
        <f t="shared" si="9"/>
        <v>8854000</v>
      </c>
      <c r="AG13" s="822"/>
      <c r="AH13" s="822">
        <f t="shared" si="10"/>
        <v>0.18499829711303201</v>
      </c>
      <c r="AI13" s="985">
        <f t="shared" si="11"/>
        <v>0.71790635062674291</v>
      </c>
    </row>
    <row r="14" spans="1:99" s="9" customFormat="1" x14ac:dyDescent="0.25">
      <c r="A14" s="1084">
        <v>5</v>
      </c>
      <c r="B14" s="551" t="s">
        <v>416</v>
      </c>
      <c r="C14" s="222">
        <v>39220</v>
      </c>
      <c r="D14" s="222">
        <v>50330</v>
      </c>
      <c r="E14" s="222">
        <v>56660</v>
      </c>
      <c r="F14" s="222">
        <v>61750</v>
      </c>
      <c r="G14" s="222">
        <v>66384</v>
      </c>
      <c r="H14" s="222">
        <v>83707.295922000005</v>
      </c>
      <c r="I14" s="222">
        <v>85266.235153999995</v>
      </c>
      <c r="J14" s="222">
        <v>86018.719326999999</v>
      </c>
      <c r="K14" s="222">
        <v>102607.365288</v>
      </c>
      <c r="L14" s="222">
        <v>139966</v>
      </c>
      <c r="M14" s="222">
        <f t="shared" si="3"/>
        <v>497565.61569100001</v>
      </c>
      <c r="N14" s="822"/>
      <c r="O14" s="822">
        <f t="shared" si="4"/>
        <v>2.2069380989163796E-2</v>
      </c>
      <c r="P14" s="222">
        <v>184878</v>
      </c>
      <c r="Q14" s="222">
        <v>209558</v>
      </c>
      <c r="R14" s="222">
        <v>247450</v>
      </c>
      <c r="S14" s="222">
        <v>317324</v>
      </c>
      <c r="T14" s="222">
        <f t="shared" si="5"/>
        <v>959210</v>
      </c>
      <c r="U14" s="222"/>
      <c r="V14" s="222">
        <f>'Phụ lục số 1'!H38</f>
        <v>250000</v>
      </c>
      <c r="W14" s="222">
        <f t="shared" si="6"/>
        <v>1209210</v>
      </c>
      <c r="X14" s="222"/>
      <c r="Y14" s="822">
        <f t="shared" si="7"/>
        <v>3.268872310014994E-2</v>
      </c>
      <c r="Z14" s="822">
        <f t="shared" si="8"/>
        <v>1.4302523363088415</v>
      </c>
      <c r="AA14" s="222">
        <f>'Phụ lục số 1'!N38</f>
        <v>280000</v>
      </c>
      <c r="AB14" s="222">
        <f>'Phụ lục số 1'!T38</f>
        <v>322000</v>
      </c>
      <c r="AC14" s="222">
        <f>'Phụ lục số 1'!Z38</f>
        <v>354000</v>
      </c>
      <c r="AD14" s="222">
        <f>'Phụ lục số 1'!AF38</f>
        <v>389000</v>
      </c>
      <c r="AE14" s="222">
        <f>'Phụ lục số 1'!AL38</f>
        <v>428000</v>
      </c>
      <c r="AF14" s="222">
        <f t="shared" si="9"/>
        <v>1773000</v>
      </c>
      <c r="AG14" s="822"/>
      <c r="AH14" s="822">
        <f t="shared" si="10"/>
        <v>3.7045626923583208E-2</v>
      </c>
      <c r="AI14" s="985">
        <f t="shared" si="11"/>
        <v>0.46624655766988354</v>
      </c>
    </row>
    <row r="15" spans="1:99" s="9" customFormat="1" x14ac:dyDescent="0.25">
      <c r="A15" s="1084">
        <v>6</v>
      </c>
      <c r="B15" s="551" t="s">
        <v>468</v>
      </c>
      <c r="C15" s="222">
        <v>770</v>
      </c>
      <c r="D15" s="222">
        <v>880</v>
      </c>
      <c r="E15" s="222">
        <v>960</v>
      </c>
      <c r="F15" s="222">
        <v>770</v>
      </c>
      <c r="G15" s="222">
        <v>826.96921500000008</v>
      </c>
      <c r="H15" s="222">
        <v>708.54907600000001</v>
      </c>
      <c r="I15" s="222">
        <v>552.2912</v>
      </c>
      <c r="J15" s="222">
        <v>154.60680099999999</v>
      </c>
      <c r="K15" s="222">
        <v>529.35928999999999</v>
      </c>
      <c r="L15" s="222">
        <v>663</v>
      </c>
      <c r="M15" s="222">
        <f t="shared" si="3"/>
        <v>2607.8063669999997</v>
      </c>
      <c r="N15" s="822"/>
      <c r="O15" s="822">
        <f t="shared" si="4"/>
        <v>1.1566850771905361E-4</v>
      </c>
      <c r="P15" s="222">
        <v>909</v>
      </c>
      <c r="Q15" s="222">
        <v>694</v>
      </c>
      <c r="R15" s="222">
        <v>519</v>
      </c>
      <c r="S15" s="222">
        <v>1035</v>
      </c>
      <c r="T15" s="222">
        <f t="shared" si="5"/>
        <v>3157</v>
      </c>
      <c r="U15" s="222"/>
      <c r="V15" s="222">
        <f>'Phụ lục số 1'!H39</f>
        <v>800</v>
      </c>
      <c r="W15" s="222">
        <f t="shared" si="6"/>
        <v>3957</v>
      </c>
      <c r="X15" s="222"/>
      <c r="Y15" s="822">
        <f t="shared" si="7"/>
        <v>1.0697006914207896E-4</v>
      </c>
      <c r="Z15" s="822">
        <f t="shared" si="8"/>
        <v>0.51736725934606187</v>
      </c>
      <c r="AA15" s="222">
        <f>'Phụ lục số 1'!N39</f>
        <v>0</v>
      </c>
      <c r="AB15" s="222">
        <f>'Phụ lục số 1'!T39</f>
        <v>0</v>
      </c>
      <c r="AC15" s="222">
        <f>'Phụ lục số 1'!Z39</f>
        <v>0</v>
      </c>
      <c r="AD15" s="222">
        <f>'Phụ lục số 1'!AF39</f>
        <v>0</v>
      </c>
      <c r="AE15" s="222">
        <f>'Phụ lục số 1'!AL39</f>
        <v>0</v>
      </c>
      <c r="AF15" s="222">
        <f t="shared" si="9"/>
        <v>0</v>
      </c>
      <c r="AG15" s="822"/>
      <c r="AH15" s="822"/>
      <c r="AI15" s="985">
        <f t="shared" si="11"/>
        <v>-1</v>
      </c>
    </row>
    <row r="16" spans="1:99" s="9" customFormat="1" x14ac:dyDescent="0.25">
      <c r="A16" s="1084">
        <v>7</v>
      </c>
      <c r="B16" s="551" t="s">
        <v>277</v>
      </c>
      <c r="C16" s="222">
        <v>6300</v>
      </c>
      <c r="D16" s="222">
        <v>10340</v>
      </c>
      <c r="E16" s="222">
        <v>13690</v>
      </c>
      <c r="F16" s="222">
        <v>17250</v>
      </c>
      <c r="G16" s="222">
        <v>22513.990010999998</v>
      </c>
      <c r="H16" s="222">
        <v>22700.889665999999</v>
      </c>
      <c r="I16" s="222">
        <v>7232.069724</v>
      </c>
      <c r="J16" s="222">
        <v>9025.4512319999994</v>
      </c>
      <c r="K16" s="222">
        <v>8785.7481970000008</v>
      </c>
      <c r="L16" s="222">
        <v>8245</v>
      </c>
      <c r="M16" s="222">
        <f t="shared" si="3"/>
        <v>55989.158818999997</v>
      </c>
      <c r="N16" s="822"/>
      <c r="O16" s="822">
        <f t="shared" si="4"/>
        <v>2.4833831725355323E-3</v>
      </c>
      <c r="P16" s="222">
        <v>8374</v>
      </c>
      <c r="Q16" s="222">
        <v>9759</v>
      </c>
      <c r="R16" s="222">
        <v>10562</v>
      </c>
      <c r="S16" s="222">
        <v>11281</v>
      </c>
      <c r="T16" s="222">
        <f t="shared" si="5"/>
        <v>39976</v>
      </c>
      <c r="U16" s="222"/>
      <c r="V16" s="222">
        <f>'Phụ lục số 1'!H40</f>
        <v>8000</v>
      </c>
      <c r="W16" s="222">
        <f t="shared" si="6"/>
        <v>47976</v>
      </c>
      <c r="X16" s="222"/>
      <c r="Y16" s="822">
        <f t="shared" si="7"/>
        <v>1.2969411263988831E-3</v>
      </c>
      <c r="Z16" s="822">
        <f t="shared" si="8"/>
        <v>-0.1431198286958496</v>
      </c>
      <c r="AA16" s="222">
        <f>'Phụ lục số 1'!N40</f>
        <v>8000</v>
      </c>
      <c r="AB16" s="222">
        <f>'Phụ lục số 1'!T40</f>
        <v>8000</v>
      </c>
      <c r="AC16" s="222">
        <f>'Phụ lục số 1'!Z40</f>
        <v>8000</v>
      </c>
      <c r="AD16" s="222">
        <f>'Phụ lục số 1'!AF40</f>
        <v>8000</v>
      </c>
      <c r="AE16" s="222">
        <f>'Phụ lục số 1'!AL40</f>
        <v>8000</v>
      </c>
      <c r="AF16" s="222">
        <f t="shared" si="9"/>
        <v>40000</v>
      </c>
      <c r="AG16" s="822"/>
      <c r="AH16" s="822">
        <f t="shared" ref="AH16:AH21" si="14">AF16/$AF$7</f>
        <v>8.3577274503289815E-4</v>
      </c>
      <c r="AI16" s="985">
        <f t="shared" si="11"/>
        <v>-0.1662497915624479</v>
      </c>
    </row>
    <row r="17" spans="1:35" s="9" customFormat="1" x14ac:dyDescent="0.25">
      <c r="A17" s="1084">
        <v>8</v>
      </c>
      <c r="B17" s="551" t="s">
        <v>527</v>
      </c>
      <c r="C17" s="222">
        <f>38820+25460</f>
        <v>64280</v>
      </c>
      <c r="D17" s="222">
        <f>50550+36090</f>
        <v>86640</v>
      </c>
      <c r="E17" s="222">
        <f>66690+43730</f>
        <v>110420</v>
      </c>
      <c r="F17" s="222">
        <f>115840+0</f>
        <v>115840</v>
      </c>
      <c r="G17" s="222">
        <v>186978.995165</v>
      </c>
      <c r="H17" s="222">
        <v>211576.30287000001</v>
      </c>
      <c r="I17" s="222">
        <v>242659.928071</v>
      </c>
      <c r="J17" s="222">
        <v>238487.114038</v>
      </c>
      <c r="K17" s="222">
        <v>256057.09914899999</v>
      </c>
      <c r="L17" s="222">
        <v>310783</v>
      </c>
      <c r="M17" s="222">
        <f t="shared" si="3"/>
        <v>1259563.4441280002</v>
      </c>
      <c r="N17" s="822"/>
      <c r="O17" s="822">
        <f t="shared" si="4"/>
        <v>5.5867577364403821E-2</v>
      </c>
      <c r="P17" s="222">
        <v>341640</v>
      </c>
      <c r="Q17" s="222">
        <v>382262</v>
      </c>
      <c r="R17" s="222">
        <v>479310</v>
      </c>
      <c r="S17" s="222">
        <v>521482</v>
      </c>
      <c r="T17" s="222">
        <f t="shared" si="5"/>
        <v>1724694</v>
      </c>
      <c r="U17" s="222"/>
      <c r="V17" s="222">
        <f>'Phụ lục số 1'!H41</f>
        <v>470000</v>
      </c>
      <c r="W17" s="222">
        <f t="shared" si="6"/>
        <v>2194694</v>
      </c>
      <c r="X17" s="222"/>
      <c r="Y17" s="822">
        <f t="shared" si="7"/>
        <v>5.9329433643089673E-2</v>
      </c>
      <c r="Z17" s="822">
        <f t="shared" si="8"/>
        <v>0.74242433775886041</v>
      </c>
      <c r="AA17" s="222">
        <f>'Phụ lục số 1'!N41</f>
        <v>465000</v>
      </c>
      <c r="AB17" s="222">
        <f>'Phụ lục số 1'!T41</f>
        <v>512000</v>
      </c>
      <c r="AC17" s="222">
        <f>'Phụ lục số 1'!Z41</f>
        <v>538000</v>
      </c>
      <c r="AD17" s="222">
        <f>'Phụ lục số 1'!AF41</f>
        <v>565000</v>
      </c>
      <c r="AE17" s="222">
        <f>'Phụ lục số 1'!AL41</f>
        <v>593000</v>
      </c>
      <c r="AF17" s="222">
        <f t="shared" si="9"/>
        <v>2673000</v>
      </c>
      <c r="AG17" s="822"/>
      <c r="AH17" s="822">
        <f t="shared" si="14"/>
        <v>5.5850513686823415E-2</v>
      </c>
      <c r="AI17" s="985">
        <f t="shared" si="11"/>
        <v>0.21793744367096268</v>
      </c>
    </row>
    <row r="18" spans="1:35" s="9" customFormat="1" x14ac:dyDescent="0.25">
      <c r="A18" s="1084">
        <v>9</v>
      </c>
      <c r="B18" s="551" t="s">
        <v>1034</v>
      </c>
      <c r="C18" s="222">
        <v>154600</v>
      </c>
      <c r="D18" s="222">
        <v>172040</v>
      </c>
      <c r="E18" s="222">
        <v>185420</v>
      </c>
      <c r="F18" s="222">
        <v>382620</v>
      </c>
      <c r="G18" s="222">
        <v>499448.84769999998</v>
      </c>
      <c r="H18" s="222">
        <v>650890.53007500002</v>
      </c>
      <c r="I18" s="222">
        <v>646721.78421900002</v>
      </c>
      <c r="J18" s="222">
        <v>553543.69900000002</v>
      </c>
      <c r="K18" s="222">
        <v>670403.16145000001</v>
      </c>
      <c r="L18" s="222">
        <v>1299030</v>
      </c>
      <c r="M18" s="222">
        <f t="shared" si="3"/>
        <v>3820589.1747440002</v>
      </c>
      <c r="N18" s="822"/>
      <c r="O18" s="822">
        <f t="shared" si="4"/>
        <v>0.16946114329745751</v>
      </c>
      <c r="P18" s="222">
        <v>2273225</v>
      </c>
      <c r="Q18" s="222">
        <v>1947905</v>
      </c>
      <c r="R18" s="222">
        <v>1700536</v>
      </c>
      <c r="S18" s="222">
        <v>2280939</v>
      </c>
      <c r="T18" s="222">
        <f t="shared" si="5"/>
        <v>8202605</v>
      </c>
      <c r="U18" s="222"/>
      <c r="V18" s="222">
        <f>'Phụ lục số 1'!H42</f>
        <v>2130000</v>
      </c>
      <c r="W18" s="222">
        <f t="shared" si="6"/>
        <v>10332605</v>
      </c>
      <c r="X18" s="222"/>
      <c r="Y18" s="822">
        <f t="shared" si="7"/>
        <v>0.27932258561227968</v>
      </c>
      <c r="Z18" s="822">
        <f t="shared" si="8"/>
        <v>1.7044532995862713</v>
      </c>
      <c r="AA18" s="222">
        <f>'Phụ lục số 1'!N42</f>
        <v>2270000</v>
      </c>
      <c r="AB18" s="222">
        <f>'Phụ lục số 1'!T42</f>
        <v>2497000</v>
      </c>
      <c r="AC18" s="222">
        <f>'Phụ lục số 1'!Z42</f>
        <v>2747000</v>
      </c>
      <c r="AD18" s="222">
        <f>'Phụ lục số 1'!AF42</f>
        <v>3022000</v>
      </c>
      <c r="AE18" s="222">
        <f>'Phụ lục số 1'!AL42</f>
        <v>3324000</v>
      </c>
      <c r="AF18" s="222">
        <f t="shared" si="9"/>
        <v>13860000</v>
      </c>
      <c r="AG18" s="822"/>
      <c r="AH18" s="822">
        <f t="shared" si="14"/>
        <v>0.28959525615389919</v>
      </c>
      <c r="AI18" s="985">
        <f t="shared" si="11"/>
        <v>0.34138486857864003</v>
      </c>
    </row>
    <row r="19" spans="1:35" s="9" customFormat="1" x14ac:dyDescent="0.25">
      <c r="A19" s="1084">
        <v>10</v>
      </c>
      <c r="B19" s="551" t="s">
        <v>417</v>
      </c>
      <c r="C19" s="222">
        <v>83710</v>
      </c>
      <c r="D19" s="222">
        <v>65760</v>
      </c>
      <c r="E19" s="222">
        <v>62020</v>
      </c>
      <c r="F19" s="222">
        <v>108070</v>
      </c>
      <c r="G19" s="222">
        <v>147763</v>
      </c>
      <c r="H19" s="222">
        <v>129532.067836</v>
      </c>
      <c r="I19" s="222">
        <v>124106.44856800001</v>
      </c>
      <c r="J19" s="222">
        <v>151790.240028</v>
      </c>
      <c r="K19" s="222">
        <v>165870.497191</v>
      </c>
      <c r="L19" s="222">
        <v>212616</v>
      </c>
      <c r="M19" s="222">
        <f t="shared" si="3"/>
        <v>783915.253623</v>
      </c>
      <c r="N19" s="822"/>
      <c r="O19" s="822">
        <f t="shared" si="4"/>
        <v>3.4770337518995657E-2</v>
      </c>
      <c r="P19" s="222">
        <v>205555</v>
      </c>
      <c r="Q19" s="222">
        <v>256429</v>
      </c>
      <c r="R19" s="222">
        <v>154856</v>
      </c>
      <c r="S19" s="222">
        <v>172887</v>
      </c>
      <c r="T19" s="222">
        <f t="shared" si="5"/>
        <v>789727</v>
      </c>
      <c r="U19" s="222"/>
      <c r="V19" s="222">
        <f>'Phụ lục số 1'!H43</f>
        <v>165000</v>
      </c>
      <c r="W19" s="222">
        <f t="shared" si="6"/>
        <v>954727</v>
      </c>
      <c r="X19" s="222"/>
      <c r="Y19" s="822">
        <f t="shared" si="7"/>
        <v>2.5809252767705237E-2</v>
      </c>
      <c r="Z19" s="822">
        <f t="shared" si="8"/>
        <v>0.21789567888564987</v>
      </c>
      <c r="AA19" s="222">
        <f>'Phụ lục số 1'!N43</f>
        <v>192900</v>
      </c>
      <c r="AB19" s="222">
        <f>'Phụ lục số 1'!T43</f>
        <v>206000</v>
      </c>
      <c r="AC19" s="222">
        <f>'Phụ lục số 1'!Z43</f>
        <v>220000</v>
      </c>
      <c r="AD19" s="222">
        <f>'Phụ lục số 1'!AF43</f>
        <v>235000</v>
      </c>
      <c r="AE19" s="222">
        <f>'Phụ lục số 1'!AL43</f>
        <v>251000</v>
      </c>
      <c r="AF19" s="222">
        <f t="shared" si="9"/>
        <v>1104900</v>
      </c>
      <c r="AG19" s="822"/>
      <c r="AH19" s="822">
        <f t="shared" si="14"/>
        <v>2.3086132649671229E-2</v>
      </c>
      <c r="AI19" s="985">
        <f t="shared" si="11"/>
        <v>0.15729417938321633</v>
      </c>
    </row>
    <row r="20" spans="1:35" s="9" customFormat="1" x14ac:dyDescent="0.25">
      <c r="A20" s="1084">
        <v>11</v>
      </c>
      <c r="B20" s="551" t="s">
        <v>418</v>
      </c>
      <c r="C20" s="222">
        <v>191500</v>
      </c>
      <c r="D20" s="222">
        <v>415260</v>
      </c>
      <c r="E20" s="222">
        <v>444040</v>
      </c>
      <c r="F20" s="222">
        <v>300000</v>
      </c>
      <c r="G20" s="222">
        <v>407675.25223099999</v>
      </c>
      <c r="H20" s="222">
        <v>394171.66318199999</v>
      </c>
      <c r="I20" s="222">
        <v>413801.849995</v>
      </c>
      <c r="J20" s="222">
        <v>312735.00110200001</v>
      </c>
      <c r="K20" s="222">
        <v>379564.95398699999</v>
      </c>
      <c r="L20" s="222">
        <v>383777</v>
      </c>
      <c r="M20" s="222">
        <f t="shared" si="3"/>
        <v>1884050.468266</v>
      </c>
      <c r="N20" s="822"/>
      <c r="O20" s="822">
        <f t="shared" si="4"/>
        <v>8.3566521230029819E-2</v>
      </c>
      <c r="P20" s="222">
        <v>454422</v>
      </c>
      <c r="Q20" s="222">
        <v>639601</v>
      </c>
      <c r="R20" s="222">
        <v>843422</v>
      </c>
      <c r="S20" s="222">
        <v>964965</v>
      </c>
      <c r="T20" s="222">
        <f t="shared" si="5"/>
        <v>2902410</v>
      </c>
      <c r="U20" s="222"/>
      <c r="V20" s="222">
        <f>'Phụ lục số 1'!H44</f>
        <v>750000</v>
      </c>
      <c r="W20" s="222">
        <f t="shared" si="6"/>
        <v>3652410</v>
      </c>
      <c r="X20" s="222"/>
      <c r="Y20" s="822">
        <f t="shared" si="7"/>
        <v>9.8736050097351688E-2</v>
      </c>
      <c r="Z20" s="822">
        <f t="shared" si="8"/>
        <v>0.93859456607949721</v>
      </c>
      <c r="AA20" s="222">
        <f>'Phụ lục số 1'!N44</f>
        <v>750000</v>
      </c>
      <c r="AB20" s="222">
        <f>'Phụ lục số 1'!T44</f>
        <v>800000</v>
      </c>
      <c r="AC20" s="222">
        <f>'Phụ lục số 1'!Z44</f>
        <v>800000</v>
      </c>
      <c r="AD20" s="222">
        <f>'Phụ lục số 1'!AF44</f>
        <v>800000</v>
      </c>
      <c r="AE20" s="222">
        <f>'Phụ lục số 1'!AL44</f>
        <v>800000</v>
      </c>
      <c r="AF20" s="222">
        <f t="shared" si="9"/>
        <v>3950000</v>
      </c>
      <c r="AG20" s="822"/>
      <c r="AH20" s="822">
        <f t="shared" si="14"/>
        <v>8.253255857199869E-2</v>
      </c>
      <c r="AI20" s="985">
        <f t="shared" si="11"/>
        <v>8.1477709238557461E-2</v>
      </c>
    </row>
    <row r="21" spans="1:35" s="9" customFormat="1" x14ac:dyDescent="0.25">
      <c r="A21" s="1084">
        <v>12</v>
      </c>
      <c r="B21" s="551" t="s">
        <v>529</v>
      </c>
      <c r="C21" s="222">
        <v>3650</v>
      </c>
      <c r="D21" s="222">
        <v>1290</v>
      </c>
      <c r="E21" s="222">
        <v>6350</v>
      </c>
      <c r="F21" s="222">
        <v>9960</v>
      </c>
      <c r="G21" s="222">
        <v>12272.982172</v>
      </c>
      <c r="H21" s="222">
        <v>14797.318150999999</v>
      </c>
      <c r="I21" s="222">
        <v>21280.122105999999</v>
      </c>
      <c r="J21" s="222">
        <v>25056.577998000001</v>
      </c>
      <c r="K21" s="222">
        <v>30109.314546000001</v>
      </c>
      <c r="L21" s="222">
        <v>35945</v>
      </c>
      <c r="M21" s="222">
        <f t="shared" si="3"/>
        <v>127188.332801</v>
      </c>
      <c r="N21" s="822"/>
      <c r="O21" s="822">
        <f t="shared" si="4"/>
        <v>5.6414022300629004E-3</v>
      </c>
      <c r="P21" s="222">
        <v>53095</v>
      </c>
      <c r="Q21" s="222">
        <v>61296</v>
      </c>
      <c r="R21" s="222">
        <v>194910</v>
      </c>
      <c r="S21" s="222">
        <v>177724</v>
      </c>
      <c r="T21" s="222">
        <f t="shared" si="5"/>
        <v>487025</v>
      </c>
      <c r="U21" s="222"/>
      <c r="V21" s="222">
        <f>'Phụ lục số 1'!H45</f>
        <v>72000</v>
      </c>
      <c r="W21" s="222">
        <f t="shared" si="6"/>
        <v>559025</v>
      </c>
      <c r="X21" s="222"/>
      <c r="Y21" s="822">
        <f t="shared" si="7"/>
        <v>1.5112191787250616E-2</v>
      </c>
      <c r="Z21" s="822">
        <f t="shared" si="8"/>
        <v>3.3952537759470083</v>
      </c>
      <c r="AA21" s="222">
        <f>'Phụ lục số 1'!N45</f>
        <v>76000</v>
      </c>
      <c r="AB21" s="222">
        <f>'Phụ lục số 1'!T45</f>
        <v>86000</v>
      </c>
      <c r="AC21" s="222">
        <f>'Phụ lục số 1'!Z45</f>
        <v>92000</v>
      </c>
      <c r="AD21" s="222">
        <f>'Phụ lục số 1'!AF45</f>
        <v>99000</v>
      </c>
      <c r="AE21" s="222">
        <f>'Phụ lục số 1'!AL45</f>
        <v>107000</v>
      </c>
      <c r="AF21" s="222">
        <f t="shared" si="9"/>
        <v>460000</v>
      </c>
      <c r="AG21" s="822"/>
      <c r="AH21" s="822">
        <f t="shared" si="14"/>
        <v>9.611386567878329E-3</v>
      </c>
      <c r="AI21" s="985">
        <f t="shared" si="11"/>
        <v>-0.17713876839139575</v>
      </c>
    </row>
    <row r="22" spans="1:35" s="9" customFormat="1" x14ac:dyDescent="0.25">
      <c r="A22" s="1084">
        <v>13</v>
      </c>
      <c r="B22" s="551" t="s">
        <v>518</v>
      </c>
      <c r="C22" s="222">
        <v>2970</v>
      </c>
      <c r="D22" s="222">
        <v>1390</v>
      </c>
      <c r="E22" s="222">
        <v>170</v>
      </c>
      <c r="F22" s="222">
        <v>1150</v>
      </c>
      <c r="G22" s="222">
        <v>1533.5377189999999</v>
      </c>
      <c r="H22" s="222">
        <v>1094.738333</v>
      </c>
      <c r="I22" s="222">
        <v>1681.6920950000001</v>
      </c>
      <c r="J22" s="222">
        <v>1120.580835</v>
      </c>
      <c r="K22" s="222">
        <v>258.28733599999998</v>
      </c>
      <c r="L22" s="222">
        <v>375</v>
      </c>
      <c r="M22" s="222">
        <f t="shared" si="3"/>
        <v>4530.2985990000006</v>
      </c>
      <c r="N22" s="822"/>
      <c r="O22" s="822">
        <f t="shared" si="4"/>
        <v>2.0094010241675637E-4</v>
      </c>
      <c r="P22" s="222">
        <v>382</v>
      </c>
      <c r="Q22" s="222">
        <v>2247</v>
      </c>
      <c r="R22" s="222">
        <v>702</v>
      </c>
      <c r="S22" s="222">
        <v>3951</v>
      </c>
      <c r="T22" s="222">
        <f t="shared" si="5"/>
        <v>7282</v>
      </c>
      <c r="U22" s="222"/>
      <c r="V22" s="222">
        <f>'Phụ lục số 1'!H46</f>
        <v>200</v>
      </c>
      <c r="W22" s="222">
        <f t="shared" si="6"/>
        <v>7482</v>
      </c>
      <c r="X22" s="222"/>
      <c r="Y22" s="822">
        <f t="shared" si="7"/>
        <v>2.0226182899192184E-4</v>
      </c>
      <c r="Z22" s="822">
        <f t="shared" si="8"/>
        <v>0.65154676595744609</v>
      </c>
      <c r="AA22" s="222">
        <f>'Phụ lục số 1'!N46</f>
        <v>0</v>
      </c>
      <c r="AB22" s="222">
        <f>'Phụ lục số 1'!T46</f>
        <v>0</v>
      </c>
      <c r="AC22" s="222">
        <f>'Phụ lục số 1'!Z46</f>
        <v>0</v>
      </c>
      <c r="AD22" s="222">
        <f>'Phụ lục số 1'!AF46</f>
        <v>0</v>
      </c>
      <c r="AE22" s="222">
        <f>'Phụ lục số 1'!AL46</f>
        <v>0</v>
      </c>
      <c r="AF22" s="222">
        <f t="shared" si="9"/>
        <v>0</v>
      </c>
      <c r="AG22" s="822"/>
      <c r="AH22" s="822"/>
      <c r="AI22" s="985">
        <f t="shared" si="11"/>
        <v>-1</v>
      </c>
    </row>
    <row r="23" spans="1:35" s="9" customFormat="1" x14ac:dyDescent="0.25">
      <c r="A23" s="1084">
        <v>14</v>
      </c>
      <c r="B23" s="551" t="s">
        <v>352</v>
      </c>
      <c r="C23" s="222">
        <v>16290</v>
      </c>
      <c r="D23" s="222">
        <v>34910</v>
      </c>
      <c r="E23" s="222">
        <v>34190</v>
      </c>
      <c r="F23" s="222">
        <v>46520</v>
      </c>
      <c r="G23" s="222">
        <v>100128.154606</v>
      </c>
      <c r="H23" s="222">
        <v>32762.876378000001</v>
      </c>
      <c r="I23" s="222">
        <v>42614.135322000002</v>
      </c>
      <c r="J23" s="222">
        <v>52575.311074999998</v>
      </c>
      <c r="K23" s="222">
        <v>145587.907744</v>
      </c>
      <c r="L23" s="222">
        <v>140912</v>
      </c>
      <c r="M23" s="222">
        <f t="shared" si="3"/>
        <v>414452.23051899998</v>
      </c>
      <c r="N23" s="822"/>
      <c r="O23" s="822">
        <f t="shared" si="4"/>
        <v>1.8382910491975935E-2</v>
      </c>
      <c r="P23" s="222">
        <v>126290</v>
      </c>
      <c r="Q23" s="222">
        <v>203509</v>
      </c>
      <c r="R23" s="222">
        <v>237551</v>
      </c>
      <c r="S23" s="222">
        <v>300917</v>
      </c>
      <c r="T23" s="222">
        <f t="shared" si="5"/>
        <v>868267</v>
      </c>
      <c r="U23" s="222"/>
      <c r="V23" s="222">
        <f>'Phụ lục số 1'!H47</f>
        <v>270000</v>
      </c>
      <c r="W23" s="222">
        <f t="shared" si="6"/>
        <v>1138267</v>
      </c>
      <c r="X23" s="222"/>
      <c r="Y23" s="822">
        <f t="shared" si="7"/>
        <v>3.0770912229503865E-2</v>
      </c>
      <c r="Z23" s="822">
        <f t="shared" si="8"/>
        <v>1.7464371432495347</v>
      </c>
      <c r="AA23" s="222">
        <f>'Phụ lục số 1'!N47</f>
        <v>280000</v>
      </c>
      <c r="AB23" s="222">
        <f>'Phụ lục số 1'!T47</f>
        <v>290000</v>
      </c>
      <c r="AC23" s="222">
        <f>'Phụ lục số 1'!Z47</f>
        <v>300000</v>
      </c>
      <c r="AD23" s="222">
        <f>'Phụ lục số 1'!AF47</f>
        <v>310000</v>
      </c>
      <c r="AE23" s="222">
        <f>'Phụ lục số 1'!AL47</f>
        <v>320000</v>
      </c>
      <c r="AF23" s="222">
        <f t="shared" si="9"/>
        <v>1500000</v>
      </c>
      <c r="AG23" s="822"/>
      <c r="AH23" s="822">
        <f t="shared" ref="AH23:AH28" si="15">AF23/$AF$7</f>
        <v>3.1341477938733681E-2</v>
      </c>
      <c r="AI23" s="985">
        <f t="shared" si="11"/>
        <v>0.31779274985570161</v>
      </c>
    </row>
    <row r="24" spans="1:35" s="9" customFormat="1" x14ac:dyDescent="0.25">
      <c r="A24" s="1084">
        <v>15</v>
      </c>
      <c r="B24" s="551" t="s">
        <v>632</v>
      </c>
      <c r="C24" s="222">
        <v>0</v>
      </c>
      <c r="D24" s="222">
        <v>0</v>
      </c>
      <c r="E24" s="222">
        <v>0</v>
      </c>
      <c r="F24" s="222">
        <v>0</v>
      </c>
      <c r="G24" s="222">
        <v>0</v>
      </c>
      <c r="H24" s="222">
        <v>0</v>
      </c>
      <c r="I24" s="222">
        <v>0</v>
      </c>
      <c r="J24" s="222">
        <v>0</v>
      </c>
      <c r="K24" s="222">
        <v>0</v>
      </c>
      <c r="L24" s="222">
        <v>0</v>
      </c>
      <c r="M24" s="222">
        <f t="shared" si="3"/>
        <v>0</v>
      </c>
      <c r="N24" s="822"/>
      <c r="O24" s="822">
        <f t="shared" si="4"/>
        <v>0</v>
      </c>
      <c r="P24" s="222">
        <v>0</v>
      </c>
      <c r="Q24" s="222">
        <v>5516</v>
      </c>
      <c r="R24" s="222">
        <v>46773</v>
      </c>
      <c r="S24" s="222">
        <v>25517</v>
      </c>
      <c r="T24" s="222">
        <f t="shared" si="5"/>
        <v>77806</v>
      </c>
      <c r="U24" s="222"/>
      <c r="V24" s="222">
        <f>'Phụ lục số 1'!H48</f>
        <v>11000</v>
      </c>
      <c r="W24" s="222">
        <f t="shared" si="6"/>
        <v>88806</v>
      </c>
      <c r="X24" s="222"/>
      <c r="Y24" s="822">
        <f t="shared" si="7"/>
        <v>2.4007035532553614E-3</v>
      </c>
      <c r="Z24" s="822"/>
      <c r="AA24" s="222">
        <f>'Phụ lục số 1'!N48</f>
        <v>11000</v>
      </c>
      <c r="AB24" s="222">
        <f>'Phụ lục số 1'!T48</f>
        <v>12000</v>
      </c>
      <c r="AC24" s="222">
        <f>'Phụ lục số 1'!Z48</f>
        <v>13000</v>
      </c>
      <c r="AD24" s="222">
        <f>'Phụ lục số 1'!AF48</f>
        <v>14000</v>
      </c>
      <c r="AE24" s="222">
        <f>'Phụ lục số 1'!AL48</f>
        <v>15000</v>
      </c>
      <c r="AF24" s="222">
        <f t="shared" si="9"/>
        <v>65000</v>
      </c>
      <c r="AG24" s="822"/>
      <c r="AH24" s="822">
        <f t="shared" si="15"/>
        <v>1.3581307106784594E-3</v>
      </c>
      <c r="AI24" s="985">
        <f t="shared" si="11"/>
        <v>-0.26806747291849653</v>
      </c>
    </row>
    <row r="25" spans="1:35" s="9" customFormat="1" x14ac:dyDescent="0.25">
      <c r="A25" s="1084">
        <v>16</v>
      </c>
      <c r="B25" s="551" t="s">
        <v>633</v>
      </c>
      <c r="C25" s="222">
        <v>0</v>
      </c>
      <c r="D25" s="222">
        <v>0</v>
      </c>
      <c r="E25" s="222">
        <v>0</v>
      </c>
      <c r="F25" s="222">
        <v>0</v>
      </c>
      <c r="G25" s="222">
        <v>0</v>
      </c>
      <c r="H25" s="222">
        <v>0</v>
      </c>
      <c r="I25" s="222">
        <v>0</v>
      </c>
      <c r="J25" s="222">
        <v>0</v>
      </c>
      <c r="K25" s="222">
        <v>0</v>
      </c>
      <c r="L25" s="222">
        <v>0</v>
      </c>
      <c r="M25" s="222">
        <f t="shared" si="3"/>
        <v>0</v>
      </c>
      <c r="N25" s="822"/>
      <c r="O25" s="822">
        <f t="shared" si="4"/>
        <v>0</v>
      </c>
      <c r="P25" s="222">
        <v>0</v>
      </c>
      <c r="Q25" s="222">
        <v>0</v>
      </c>
      <c r="R25" s="222">
        <v>47932</v>
      </c>
      <c r="S25" s="222">
        <v>129025</v>
      </c>
      <c r="T25" s="222">
        <f t="shared" si="5"/>
        <v>176957</v>
      </c>
      <c r="U25" s="222"/>
      <c r="V25" s="222">
        <f>'Phụ lục số 1'!H49</f>
        <v>64000</v>
      </c>
      <c r="W25" s="222">
        <f t="shared" si="6"/>
        <v>240957</v>
      </c>
      <c r="X25" s="222"/>
      <c r="Y25" s="822">
        <f t="shared" si="7"/>
        <v>6.5138203058549204E-3</v>
      </c>
      <c r="Z25" s="822"/>
      <c r="AA25" s="222">
        <f>'Phụ lục số 1'!N49</f>
        <v>70000</v>
      </c>
      <c r="AB25" s="222">
        <f>'Phụ lục số 1'!T49</f>
        <v>75000</v>
      </c>
      <c r="AC25" s="222">
        <f>'Phụ lục số 1'!Z49</f>
        <v>80000</v>
      </c>
      <c r="AD25" s="222">
        <f>'Phụ lục số 1'!AF49</f>
        <v>85000</v>
      </c>
      <c r="AE25" s="222">
        <f>'Phụ lục số 1'!AL49</f>
        <v>90000</v>
      </c>
      <c r="AF25" s="222">
        <f t="shared" si="9"/>
        <v>400000</v>
      </c>
      <c r="AG25" s="822"/>
      <c r="AH25" s="822">
        <f t="shared" si="15"/>
        <v>8.3577274503289813E-3</v>
      </c>
      <c r="AI25" s="985">
        <f t="shared" si="11"/>
        <v>0.66004722834364649</v>
      </c>
    </row>
    <row r="26" spans="1:35" s="9" customFormat="1" x14ac:dyDescent="0.25">
      <c r="A26" s="1084">
        <v>15</v>
      </c>
      <c r="B26" s="551" t="s">
        <v>420</v>
      </c>
      <c r="C26" s="222"/>
      <c r="D26" s="222"/>
      <c r="E26" s="222"/>
      <c r="F26" s="222"/>
      <c r="G26" s="222">
        <v>18914</v>
      </c>
      <c r="H26" s="222">
        <v>17981.816880999999</v>
      </c>
      <c r="I26" s="222">
        <v>15843.017508999999</v>
      </c>
      <c r="J26" s="222">
        <v>17170.030866000001</v>
      </c>
      <c r="K26" s="222">
        <v>15943.836121</v>
      </c>
      <c r="L26" s="222">
        <v>15685</v>
      </c>
      <c r="M26" s="222">
        <f t="shared" si="3"/>
        <v>82623.70137699999</v>
      </c>
      <c r="N26" s="822"/>
      <c r="O26" s="822">
        <f t="shared" si="4"/>
        <v>3.6647507121077235E-3</v>
      </c>
      <c r="P26" s="222">
        <v>15566</v>
      </c>
      <c r="Q26" s="222">
        <v>19734</v>
      </c>
      <c r="R26" s="222">
        <v>4849</v>
      </c>
      <c r="S26" s="222">
        <v>3085</v>
      </c>
      <c r="T26" s="222">
        <f t="shared" si="5"/>
        <v>43234</v>
      </c>
      <c r="U26" s="222"/>
      <c r="V26" s="222">
        <f>'Phụ lục số 1'!H50</f>
        <v>3000</v>
      </c>
      <c r="W26" s="222">
        <f t="shared" si="6"/>
        <v>46234</v>
      </c>
      <c r="X26" s="222"/>
      <c r="Y26" s="822">
        <f t="shared" si="7"/>
        <v>1.2498494255028755E-3</v>
      </c>
      <c r="Z26" s="822">
        <f t="shared" si="8"/>
        <v>-0.44042690862951117</v>
      </c>
      <c r="AA26" s="222">
        <f>'Phụ lục số 1'!N50</f>
        <v>3000</v>
      </c>
      <c r="AB26" s="222">
        <f>'Phụ lục số 1'!T50</f>
        <v>3000</v>
      </c>
      <c r="AC26" s="222">
        <f>'Phụ lục số 1'!Z50</f>
        <v>3000</v>
      </c>
      <c r="AD26" s="222">
        <f>'Phụ lục số 1'!AF50</f>
        <v>3000</v>
      </c>
      <c r="AE26" s="222">
        <f>'Phụ lục số 1'!AL50</f>
        <v>3000</v>
      </c>
      <c r="AF26" s="222">
        <f t="shared" si="9"/>
        <v>15000</v>
      </c>
      <c r="AG26" s="822"/>
      <c r="AH26" s="822">
        <f t="shared" si="15"/>
        <v>3.1341477938733676E-4</v>
      </c>
      <c r="AI26" s="985">
        <f t="shared" si="11"/>
        <v>-0.67556343816239139</v>
      </c>
    </row>
    <row r="27" spans="1:35" s="9" customFormat="1" x14ac:dyDescent="0.25">
      <c r="A27" s="1084">
        <v>16</v>
      </c>
      <c r="B27" s="551" t="s">
        <v>226</v>
      </c>
      <c r="C27" s="222">
        <v>349410</v>
      </c>
      <c r="D27" s="222">
        <v>810346.39989600005</v>
      </c>
      <c r="E27" s="222">
        <v>452760</v>
      </c>
      <c r="F27" s="222">
        <v>500750</v>
      </c>
      <c r="G27" s="222">
        <v>810346.39989600005</v>
      </c>
      <c r="H27" s="222">
        <v>687860.86755299999</v>
      </c>
      <c r="I27" s="222">
        <v>804565.51386399998</v>
      </c>
      <c r="J27" s="222">
        <v>941882.63027900003</v>
      </c>
      <c r="K27" s="222">
        <v>954775.96481699997</v>
      </c>
      <c r="L27" s="222">
        <v>1189344</v>
      </c>
      <c r="M27" s="222">
        <f t="shared" si="3"/>
        <v>4578428.9765130002</v>
      </c>
      <c r="N27" s="822"/>
      <c r="O27" s="822">
        <f t="shared" si="4"/>
        <v>0.2030749115856165</v>
      </c>
      <c r="P27" s="222">
        <v>1310161</v>
      </c>
      <c r="Q27" s="222">
        <v>1477896</v>
      </c>
      <c r="R27" s="222">
        <v>1371274</v>
      </c>
      <c r="S27" s="222">
        <v>1523285</v>
      </c>
      <c r="T27" s="222">
        <f t="shared" si="5"/>
        <v>5682616</v>
      </c>
      <c r="U27" s="222"/>
      <c r="V27" s="222">
        <f>'Phụ lục số 1'!H51</f>
        <v>1800000</v>
      </c>
      <c r="W27" s="222">
        <f t="shared" si="6"/>
        <v>7482616</v>
      </c>
      <c r="X27" s="222"/>
      <c r="Y27" s="822">
        <f t="shared" si="7"/>
        <v>0.20227848139591265</v>
      </c>
      <c r="Z27" s="822">
        <f t="shared" si="8"/>
        <v>0.63431955336323065</v>
      </c>
      <c r="AA27" s="222">
        <f>'Phụ lục số 1'!N51</f>
        <v>1500000</v>
      </c>
      <c r="AB27" s="222">
        <f>'Phụ lục số 1'!T51</f>
        <v>1550000</v>
      </c>
      <c r="AC27" s="222">
        <f>'Phụ lục số 1'!Z51</f>
        <v>1600000</v>
      </c>
      <c r="AD27" s="222">
        <f>'Phụ lục số 1'!AF51</f>
        <v>1600000</v>
      </c>
      <c r="AE27" s="222">
        <f>'Phụ lục số 1'!AL51</f>
        <v>1600000</v>
      </c>
      <c r="AF27" s="222">
        <f t="shared" si="9"/>
        <v>7850000</v>
      </c>
      <c r="AG27" s="822"/>
      <c r="AH27" s="822">
        <f t="shared" si="15"/>
        <v>0.16402040121270625</v>
      </c>
      <c r="AI27" s="985">
        <f t="shared" si="11"/>
        <v>4.9098336731431935E-2</v>
      </c>
    </row>
    <row r="28" spans="1:35" s="18" customFormat="1" x14ac:dyDescent="0.25">
      <c r="A28" s="1082" t="s">
        <v>421</v>
      </c>
      <c r="B28" s="552" t="s">
        <v>775</v>
      </c>
      <c r="C28" s="225">
        <v>230940</v>
      </c>
      <c r="D28" s="225">
        <v>305720</v>
      </c>
      <c r="E28" s="225">
        <v>329200</v>
      </c>
      <c r="F28" s="225">
        <v>308830</v>
      </c>
      <c r="G28" s="225">
        <v>306565.00754700002</v>
      </c>
      <c r="H28" s="225">
        <v>357566.61864</v>
      </c>
      <c r="I28" s="225">
        <v>418951.84585500002</v>
      </c>
      <c r="J28" s="225">
        <v>456841.14694599999</v>
      </c>
      <c r="K28" s="225">
        <v>140078.797276</v>
      </c>
      <c r="L28" s="225">
        <v>243841</v>
      </c>
      <c r="M28" s="225">
        <f t="shared" si="3"/>
        <v>1617279.4087169999</v>
      </c>
      <c r="N28" s="985"/>
      <c r="O28" s="985">
        <f t="shared" si="4"/>
        <v>7.1733966960994378E-2</v>
      </c>
      <c r="P28" s="225">
        <v>96965</v>
      </c>
      <c r="Q28" s="225">
        <v>107416</v>
      </c>
      <c r="R28" s="225">
        <v>74262</v>
      </c>
      <c r="S28" s="225">
        <v>126290</v>
      </c>
      <c r="T28" s="225">
        <f t="shared" si="5"/>
        <v>404933</v>
      </c>
      <c r="U28" s="225"/>
      <c r="V28" s="225">
        <f>'Phụ lục số 1'!H52</f>
        <v>86000</v>
      </c>
      <c r="W28" s="225">
        <f t="shared" si="6"/>
        <v>490933</v>
      </c>
      <c r="X28" s="225"/>
      <c r="Y28" s="985">
        <f t="shared" si="7"/>
        <v>1.3271452351308631E-2</v>
      </c>
      <c r="Z28" s="985">
        <f t="shared" si="8"/>
        <v>-0.69644515514517003</v>
      </c>
      <c r="AA28" s="225">
        <f>'Phụ lục số 1'!N52</f>
        <v>105000</v>
      </c>
      <c r="AB28" s="225">
        <f>'Phụ lục số 1'!T52</f>
        <v>117000</v>
      </c>
      <c r="AC28" s="225">
        <f>'Phụ lục số 1'!Z52</f>
        <v>129000</v>
      </c>
      <c r="AD28" s="225">
        <f>'Phụ lục số 1'!AF52</f>
        <v>141000</v>
      </c>
      <c r="AE28" s="225">
        <f>'Phụ lục số 1'!AL52</f>
        <v>153000</v>
      </c>
      <c r="AF28" s="225">
        <f t="shared" si="9"/>
        <v>645000</v>
      </c>
      <c r="AG28" s="985"/>
      <c r="AH28" s="985">
        <f t="shared" si="15"/>
        <v>1.3476835513655482E-2</v>
      </c>
      <c r="AI28" s="985">
        <f t="shared" si="11"/>
        <v>0.31382490075020431</v>
      </c>
    </row>
    <row r="29" spans="1:35" s="18" customFormat="1" x14ac:dyDescent="0.25">
      <c r="A29" s="1082" t="s">
        <v>449</v>
      </c>
      <c r="B29" s="552" t="s">
        <v>1096</v>
      </c>
      <c r="C29" s="225"/>
      <c r="D29" s="225"/>
      <c r="E29" s="225"/>
      <c r="F29" s="225"/>
      <c r="G29" s="225"/>
      <c r="H29" s="225"/>
      <c r="I29" s="225"/>
      <c r="J29" s="225"/>
      <c r="K29" s="225"/>
      <c r="L29" s="225"/>
      <c r="M29" s="225"/>
      <c r="N29" s="985"/>
      <c r="O29" s="985"/>
      <c r="P29" s="225"/>
      <c r="Q29" s="225"/>
      <c r="R29" s="225"/>
      <c r="S29" s="225"/>
      <c r="T29" s="225">
        <f t="shared" si="5"/>
        <v>0</v>
      </c>
      <c r="U29" s="225"/>
      <c r="V29" s="225"/>
      <c r="W29" s="225">
        <f t="shared" si="6"/>
        <v>0</v>
      </c>
      <c r="X29" s="225"/>
      <c r="Y29" s="985">
        <f t="shared" si="7"/>
        <v>0</v>
      </c>
      <c r="Z29" s="985"/>
      <c r="AA29" s="225"/>
      <c r="AB29" s="225"/>
      <c r="AC29" s="225"/>
      <c r="AD29" s="225"/>
      <c r="AE29" s="225"/>
      <c r="AF29" s="225">
        <f t="shared" si="9"/>
        <v>0</v>
      </c>
      <c r="AG29" s="985"/>
      <c r="AH29" s="985"/>
      <c r="AI29" s="985"/>
    </row>
    <row r="30" spans="1:35" s="61" customFormat="1" x14ac:dyDescent="0.25">
      <c r="A30" s="1085" t="s">
        <v>422</v>
      </c>
      <c r="B30" s="1086" t="s">
        <v>1563</v>
      </c>
      <c r="C30" s="225"/>
      <c r="D30" s="225"/>
      <c r="E30" s="225"/>
      <c r="F30" s="225"/>
      <c r="G30" s="225"/>
      <c r="H30" s="225"/>
      <c r="I30" s="225"/>
      <c r="J30" s="225"/>
      <c r="K30" s="225"/>
      <c r="L30" s="225"/>
      <c r="M30" s="225"/>
      <c r="N30" s="985"/>
      <c r="O30" s="985"/>
      <c r="P30" s="225"/>
      <c r="Q30" s="225"/>
      <c r="R30" s="225"/>
      <c r="S30" s="225"/>
      <c r="T30" s="225">
        <f t="shared" si="5"/>
        <v>0</v>
      </c>
      <c r="U30" s="225"/>
      <c r="V30" s="225"/>
      <c r="W30" s="225">
        <f t="shared" si="6"/>
        <v>0</v>
      </c>
      <c r="X30" s="225"/>
      <c r="Y30" s="985">
        <f t="shared" si="7"/>
        <v>0</v>
      </c>
      <c r="Z30" s="985"/>
      <c r="AA30" s="225"/>
      <c r="AB30" s="225"/>
      <c r="AC30" s="225"/>
      <c r="AD30" s="225"/>
      <c r="AE30" s="225"/>
      <c r="AF30" s="225">
        <f t="shared" si="9"/>
        <v>0</v>
      </c>
      <c r="AG30" s="985"/>
      <c r="AH30" s="985"/>
      <c r="AI30" s="985"/>
    </row>
    <row r="31" spans="1:35" s="971" customFormat="1" ht="20.25" x14ac:dyDescent="0.55000000000000004">
      <c r="A31" s="1087">
        <v>1</v>
      </c>
      <c r="B31" s="1088" t="s">
        <v>1332</v>
      </c>
      <c r="C31" s="1089">
        <f>SUM(C32,C33,C36)</f>
        <v>12140916</v>
      </c>
      <c r="D31" s="1089">
        <f>SUM(D32,D33,D36)</f>
        <v>15688862</v>
      </c>
      <c r="E31" s="1089">
        <f>SUM(E32,E33,E36)</f>
        <v>20624075</v>
      </c>
      <c r="F31" s="1089">
        <f>SUM(F32,F33,F36)</f>
        <v>23241053</v>
      </c>
      <c r="G31" s="986">
        <v>30287000</v>
      </c>
      <c r="H31" s="986">
        <v>41703000</v>
      </c>
      <c r="I31" s="986">
        <v>44027000</v>
      </c>
      <c r="J31" s="986">
        <v>48316000</v>
      </c>
      <c r="K31" s="986">
        <v>53472000</v>
      </c>
      <c r="L31" s="986">
        <v>57208361</v>
      </c>
      <c r="M31" s="986">
        <f>SUM(H31:L31)</f>
        <v>244726361</v>
      </c>
      <c r="N31" s="987"/>
      <c r="O31" s="987">
        <f>L31/$L$31</f>
        <v>1</v>
      </c>
      <c r="P31" s="986">
        <v>62221079</v>
      </c>
      <c r="Q31" s="986">
        <v>68288574</v>
      </c>
      <c r="R31" s="986">
        <v>75875880</v>
      </c>
      <c r="S31" s="986">
        <f>SUM(S32,S33,S36)</f>
        <v>82283000</v>
      </c>
      <c r="T31" s="986">
        <f t="shared" si="5"/>
        <v>288668533</v>
      </c>
      <c r="U31" s="986"/>
      <c r="V31" s="986">
        <f>SUM(V32,V33,V36)</f>
        <v>86575000</v>
      </c>
      <c r="W31" s="989">
        <f t="shared" si="6"/>
        <v>375243533</v>
      </c>
      <c r="X31" s="986"/>
      <c r="Y31" s="987">
        <f t="shared" si="7"/>
        <v>10.144004718253219</v>
      </c>
      <c r="Z31" s="987">
        <f t="shared" si="8"/>
        <v>0.53331881153579519</v>
      </c>
      <c r="AA31" s="990">
        <f>V31*1.07</f>
        <v>92635250</v>
      </c>
      <c r="AB31" s="990">
        <f>AA31*1.07</f>
        <v>99119717.5</v>
      </c>
      <c r="AC31" s="990">
        <f>AB31*1.07</f>
        <v>106058097.72500001</v>
      </c>
      <c r="AD31" s="990">
        <f>AC31*1.07</f>
        <v>113482164.56575002</v>
      </c>
      <c r="AE31" s="990">
        <f>AD31*1.07</f>
        <v>121425916.08535253</v>
      </c>
      <c r="AF31" s="990">
        <f>SUM(AA31:AE31)</f>
        <v>532721145.87610257</v>
      </c>
      <c r="AG31" s="987"/>
      <c r="AH31" s="987"/>
      <c r="AI31" s="985">
        <f>AF31/W31-1</f>
        <v>0.41966775980680948</v>
      </c>
    </row>
    <row r="32" spans="1:35" x14ac:dyDescent="0.25">
      <c r="A32" s="257" t="s">
        <v>434</v>
      </c>
      <c r="B32" s="915" t="s">
        <v>1051</v>
      </c>
      <c r="C32" s="1090">
        <v>6907745</v>
      </c>
      <c r="D32" s="1090">
        <v>8963673</v>
      </c>
      <c r="E32" s="1090">
        <v>11462136</v>
      </c>
      <c r="F32" s="1090">
        <v>12072143</v>
      </c>
      <c r="G32" s="965">
        <v>12433000</v>
      </c>
      <c r="H32" s="965">
        <v>18357000</v>
      </c>
      <c r="I32" s="965">
        <v>18479000</v>
      </c>
      <c r="J32" s="965">
        <v>19829000</v>
      </c>
      <c r="K32" s="965">
        <v>21568000</v>
      </c>
      <c r="L32" s="965">
        <v>22812751</v>
      </c>
      <c r="M32" s="965">
        <f t="shared" ref="M32:M38" si="16">SUM(H32:L32)</f>
        <v>101045751</v>
      </c>
      <c r="N32" s="992"/>
      <c r="O32" s="992">
        <f>L32/$L$31</f>
        <v>0.39876603002138095</v>
      </c>
      <c r="P32" s="965">
        <v>24048745</v>
      </c>
      <c r="Q32" s="965">
        <v>25053517</v>
      </c>
      <c r="R32" s="967">
        <v>27636696</v>
      </c>
      <c r="S32" s="967">
        <v>29135000</v>
      </c>
      <c r="T32" s="967">
        <f t="shared" si="5"/>
        <v>105873958</v>
      </c>
      <c r="U32" s="967"/>
      <c r="V32" s="967">
        <v>28219000</v>
      </c>
      <c r="W32" s="967">
        <f t="shared" si="6"/>
        <v>134092958</v>
      </c>
      <c r="X32" s="967"/>
      <c r="Y32" s="992">
        <f t="shared" si="7"/>
        <v>3.6249514755435657</v>
      </c>
      <c r="Z32" s="992"/>
      <c r="AA32" s="968">
        <v>31486524.513443999</v>
      </c>
      <c r="AB32" s="968">
        <v>33516948.789955687</v>
      </c>
      <c r="AC32" s="968">
        <v>35695516.944354013</v>
      </c>
      <c r="AD32" s="968">
        <v>37942371.25841637</v>
      </c>
      <c r="AE32" s="968">
        <v>37942371.25841637</v>
      </c>
      <c r="AF32" s="968">
        <f t="shared" si="9"/>
        <v>176583732.76458645</v>
      </c>
      <c r="AG32" s="992"/>
      <c r="AH32" s="992"/>
      <c r="AI32" s="985">
        <f>AF32/W32-1</f>
        <v>0.31687551231874878</v>
      </c>
    </row>
    <row r="33" spans="1:35" x14ac:dyDescent="0.25">
      <c r="A33" s="257" t="s">
        <v>435</v>
      </c>
      <c r="B33" s="915" t="s">
        <v>1052</v>
      </c>
      <c r="C33" s="1090">
        <v>1949902</v>
      </c>
      <c r="D33" s="1090">
        <v>2645157</v>
      </c>
      <c r="E33" s="1090">
        <v>3949777</v>
      </c>
      <c r="F33" s="1090">
        <v>4993718</v>
      </c>
      <c r="G33" s="965">
        <v>5537000</v>
      </c>
      <c r="H33" s="965">
        <v>7684000</v>
      </c>
      <c r="I33" s="965">
        <v>7550000</v>
      </c>
      <c r="J33" s="965">
        <v>8222000</v>
      </c>
      <c r="K33" s="965">
        <v>9344000</v>
      </c>
      <c r="L33" s="965">
        <v>9956179</v>
      </c>
      <c r="M33" s="965">
        <f t="shared" si="16"/>
        <v>42756179</v>
      </c>
      <c r="N33" s="992"/>
      <c r="O33" s="992">
        <f>L33/$L$31</f>
        <v>0.17403363469895597</v>
      </c>
      <c r="P33" s="965">
        <v>10918344</v>
      </c>
      <c r="Q33" s="965">
        <v>12602909</v>
      </c>
      <c r="R33" s="967">
        <v>14241397</v>
      </c>
      <c r="S33" s="967">
        <v>15934000</v>
      </c>
      <c r="T33" s="967">
        <f t="shared" si="5"/>
        <v>53696650</v>
      </c>
      <c r="U33" s="967"/>
      <c r="V33" s="967">
        <v>17300000</v>
      </c>
      <c r="W33" s="967">
        <f t="shared" si="6"/>
        <v>70996650</v>
      </c>
      <c r="X33" s="967"/>
      <c r="Y33" s="992">
        <f t="shared" si="7"/>
        <v>1.9192611977144252</v>
      </c>
      <c r="Z33" s="992"/>
      <c r="AA33" s="968">
        <v>19354560.143074997</v>
      </c>
      <c r="AB33" s="968">
        <v>21870181.051513352</v>
      </c>
      <c r="AC33" s="968">
        <v>24733621.047940463</v>
      </c>
      <c r="AD33" s="968">
        <v>27968987.070854526</v>
      </c>
      <c r="AE33" s="968">
        <v>27968987.070854526</v>
      </c>
      <c r="AF33" s="968">
        <f t="shared" si="9"/>
        <v>121896336.38423787</v>
      </c>
      <c r="AG33" s="992"/>
      <c r="AH33" s="992"/>
      <c r="AI33" s="985">
        <f>AF33/W33-1</f>
        <v>0.71693081834477934</v>
      </c>
    </row>
    <row r="34" spans="1:35" s="65" customFormat="1" hidden="1" x14ac:dyDescent="0.25">
      <c r="A34" s="1091"/>
      <c r="B34" s="916" t="s">
        <v>1050</v>
      </c>
      <c r="C34" s="713"/>
      <c r="D34" s="713"/>
      <c r="E34" s="713"/>
      <c r="F34" s="713"/>
      <c r="G34" s="1035">
        <v>4504000</v>
      </c>
      <c r="H34" s="1035">
        <v>6402000</v>
      </c>
      <c r="I34" s="1035">
        <v>5954000</v>
      </c>
      <c r="J34" s="1035">
        <v>6517000</v>
      </c>
      <c r="K34" s="1035">
        <v>7470000</v>
      </c>
      <c r="L34" s="1035">
        <v>7929072</v>
      </c>
      <c r="M34" s="1035">
        <f t="shared" si="16"/>
        <v>34272072</v>
      </c>
      <c r="N34" s="994"/>
      <c r="O34" s="994">
        <f>L34/$L$31</f>
        <v>0.13859988053144889</v>
      </c>
      <c r="P34" s="1035">
        <v>8682916</v>
      </c>
      <c r="Q34" s="1035">
        <v>9979782</v>
      </c>
      <c r="R34" s="1038">
        <v>11226790</v>
      </c>
      <c r="S34" s="1038">
        <v>11226790</v>
      </c>
      <c r="T34" s="1038">
        <f t="shared" si="5"/>
        <v>41116278</v>
      </c>
      <c r="U34" s="1038"/>
      <c r="V34" s="1038">
        <v>12407642</v>
      </c>
      <c r="W34" s="1038">
        <f t="shared" si="6"/>
        <v>53523920</v>
      </c>
      <c r="X34" s="1038"/>
      <c r="Y34" s="994">
        <f t="shared" si="7"/>
        <v>1.4469187321594903</v>
      </c>
      <c r="Z34" s="994"/>
      <c r="AA34" s="969">
        <v>15294772.390274998</v>
      </c>
      <c r="AB34" s="969">
        <v>17183562.06968103</v>
      </c>
      <c r="AC34" s="969">
        <v>19323388.095313232</v>
      </c>
      <c r="AD34" s="969">
        <v>21779680.573048972</v>
      </c>
      <c r="AE34" s="969">
        <v>21779680.573048972</v>
      </c>
      <c r="AF34" s="969">
        <f t="shared" si="9"/>
        <v>95361083.701367199</v>
      </c>
      <c r="AG34" s="994"/>
      <c r="AH34" s="994"/>
      <c r="AI34" s="995"/>
    </row>
    <row r="35" spans="1:35" s="65" customFormat="1" hidden="1" x14ac:dyDescent="0.25">
      <c r="A35" s="1091"/>
      <c r="B35" s="916" t="s">
        <v>1364</v>
      </c>
      <c r="C35" s="713"/>
      <c r="D35" s="713"/>
      <c r="E35" s="713"/>
      <c r="F35" s="713"/>
      <c r="G35" s="1035">
        <v>1033000</v>
      </c>
      <c r="H35" s="1035">
        <v>1282000</v>
      </c>
      <c r="I35" s="1035">
        <v>1596000</v>
      </c>
      <c r="J35" s="1035">
        <v>1705000</v>
      </c>
      <c r="K35" s="1035">
        <v>1874000</v>
      </c>
      <c r="L35" s="1035">
        <v>2027108</v>
      </c>
      <c r="M35" s="1035">
        <f t="shared" si="16"/>
        <v>8484108</v>
      </c>
      <c r="N35" s="994"/>
      <c r="O35" s="994"/>
      <c r="P35" s="1035">
        <v>2235428</v>
      </c>
      <c r="Q35" s="1035">
        <v>2632127</v>
      </c>
      <c r="R35" s="1035">
        <v>3014608</v>
      </c>
      <c r="S35" s="1035">
        <v>3014608</v>
      </c>
      <c r="T35" s="1035">
        <f t="shared" si="5"/>
        <v>10896771</v>
      </c>
      <c r="U35" s="1035"/>
      <c r="V35" s="1035">
        <v>3231658</v>
      </c>
      <c r="W35" s="1035">
        <f t="shared" si="6"/>
        <v>14128429</v>
      </c>
      <c r="X35" s="1035"/>
      <c r="Y35" s="994">
        <f t="shared" si="7"/>
        <v>0.38193556406342016</v>
      </c>
      <c r="Z35" s="994"/>
      <c r="AA35" s="969">
        <v>4059787.7528000004</v>
      </c>
      <c r="AB35" s="969">
        <v>4686618.9818323208</v>
      </c>
      <c r="AC35" s="969">
        <v>5410232.9526272314</v>
      </c>
      <c r="AD35" s="969">
        <v>6189306.4978055544</v>
      </c>
      <c r="AE35" s="969">
        <v>6189306.4978055544</v>
      </c>
      <c r="AF35" s="969">
        <f t="shared" si="9"/>
        <v>26535252.68287066</v>
      </c>
      <c r="AG35" s="994"/>
      <c r="AH35" s="994"/>
      <c r="AI35" s="995"/>
    </row>
    <row r="36" spans="1:35" s="65" customFormat="1" x14ac:dyDescent="0.25">
      <c r="A36" s="257" t="s">
        <v>436</v>
      </c>
      <c r="B36" s="915" t="s">
        <v>1053</v>
      </c>
      <c r="C36" s="1090">
        <v>3283269</v>
      </c>
      <c r="D36" s="1090">
        <v>4080032</v>
      </c>
      <c r="E36" s="1090">
        <v>5212162</v>
      </c>
      <c r="F36" s="1090">
        <v>6175192</v>
      </c>
      <c r="G36" s="965">
        <v>12318000</v>
      </c>
      <c r="H36" s="965">
        <v>15662000</v>
      </c>
      <c r="I36" s="965">
        <v>17997000</v>
      </c>
      <c r="J36" s="965">
        <v>20265000</v>
      </c>
      <c r="K36" s="965">
        <v>22560000</v>
      </c>
      <c r="L36" s="965">
        <v>24439431</v>
      </c>
      <c r="M36" s="965">
        <f t="shared" si="16"/>
        <v>100923431</v>
      </c>
      <c r="N36" s="992"/>
      <c r="O36" s="992">
        <f>L36/$L$31</f>
        <v>0.42720033527966306</v>
      </c>
      <c r="P36" s="965">
        <v>27253990</v>
      </c>
      <c r="Q36" s="965">
        <v>30632149</v>
      </c>
      <c r="R36" s="967">
        <v>33997786</v>
      </c>
      <c r="S36" s="967">
        <v>37214000</v>
      </c>
      <c r="T36" s="967">
        <f t="shared" si="5"/>
        <v>129097925</v>
      </c>
      <c r="U36" s="967"/>
      <c r="V36" s="967">
        <v>41056000</v>
      </c>
      <c r="W36" s="967">
        <f t="shared" si="6"/>
        <v>170153925</v>
      </c>
      <c r="X36" s="967"/>
      <c r="Y36" s="992">
        <f t="shared" si="7"/>
        <v>4.5997920449952279</v>
      </c>
      <c r="Z36" s="992"/>
      <c r="AA36" s="969">
        <v>45472166.828947201</v>
      </c>
      <c r="AB36" s="969">
        <v>51150752.386760205</v>
      </c>
      <c r="AC36" s="969">
        <v>57584424.718697324</v>
      </c>
      <c r="AD36" s="969">
        <v>64879104.399336763</v>
      </c>
      <c r="AE36" s="969">
        <v>64879104.399336763</v>
      </c>
      <c r="AF36" s="969">
        <f t="shared" si="9"/>
        <v>283965552.73307824</v>
      </c>
      <c r="AG36" s="992"/>
      <c r="AH36" s="992"/>
      <c r="AI36" s="985">
        <f>AF36/W36-1</f>
        <v>0.66887453658843454</v>
      </c>
    </row>
    <row r="37" spans="1:35" s="65" customFormat="1" hidden="1" x14ac:dyDescent="0.25">
      <c r="A37" s="257"/>
      <c r="B37" s="915" t="s">
        <v>1365</v>
      </c>
      <c r="C37" s="1090"/>
      <c r="D37" s="1090"/>
      <c r="E37" s="1090"/>
      <c r="F37" s="1090"/>
      <c r="G37" s="965">
        <v>10250000</v>
      </c>
      <c r="H37" s="965">
        <v>13064000</v>
      </c>
      <c r="I37" s="965">
        <v>15397000</v>
      </c>
      <c r="J37" s="965">
        <v>17597000</v>
      </c>
      <c r="K37" s="965">
        <v>19550000</v>
      </c>
      <c r="L37" s="965">
        <v>21355327</v>
      </c>
      <c r="M37" s="965">
        <f t="shared" si="16"/>
        <v>86963327</v>
      </c>
      <c r="N37" s="992"/>
      <c r="O37" s="992"/>
      <c r="P37" s="965">
        <v>23812618</v>
      </c>
      <c r="Q37" s="965">
        <v>26587715</v>
      </c>
      <c r="R37" s="965">
        <v>29244625</v>
      </c>
      <c r="S37" s="965">
        <v>29244625</v>
      </c>
      <c r="T37" s="965">
        <f t="shared" si="5"/>
        <v>108889583</v>
      </c>
      <c r="U37" s="965"/>
      <c r="V37" s="967">
        <v>31342234</v>
      </c>
      <c r="W37" s="967">
        <f t="shared" si="6"/>
        <v>140231817</v>
      </c>
      <c r="X37" s="965"/>
      <c r="Y37" s="992">
        <f t="shared" si="7"/>
        <v>3.7909040081903878</v>
      </c>
      <c r="Z37" s="992"/>
      <c r="AA37" s="969">
        <v>39218293.328947201</v>
      </c>
      <c r="AB37" s="969">
        <v>44131561.117197707</v>
      </c>
      <c r="AC37" s="969">
        <v>49706259.917522117</v>
      </c>
      <c r="AD37" s="969">
        <v>56036849.180617742</v>
      </c>
      <c r="AE37" s="969">
        <v>56036849.180617742</v>
      </c>
      <c r="AF37" s="969">
        <f t="shared" si="9"/>
        <v>245129812.72490251</v>
      </c>
      <c r="AG37" s="992"/>
      <c r="AH37" s="992"/>
      <c r="AI37" s="992"/>
    </row>
    <row r="38" spans="1:35" hidden="1" x14ac:dyDescent="0.25">
      <c r="A38" s="256"/>
      <c r="B38" s="915" t="s">
        <v>1366</v>
      </c>
      <c r="C38" s="478"/>
      <c r="D38" s="478"/>
      <c r="E38" s="478"/>
      <c r="F38" s="478"/>
      <c r="G38" s="1039">
        <v>2068000</v>
      </c>
      <c r="H38" s="1039">
        <v>2598000</v>
      </c>
      <c r="I38" s="1039">
        <v>2600000</v>
      </c>
      <c r="J38" s="1039">
        <v>2668000</v>
      </c>
      <c r="K38" s="1039">
        <v>3010000</v>
      </c>
      <c r="L38" s="1039">
        <v>3084104</v>
      </c>
      <c r="M38" s="1039">
        <f t="shared" si="16"/>
        <v>13960104</v>
      </c>
      <c r="N38" s="992"/>
      <c r="O38" s="992"/>
      <c r="P38" s="1039">
        <v>3441372</v>
      </c>
      <c r="Q38" s="1039">
        <v>4044434</v>
      </c>
      <c r="R38" s="1042">
        <v>4753161</v>
      </c>
      <c r="S38" s="1042">
        <v>4753161</v>
      </c>
      <c r="T38" s="1042">
        <f t="shared" si="5"/>
        <v>16992128</v>
      </c>
      <c r="U38" s="1042"/>
      <c r="V38" s="1042">
        <v>5215166</v>
      </c>
      <c r="W38" s="1042">
        <f t="shared" si="6"/>
        <v>22207294</v>
      </c>
      <c r="X38" s="1042"/>
      <c r="Y38" s="992">
        <f t="shared" si="7"/>
        <v>0.60033251823059774</v>
      </c>
      <c r="Z38" s="992"/>
      <c r="AA38" s="1043">
        <v>6253873.4999999991</v>
      </c>
      <c r="AB38" s="1043">
        <v>7019191.2695624987</v>
      </c>
      <c r="AC38" s="1043">
        <v>7878164.8011752078</v>
      </c>
      <c r="AD38" s="1043">
        <v>8842255.2187190223</v>
      </c>
      <c r="AE38" s="1043">
        <v>8842255.2187190223</v>
      </c>
      <c r="AF38" s="1043">
        <f t="shared" si="9"/>
        <v>38835740.008175746</v>
      </c>
      <c r="AG38" s="992"/>
      <c r="AH38" s="992"/>
      <c r="AI38" s="992"/>
    </row>
    <row r="39" spans="1:35" ht="31.5" x14ac:dyDescent="0.25">
      <c r="A39" s="1085">
        <v>2</v>
      </c>
      <c r="B39" s="825" t="s">
        <v>862</v>
      </c>
      <c r="C39" s="1090"/>
      <c r="D39" s="1090"/>
      <c r="E39" s="1090"/>
      <c r="F39" s="1090"/>
      <c r="G39" s="219"/>
      <c r="H39" s="992">
        <f>H31/G31-1</f>
        <v>0.37692739459173907</v>
      </c>
      <c r="I39" s="992">
        <f>I31/H31-1</f>
        <v>5.5727405702227673E-2</v>
      </c>
      <c r="J39" s="992">
        <f>J31/I31-1</f>
        <v>9.7417493810616262E-2</v>
      </c>
      <c r="K39" s="992">
        <f>K31/J31-1</f>
        <v>0.10671413196456658</v>
      </c>
      <c r="L39" s="992">
        <f>L31/K31-1</f>
        <v>6.9875093506882147E-2</v>
      </c>
      <c r="M39" s="219"/>
      <c r="N39" s="992">
        <f>(H39*I39*J39*K39*L39)^(1/5)</f>
        <v>0.10881820651005422</v>
      </c>
      <c r="O39" s="992"/>
      <c r="P39" s="992">
        <f>P31/L31-1</f>
        <v>8.7622122227902999E-2</v>
      </c>
      <c r="Q39" s="992">
        <f>Q31/P31-1</f>
        <v>9.7515104165905031E-2</v>
      </c>
      <c r="R39" s="992">
        <f>R31/Q31-1</f>
        <v>0.11110652273980715</v>
      </c>
      <c r="S39" s="992">
        <f>S31/R31-1</f>
        <v>8.4442117837710828E-2</v>
      </c>
      <c r="T39" s="992"/>
      <c r="U39" s="992">
        <f>(P39*Q39*R39*S39)^(1/4)</f>
        <v>9.4622862575504604E-2</v>
      </c>
      <c r="V39" s="992">
        <f>V31/R31-1</f>
        <v>0.14100818336472676</v>
      </c>
      <c r="W39" s="992">
        <f t="shared" si="6"/>
        <v>0.14100818336472676</v>
      </c>
      <c r="X39" s="992"/>
      <c r="Y39" s="992">
        <f t="shared" si="7"/>
        <v>3.8118916159018879E-9</v>
      </c>
      <c r="Z39" s="992"/>
      <c r="AA39" s="996">
        <f>AA31/V31-1</f>
        <v>7.0000000000000062E-2</v>
      </c>
      <c r="AB39" s="996">
        <f>AB31/AA31-1</f>
        <v>7.0000000000000062E-2</v>
      </c>
      <c r="AC39" s="996">
        <f>AC31/AB31-1</f>
        <v>7.0000000000000062E-2</v>
      </c>
      <c r="AD39" s="996">
        <f>AD31/AC31-1</f>
        <v>7.0000000000000062E-2</v>
      </c>
      <c r="AE39" s="996">
        <f>AE31/AD31-1</f>
        <v>7.0000000000000062E-2</v>
      </c>
      <c r="AF39" s="996">
        <f t="shared" si="9"/>
        <v>0.35000000000000031</v>
      </c>
      <c r="AG39" s="992">
        <f>(AB39*AC39*AD39*AE39*AA39)^(1/5)</f>
        <v>7.0000000000000048E-2</v>
      </c>
      <c r="AH39" s="992"/>
      <c r="AI39" s="992"/>
    </row>
    <row r="40" spans="1:35" s="61" customFormat="1" x14ac:dyDescent="0.25">
      <c r="A40" s="1085">
        <v>3</v>
      </c>
      <c r="B40" s="1086" t="s">
        <v>1080</v>
      </c>
      <c r="C40" s="832">
        <f t="shared" ref="C40:H40" si="17">C7/C31</f>
        <v>0.12795410165097923</v>
      </c>
      <c r="D40" s="832">
        <f t="shared" si="17"/>
        <v>0.16213708807534927</v>
      </c>
      <c r="E40" s="832">
        <f t="shared" si="17"/>
        <v>0.12142265774343819</v>
      </c>
      <c r="F40" s="832">
        <f t="shared" si="17"/>
        <v>0.12636346554521433</v>
      </c>
      <c r="G40" s="985">
        <f t="shared" si="17"/>
        <v>0.13109611834324961</v>
      </c>
      <c r="H40" s="985">
        <f t="shared" si="17"/>
        <v>9.9664439487974474E-2</v>
      </c>
      <c r="I40" s="985">
        <f>I7/I31</f>
        <v>0.10263370758003042</v>
      </c>
      <c r="J40" s="985">
        <f>J7/J31</f>
        <v>9.4858485299631604E-2</v>
      </c>
      <c r="K40" s="985">
        <f>K7/K31</f>
        <v>7.6907869130460799E-2</v>
      </c>
      <c r="L40" s="985">
        <f>L7/L31</f>
        <v>9.0458053849855974E-2</v>
      </c>
      <c r="M40" s="985"/>
      <c r="N40" s="985">
        <f>(H40*I40*J40*K40*L40)^(1/5)</f>
        <v>9.2441054321229982E-2</v>
      </c>
      <c r="O40" s="985"/>
      <c r="P40" s="985">
        <f>P7/P31</f>
        <v>0.10181081880627625</v>
      </c>
      <c r="Q40" s="985">
        <f>Q7/Q31</f>
        <v>0.10033883560081369</v>
      </c>
      <c r="R40" s="985">
        <f>R7/R31</f>
        <v>9.204332127680101E-2</v>
      </c>
      <c r="S40" s="985">
        <f>S7/S31</f>
        <v>0.10659568805221005</v>
      </c>
      <c r="T40" s="985"/>
      <c r="U40" s="985">
        <f>(P40*Q40*R40*S40)^(1/4)</f>
        <v>0.10005728777478259</v>
      </c>
      <c r="V40" s="985">
        <f>V7/V31</f>
        <v>9.298296274906151E-2</v>
      </c>
      <c r="W40" s="985"/>
      <c r="X40" s="985">
        <f>(P40*Q40*R40*V40*S40)^(1/5)</f>
        <v>9.8600622580066036E-2</v>
      </c>
      <c r="Y40" s="985">
        <f t="shared" si="7"/>
        <v>0</v>
      </c>
      <c r="Z40" s="985"/>
      <c r="AA40" s="985">
        <f>AA7/AA31</f>
        <v>8.7881233115903498E-2</v>
      </c>
      <c r="AB40" s="985">
        <f>AB7/AB31</f>
        <v>8.9356590428135554E-2</v>
      </c>
      <c r="AC40" s="985">
        <f>AC7/AC31</f>
        <v>9.0054415503142096E-2</v>
      </c>
      <c r="AD40" s="985">
        <f>AD7/AD31</f>
        <v>9.0419494898292291E-2</v>
      </c>
      <c r="AE40" s="985">
        <f>AE7/AE31</f>
        <v>9.1001989988963722E-2</v>
      </c>
      <c r="AF40" s="985">
        <f t="shared" si="9"/>
        <v>0.44871372393443709</v>
      </c>
      <c r="AG40" s="985"/>
      <c r="AH40" s="985"/>
      <c r="AI40" s="985"/>
    </row>
    <row r="41" spans="1:35" s="61" customFormat="1" x14ac:dyDescent="0.25">
      <c r="A41" s="1085">
        <v>4</v>
      </c>
      <c r="B41" s="1086" t="s">
        <v>1170</v>
      </c>
      <c r="C41" s="832"/>
      <c r="D41" s="832"/>
      <c r="E41" s="832"/>
      <c r="F41" s="832"/>
      <c r="G41" s="985"/>
      <c r="H41" s="985">
        <f>H7/G7</f>
        <v>1.046794510256291</v>
      </c>
      <c r="I41" s="985">
        <f>I7/H7</f>
        <v>1.0871803262801722</v>
      </c>
      <c r="J41" s="985">
        <f>J7/I7</f>
        <v>1.0142804314364227</v>
      </c>
      <c r="K41" s="985">
        <f>K7/J7</f>
        <v>0.89728425830443836</v>
      </c>
      <c r="L41" s="985">
        <f>L7/K7</f>
        <v>1.2583734267412459</v>
      </c>
      <c r="M41" s="985"/>
      <c r="N41" s="998">
        <f>(H41*I41*J41*K41*L41)^(1/5)-1</f>
        <v>5.441634872072143E-2</v>
      </c>
      <c r="O41" s="985"/>
      <c r="P41" s="985">
        <f>P7/L7</f>
        <v>1.2241220555069345</v>
      </c>
      <c r="Q41" s="985">
        <f>Q7/P7</f>
        <v>1.0816472050564037</v>
      </c>
      <c r="R41" s="985">
        <f>R7/Q7</f>
        <v>1.0192457788942084</v>
      </c>
      <c r="S41" s="985">
        <f>S7/R7</f>
        <v>1.2558961595494074</v>
      </c>
      <c r="T41" s="985"/>
      <c r="U41" s="985">
        <f>(P41*Q41*R41*S41)^(1/4)-1</f>
        <v>0.14100028344364191</v>
      </c>
      <c r="V41" s="985">
        <f>V7/S7</f>
        <v>0.91779592619461403</v>
      </c>
      <c r="W41" s="985"/>
      <c r="X41" s="985">
        <f>(P41*Q41*R41*V41*S41)^(1/5)-1</f>
        <v>9.2390279519624974E-2</v>
      </c>
      <c r="Y41" s="985">
        <f t="shared" si="7"/>
        <v>0</v>
      </c>
      <c r="Z41" s="985"/>
      <c r="AA41" s="985">
        <f>AA7/V7</f>
        <v>1.0112919254658386</v>
      </c>
      <c r="AB41" s="985">
        <f>AB7/AA7</f>
        <v>1.0879632473068088</v>
      </c>
      <c r="AC41" s="985">
        <f>AC7/AB7</f>
        <v>1.0783561025177826</v>
      </c>
      <c r="AD41" s="985">
        <f>AD7/AC7</f>
        <v>1.0743377656789865</v>
      </c>
      <c r="AE41" s="985">
        <f>AE7/AD7</f>
        <v>1.0768930903420719</v>
      </c>
      <c r="AF41" s="985">
        <f t="shared" si="9"/>
        <v>5.3288421313114878</v>
      </c>
      <c r="AG41" s="998">
        <f>(AB41*AC41*AD41*AE41*AA41)^(1/5)-1</f>
        <v>6.5401440214975404E-2</v>
      </c>
      <c r="AH41" s="985"/>
      <c r="AI41" s="985"/>
    </row>
    <row r="42" spans="1:35" s="61" customFormat="1" ht="31.5" x14ac:dyDescent="0.25">
      <c r="A42" s="1085">
        <v>5</v>
      </c>
      <c r="B42" s="825" t="s">
        <v>1171</v>
      </c>
      <c r="C42" s="832"/>
      <c r="D42" s="832"/>
      <c r="E42" s="832"/>
      <c r="F42" s="832"/>
      <c r="G42" s="985"/>
      <c r="H42" s="985">
        <f>H9/G9</f>
        <v>1.1107089890644151</v>
      </c>
      <c r="I42" s="985">
        <f>I9/H9</f>
        <v>1.0605983880860459</v>
      </c>
      <c r="J42" s="985">
        <f>J9/I9</f>
        <v>0.99666431137341549</v>
      </c>
      <c r="K42" s="985">
        <f>K9/J9</f>
        <v>0.91861127607160653</v>
      </c>
      <c r="L42" s="985">
        <f>L9/K9</f>
        <v>1.2729331771985084</v>
      </c>
      <c r="M42" s="985"/>
      <c r="N42" s="998">
        <f>(H42*I42*J42*K42*L42)^(1/5)-1</f>
        <v>6.5436343162004418E-2</v>
      </c>
      <c r="O42" s="985"/>
      <c r="P42" s="985">
        <f>P9/L9</f>
        <v>1.3321136571078873</v>
      </c>
      <c r="Q42" s="985">
        <f>Q9/P9</f>
        <v>1.0343939313663881</v>
      </c>
      <c r="R42" s="985">
        <f>R9/Q9</f>
        <v>1.0146586953378618</v>
      </c>
      <c r="S42" s="985">
        <f>S9/R9</f>
        <v>1.3113079909945025</v>
      </c>
      <c r="T42" s="985">
        <f t="shared" si="5"/>
        <v>4.6924742748066395</v>
      </c>
      <c r="U42" s="985">
        <f>(P42*Q42*R42*S42)^(1/4)-1</f>
        <v>0.16362483975188691</v>
      </c>
      <c r="V42" s="985">
        <f>V9/S9</f>
        <v>0.87939961728086846</v>
      </c>
      <c r="W42" s="985"/>
      <c r="X42" s="985">
        <f>(P42*Q42*R42*V42*S42)^(1/5)-1</f>
        <v>0.10024053524440757</v>
      </c>
      <c r="Y42" s="985">
        <f t="shared" si="7"/>
        <v>0</v>
      </c>
      <c r="Z42" s="985"/>
      <c r="AA42" s="985">
        <f>AA9/V9</f>
        <v>1.0686922792759512</v>
      </c>
      <c r="AB42" s="985">
        <f>AB9/AA9</f>
        <v>1.1044089942791959</v>
      </c>
      <c r="AC42" s="985">
        <f>AC9/AB9</f>
        <v>1.098904538341158</v>
      </c>
      <c r="AD42" s="985">
        <f>AD9/AC9</f>
        <v>1.099401879806323</v>
      </c>
      <c r="AE42" s="985">
        <f>AE9/AD9</f>
        <v>1.1006476683937825</v>
      </c>
      <c r="AF42" s="985">
        <f t="shared" si="9"/>
        <v>5.4720553600964106</v>
      </c>
      <c r="AG42" s="998">
        <f>(AB42*AC42*AD42*AE42*AA42)^(1/5)-1</f>
        <v>9.4332943657184698E-2</v>
      </c>
      <c r="AH42" s="985"/>
      <c r="AI42" s="985"/>
    </row>
    <row r="43" spans="1:35" s="61" customFormat="1" x14ac:dyDescent="0.25">
      <c r="A43" s="1085">
        <v>6</v>
      </c>
      <c r="B43" s="552" t="s">
        <v>408</v>
      </c>
      <c r="C43" s="997">
        <f t="shared" ref="C43:L43" si="18">C7</f>
        <v>1553480</v>
      </c>
      <c r="D43" s="997">
        <f t="shared" si="18"/>
        <v>2543746.399896</v>
      </c>
      <c r="E43" s="997">
        <f t="shared" si="18"/>
        <v>2504230</v>
      </c>
      <c r="F43" s="997">
        <f t="shared" si="18"/>
        <v>2936820</v>
      </c>
      <c r="G43" s="997">
        <f t="shared" si="18"/>
        <v>3970508.1362620005</v>
      </c>
      <c r="H43" s="997">
        <f t="shared" si="18"/>
        <v>4156306.1199669996</v>
      </c>
      <c r="I43" s="997">
        <f t="shared" si="18"/>
        <v>4518654.2436259994</v>
      </c>
      <c r="J43" s="997">
        <f t="shared" si="18"/>
        <v>4583182.5757370004</v>
      </c>
      <c r="K43" s="997">
        <f t="shared" si="18"/>
        <v>4112417.5781439999</v>
      </c>
      <c r="L43" s="997">
        <f t="shared" si="18"/>
        <v>5174957</v>
      </c>
      <c r="M43" s="997">
        <f>SUM(H43:L43)</f>
        <v>22545517.517473999</v>
      </c>
      <c r="N43" s="985"/>
      <c r="O43" s="985"/>
      <c r="P43" s="225">
        <f>P7</f>
        <v>6334779</v>
      </c>
      <c r="Q43" s="225">
        <f>Q7</f>
        <v>6851996</v>
      </c>
      <c r="R43" s="225">
        <f>R7</f>
        <v>6983868</v>
      </c>
      <c r="S43" s="225">
        <f>S7</f>
        <v>8771013</v>
      </c>
      <c r="T43" s="225">
        <f t="shared" si="5"/>
        <v>28941656</v>
      </c>
      <c r="U43" s="225"/>
      <c r="V43" s="225">
        <f>V7</f>
        <v>8050000</v>
      </c>
      <c r="W43" s="225">
        <f t="shared" si="6"/>
        <v>36991656</v>
      </c>
      <c r="X43" s="225"/>
      <c r="Y43" s="985">
        <f t="shared" si="7"/>
        <v>1</v>
      </c>
      <c r="Z43" s="985"/>
      <c r="AA43" s="225">
        <f>AA7</f>
        <v>8140900</v>
      </c>
      <c r="AB43" s="225">
        <f>AB7</f>
        <v>8857000</v>
      </c>
      <c r="AC43" s="225">
        <f>AC7</f>
        <v>9551000</v>
      </c>
      <c r="AD43" s="225">
        <f>AD7</f>
        <v>10261000</v>
      </c>
      <c r="AE43" s="225">
        <f>AE7</f>
        <v>11050000</v>
      </c>
      <c r="AF43" s="225">
        <f t="shared" si="9"/>
        <v>47859900</v>
      </c>
      <c r="AG43" s="985"/>
      <c r="AH43" s="985"/>
      <c r="AI43" s="985"/>
    </row>
    <row r="44" spans="1:35" s="760" customFormat="1" x14ac:dyDescent="0.25">
      <c r="A44" s="1091" t="s">
        <v>564</v>
      </c>
      <c r="B44" s="1092" t="s">
        <v>1173</v>
      </c>
      <c r="C44" s="999"/>
      <c r="D44" s="999"/>
      <c r="E44" s="999"/>
      <c r="F44" s="999"/>
      <c r="G44" s="998"/>
      <c r="H44" s="998">
        <f>H43/G43</f>
        <v>1.046794510256291</v>
      </c>
      <c r="I44" s="998">
        <f>I43/H43</f>
        <v>1.0871803262801722</v>
      </c>
      <c r="J44" s="998">
        <f>J43/I43</f>
        <v>1.0142804314364227</v>
      </c>
      <c r="K44" s="998">
        <f>K43/J43</f>
        <v>0.89728425830443836</v>
      </c>
      <c r="L44" s="998">
        <f>L43/K43</f>
        <v>1.2583734267412459</v>
      </c>
      <c r="M44" s="998"/>
      <c r="N44" s="998">
        <f>(H44*I44*J44*K44*L44)^(1/5)-1</f>
        <v>5.441634872072143E-2</v>
      </c>
      <c r="O44" s="998"/>
      <c r="P44" s="998">
        <f>P43/L43</f>
        <v>1.2241220555069345</v>
      </c>
      <c r="Q44" s="998">
        <f>Q43/P43</f>
        <v>1.0816472050564037</v>
      </c>
      <c r="R44" s="998">
        <f>R43/Q43</f>
        <v>1.0192457788942084</v>
      </c>
      <c r="S44" s="998">
        <f>S43/R43</f>
        <v>1.2558961595494074</v>
      </c>
      <c r="T44" s="998"/>
      <c r="U44" s="998">
        <f>(P44*Q44*R44*S44)^(1/4)-1</f>
        <v>0.14100028344364191</v>
      </c>
      <c r="V44" s="998">
        <f>V43/S43</f>
        <v>0.91779592619461403</v>
      </c>
      <c r="W44" s="998"/>
      <c r="X44" s="998">
        <f>(P44*Q44*R44*V44*S44)^(1/5)-1</f>
        <v>9.2390279519624974E-2</v>
      </c>
      <c r="Y44" s="998">
        <f t="shared" si="7"/>
        <v>0</v>
      </c>
      <c r="Z44" s="998"/>
      <c r="AA44" s="998">
        <f>AA43/V43</f>
        <v>1.0112919254658386</v>
      </c>
      <c r="AB44" s="998">
        <f>AB43/AA43</f>
        <v>1.0879632473068088</v>
      </c>
      <c r="AC44" s="998">
        <f>AC43/AB43</f>
        <v>1.0783561025177826</v>
      </c>
      <c r="AD44" s="998">
        <f>AD43/AC43</f>
        <v>1.0743377656789865</v>
      </c>
      <c r="AE44" s="998">
        <f>AE43/AD43</f>
        <v>1.0768930903420719</v>
      </c>
      <c r="AF44" s="998">
        <f t="shared" si="9"/>
        <v>5.3288421313114878</v>
      </c>
      <c r="AG44" s="998">
        <f>(AB44*AC44*AD44*AE44*AA44)^(1/5)-1</f>
        <v>6.5401440214975404E-2</v>
      </c>
      <c r="AH44" s="998"/>
      <c r="AI44" s="985"/>
    </row>
    <row r="45" spans="1:35" s="61" customFormat="1" x14ac:dyDescent="0.25">
      <c r="A45" s="1085" t="s">
        <v>434</v>
      </c>
      <c r="B45" s="825" t="s">
        <v>410</v>
      </c>
      <c r="C45" s="225">
        <f t="shared" ref="C45:L45" si="19">C8</f>
        <v>1322540</v>
      </c>
      <c r="D45" s="225">
        <f t="shared" si="19"/>
        <v>2238026.399896</v>
      </c>
      <c r="E45" s="225">
        <f t="shared" si="19"/>
        <v>2175030</v>
      </c>
      <c r="F45" s="225">
        <f t="shared" si="19"/>
        <v>2627990</v>
      </c>
      <c r="G45" s="225">
        <f t="shared" si="19"/>
        <v>3663943.1287150006</v>
      </c>
      <c r="H45" s="225">
        <f t="shared" si="19"/>
        <v>3798739.5013269996</v>
      </c>
      <c r="I45" s="225">
        <f t="shared" si="19"/>
        <v>4099702.3977709995</v>
      </c>
      <c r="J45" s="225">
        <f t="shared" si="19"/>
        <v>4126341.428791</v>
      </c>
      <c r="K45" s="225">
        <f t="shared" si="19"/>
        <v>3972338.7808679999</v>
      </c>
      <c r="L45" s="225">
        <f t="shared" si="19"/>
        <v>4931116</v>
      </c>
      <c r="M45" s="225">
        <f>SUM(H45:L45)</f>
        <v>20928238.108756997</v>
      </c>
      <c r="N45" s="985"/>
      <c r="O45" s="985"/>
      <c r="P45" s="225">
        <f>P8</f>
        <v>6237814</v>
      </c>
      <c r="Q45" s="225">
        <f>Q8</f>
        <v>6744580</v>
      </c>
      <c r="R45" s="225">
        <f>R8</f>
        <v>6909606</v>
      </c>
      <c r="S45" s="225">
        <f>S8</f>
        <v>8644723</v>
      </c>
      <c r="T45" s="225">
        <f t="shared" si="5"/>
        <v>28536723</v>
      </c>
      <c r="U45" s="225"/>
      <c r="V45" s="225">
        <f>V8</f>
        <v>7964000</v>
      </c>
      <c r="W45" s="225">
        <f t="shared" si="6"/>
        <v>36500723</v>
      </c>
      <c r="X45" s="225"/>
      <c r="Y45" s="985">
        <f t="shared" si="7"/>
        <v>0.98672854764869133</v>
      </c>
      <c r="Z45" s="985"/>
      <c r="AA45" s="225">
        <f>AA8</f>
        <v>8035900</v>
      </c>
      <c r="AB45" s="225">
        <f>AB8</f>
        <v>8740000</v>
      </c>
      <c r="AC45" s="225">
        <f>AC8</f>
        <v>9422000</v>
      </c>
      <c r="AD45" s="225">
        <f>AD8</f>
        <v>10120000</v>
      </c>
      <c r="AE45" s="225">
        <f>AE8</f>
        <v>10897000</v>
      </c>
      <c r="AF45" s="225">
        <f t="shared" si="9"/>
        <v>47214900</v>
      </c>
      <c r="AG45" s="985"/>
      <c r="AH45" s="985"/>
      <c r="AI45" s="985"/>
    </row>
    <row r="46" spans="1:35" s="760" customFormat="1" x14ac:dyDescent="0.25">
      <c r="A46" s="1091" t="s">
        <v>564</v>
      </c>
      <c r="B46" s="1092" t="s">
        <v>1173</v>
      </c>
      <c r="C46" s="999"/>
      <c r="D46" s="999"/>
      <c r="E46" s="999"/>
      <c r="F46" s="999"/>
      <c r="G46" s="998"/>
      <c r="H46" s="998">
        <f>H45/G45</f>
        <v>1.0367899740461513</v>
      </c>
      <c r="I46" s="998">
        <f>I45/H45</f>
        <v>1.0792270426384503</v>
      </c>
      <c r="J46" s="998">
        <f>J45/I45</f>
        <v>1.0064977962874779</v>
      </c>
      <c r="K46" s="998">
        <f>K45/J45</f>
        <v>0.96267816161588882</v>
      </c>
      <c r="L46" s="998">
        <f>L45/K45</f>
        <v>1.2413634063010348</v>
      </c>
      <c r="M46" s="998"/>
      <c r="N46" s="998">
        <f>(H46*I46*J46*K46*L46)^(1/5)-1</f>
        <v>6.1205028008409545E-2</v>
      </c>
      <c r="O46" s="998"/>
      <c r="P46" s="998">
        <f>P45/L45</f>
        <v>1.2649903186215858</v>
      </c>
      <c r="Q46" s="998">
        <f>Q45/P45</f>
        <v>1.0812409603749005</v>
      </c>
      <c r="R46" s="998">
        <f>R45/Q45</f>
        <v>1.0244679431484243</v>
      </c>
      <c r="S46" s="998">
        <f>S45/R45</f>
        <v>1.2511166338572706</v>
      </c>
      <c r="T46" s="998"/>
      <c r="U46" s="998">
        <f>(P46*Q46*R46*S46)^(1/4)-1</f>
        <v>0.15067178920492719</v>
      </c>
      <c r="V46" s="998">
        <f>V45/S45</f>
        <v>0.92125566082337162</v>
      </c>
      <c r="W46" s="998"/>
      <c r="X46" s="998">
        <f>(P46*Q46*R46*V46*S46)^(1/5)-1</f>
        <v>0.10061950861144742</v>
      </c>
      <c r="Y46" s="998">
        <f t="shared" si="7"/>
        <v>0</v>
      </c>
      <c r="Z46" s="998"/>
      <c r="AA46" s="998">
        <f>AA45/V45</f>
        <v>1.0090281265695631</v>
      </c>
      <c r="AB46" s="998">
        <f>AB45/AA45</f>
        <v>1.0876193083537624</v>
      </c>
      <c r="AC46" s="998">
        <f>AC45/AB45</f>
        <v>1.0780320366132723</v>
      </c>
      <c r="AD46" s="998">
        <f>AD45/AC45</f>
        <v>1.0740819358947145</v>
      </c>
      <c r="AE46" s="998">
        <f>AE45/AD45</f>
        <v>1.0767786561264823</v>
      </c>
      <c r="AF46" s="998">
        <f t="shared" si="9"/>
        <v>5.3255400635577947</v>
      </c>
      <c r="AG46" s="998">
        <f>(AB46*AC46*AD46*AE46*AA46)^(1/5)-1</f>
        <v>6.4719332806619567E-2</v>
      </c>
      <c r="AH46" s="998"/>
      <c r="AI46" s="985"/>
    </row>
    <row r="47" spans="1:35" s="760" customFormat="1" x14ac:dyDescent="0.25">
      <c r="A47" s="1091" t="s">
        <v>564</v>
      </c>
      <c r="B47" s="1092" t="s">
        <v>1178</v>
      </c>
      <c r="C47" s="999">
        <f t="shared" ref="C47:L47" si="20">C45/C43</f>
        <v>0.85134021680356364</v>
      </c>
      <c r="D47" s="999">
        <f t="shared" si="20"/>
        <v>0.87981506332058135</v>
      </c>
      <c r="E47" s="999">
        <f t="shared" si="20"/>
        <v>0.86854242621484445</v>
      </c>
      <c r="F47" s="999">
        <f t="shared" si="20"/>
        <v>0.89484204002969203</v>
      </c>
      <c r="G47" s="998">
        <f t="shared" si="20"/>
        <v>0.92278947756152618</v>
      </c>
      <c r="H47" s="998">
        <f t="shared" si="20"/>
        <v>0.91397009548400665</v>
      </c>
      <c r="I47" s="998">
        <f t="shared" si="20"/>
        <v>0.90728393382919881</v>
      </c>
      <c r="J47" s="998">
        <f t="shared" si="20"/>
        <v>0.90032228928332891</v>
      </c>
      <c r="K47" s="998">
        <f t="shared" si="20"/>
        <v>0.96593760370530757</v>
      </c>
      <c r="L47" s="998">
        <f t="shared" si="20"/>
        <v>0.95288057465984743</v>
      </c>
      <c r="M47" s="998"/>
      <c r="N47" s="998">
        <f>M45/M43</f>
        <v>0.92826603303900546</v>
      </c>
      <c r="O47" s="998"/>
      <c r="P47" s="998">
        <f>P45/P43</f>
        <v>0.98469323081357696</v>
      </c>
      <c r="Q47" s="998">
        <f>Q45/Q43</f>
        <v>0.98432340007203745</v>
      </c>
      <c r="R47" s="998">
        <f>R45/R43</f>
        <v>0.98936663751376741</v>
      </c>
      <c r="S47" s="998">
        <f>S45/S43</f>
        <v>0.98560143509079279</v>
      </c>
      <c r="T47" s="998"/>
      <c r="U47" s="998">
        <f>(P47*Q47*R47*S47)^(1/4)</f>
        <v>0.98599414866567836</v>
      </c>
      <c r="V47" s="998">
        <f>V45/V43</f>
        <v>0.98931677018633546</v>
      </c>
      <c r="W47" s="998"/>
      <c r="X47" s="998"/>
      <c r="Y47" s="998">
        <f t="shared" si="7"/>
        <v>0</v>
      </c>
      <c r="Z47" s="998"/>
      <c r="AA47" s="998">
        <f>AA45/AA43</f>
        <v>0.98710216315149435</v>
      </c>
      <c r="AB47" s="998">
        <f>AB45/AB43</f>
        <v>0.98679010951789548</v>
      </c>
      <c r="AC47" s="998">
        <f>AC45/AC43</f>
        <v>0.98649356088367712</v>
      </c>
      <c r="AD47" s="998">
        <f>AD45/AD43</f>
        <v>0.98625864925445861</v>
      </c>
      <c r="AE47" s="998">
        <f>AE45/AE43</f>
        <v>0.98615384615384616</v>
      </c>
      <c r="AF47" s="998">
        <f t="shared" si="9"/>
        <v>4.9327983289613719</v>
      </c>
      <c r="AG47" s="998"/>
      <c r="AH47" s="998"/>
      <c r="AI47" s="998"/>
    </row>
    <row r="48" spans="1:35" s="61" customFormat="1" x14ac:dyDescent="0.25">
      <c r="A48" s="1085"/>
      <c r="B48" s="26" t="s">
        <v>979</v>
      </c>
      <c r="C48" s="225">
        <f t="shared" ref="C48:L48" si="21">C9</f>
        <v>781630</v>
      </c>
      <c r="D48" s="225">
        <f t="shared" si="21"/>
        <v>1012420</v>
      </c>
      <c r="E48" s="225">
        <f t="shared" si="21"/>
        <v>1278230</v>
      </c>
      <c r="F48" s="225">
        <f t="shared" si="21"/>
        <v>1827240</v>
      </c>
      <c r="G48" s="225">
        <f t="shared" si="21"/>
        <v>2445921.4765880005</v>
      </c>
      <c r="H48" s="225">
        <f t="shared" si="21"/>
        <v>2716706.9705919996</v>
      </c>
      <c r="I48" s="225">
        <f t="shared" si="21"/>
        <v>2881335.0339119998</v>
      </c>
      <c r="J48" s="225">
        <f t="shared" si="21"/>
        <v>2871723.7974100001</v>
      </c>
      <c r="K48" s="225">
        <f t="shared" si="21"/>
        <v>2637997.8620639998</v>
      </c>
      <c r="L48" s="225">
        <f t="shared" si="21"/>
        <v>3357995</v>
      </c>
      <c r="M48" s="225">
        <f>SUM(H48:L48)</f>
        <v>14465758.663977999</v>
      </c>
      <c r="N48" s="985"/>
      <c r="O48" s="985"/>
      <c r="P48" s="225">
        <f>P9</f>
        <v>4473231</v>
      </c>
      <c r="Q48" s="225">
        <f>Q9</f>
        <v>4627083</v>
      </c>
      <c r="R48" s="225">
        <f>R9</f>
        <v>4694910</v>
      </c>
      <c r="S48" s="225">
        <f>S9</f>
        <v>6156473</v>
      </c>
      <c r="T48" s="225">
        <f t="shared" si="5"/>
        <v>19951697</v>
      </c>
      <c r="U48" s="225"/>
      <c r="V48" s="225">
        <f>V9</f>
        <v>5414000</v>
      </c>
      <c r="W48" s="225">
        <f t="shared" si="6"/>
        <v>25365697</v>
      </c>
      <c r="X48" s="225"/>
      <c r="Y48" s="985">
        <f t="shared" si="7"/>
        <v>0.68571401615542704</v>
      </c>
      <c r="Z48" s="985"/>
      <c r="AA48" s="225">
        <f>AA9</f>
        <v>5785900</v>
      </c>
      <c r="AB48" s="225">
        <f>AB9</f>
        <v>6390000</v>
      </c>
      <c r="AC48" s="225">
        <f>AC9</f>
        <v>7022000</v>
      </c>
      <c r="AD48" s="225">
        <f>AD9</f>
        <v>7720000</v>
      </c>
      <c r="AE48" s="225">
        <f>AE9</f>
        <v>8497000</v>
      </c>
      <c r="AF48" s="225">
        <f t="shared" si="9"/>
        <v>35414900</v>
      </c>
      <c r="AG48" s="985"/>
      <c r="AH48" s="985"/>
      <c r="AI48" s="985"/>
    </row>
    <row r="49" spans="1:35" s="760" customFormat="1" x14ac:dyDescent="0.25">
      <c r="A49" s="1091" t="s">
        <v>564</v>
      </c>
      <c r="B49" s="1092" t="s">
        <v>1173</v>
      </c>
      <c r="C49" s="999"/>
      <c r="D49" s="999"/>
      <c r="E49" s="999"/>
      <c r="F49" s="999"/>
      <c r="G49" s="998"/>
      <c r="H49" s="998">
        <f>H48/G48</f>
        <v>1.1107089890644151</v>
      </c>
      <c r="I49" s="998">
        <f>I48/H48</f>
        <v>1.0605983880860459</v>
      </c>
      <c r="J49" s="998">
        <f>J48/I48</f>
        <v>0.99666431137341549</v>
      </c>
      <c r="K49" s="998">
        <f>K48/J48</f>
        <v>0.91861127607160653</v>
      </c>
      <c r="L49" s="998">
        <f>L48/K48</f>
        <v>1.2729331771985084</v>
      </c>
      <c r="M49" s="998"/>
      <c r="N49" s="998">
        <f>(H49*I49*J49*K49*L49)^(1/5)-1</f>
        <v>6.5436343162004418E-2</v>
      </c>
      <c r="O49" s="998"/>
      <c r="P49" s="998">
        <f>P48/L48</f>
        <v>1.3321136571078873</v>
      </c>
      <c r="Q49" s="998">
        <f>Q48/P48</f>
        <v>1.0343939313663881</v>
      </c>
      <c r="R49" s="998">
        <f>R48/Q48</f>
        <v>1.0146586953378618</v>
      </c>
      <c r="S49" s="998">
        <f>S48/R48</f>
        <v>1.3113079909945025</v>
      </c>
      <c r="T49" s="998"/>
      <c r="U49" s="998">
        <f>(P49*Q49*R49*S49)^(1/4)-1</f>
        <v>0.16362483975188691</v>
      </c>
      <c r="V49" s="998">
        <f>V48/S48</f>
        <v>0.87939961728086846</v>
      </c>
      <c r="W49" s="998"/>
      <c r="X49" s="998">
        <f>(P49*Q49*R49*V49*S49)^(1/5)-1</f>
        <v>0.10024053524440757</v>
      </c>
      <c r="Y49" s="998">
        <f t="shared" si="7"/>
        <v>0</v>
      </c>
      <c r="Z49" s="998"/>
      <c r="AA49" s="998">
        <f>AA48/V48</f>
        <v>1.0686922792759512</v>
      </c>
      <c r="AB49" s="998">
        <f>AB48/AA48</f>
        <v>1.1044089942791959</v>
      </c>
      <c r="AC49" s="998">
        <f>AC48/AB48</f>
        <v>1.098904538341158</v>
      </c>
      <c r="AD49" s="998">
        <f>AD48/AC48</f>
        <v>1.099401879806323</v>
      </c>
      <c r="AE49" s="998">
        <f>AE48/AD48</f>
        <v>1.1006476683937825</v>
      </c>
      <c r="AF49" s="998">
        <f t="shared" si="9"/>
        <v>5.4720553600964106</v>
      </c>
      <c r="AG49" s="998">
        <f>(AB49*AC49*AD49*AE49*AA49)^(1/5)-1</f>
        <v>9.4332943657184698E-2</v>
      </c>
      <c r="AH49" s="998"/>
      <c r="AI49" s="985"/>
    </row>
    <row r="50" spans="1:35" s="760" customFormat="1" x14ac:dyDescent="0.25">
      <c r="A50" s="1091" t="s">
        <v>564</v>
      </c>
      <c r="B50" s="1092" t="s">
        <v>1178</v>
      </c>
      <c r="C50" s="999"/>
      <c r="D50" s="999"/>
      <c r="E50" s="999"/>
      <c r="F50" s="999"/>
      <c r="G50" s="998"/>
      <c r="H50" s="998">
        <f t="shared" ref="H50:M50" si="22">H48/H43</f>
        <v>0.6536349566604035</v>
      </c>
      <c r="I50" s="998">
        <f t="shared" si="22"/>
        <v>0.63765335397732692</v>
      </c>
      <c r="J50" s="998">
        <f t="shared" si="22"/>
        <v>0.62657852921083146</v>
      </c>
      <c r="K50" s="998">
        <f t="shared" si="22"/>
        <v>0.64147130293479837</v>
      </c>
      <c r="L50" s="998">
        <f t="shared" si="22"/>
        <v>0.64889331447584975</v>
      </c>
      <c r="M50" s="998">
        <f t="shared" si="22"/>
        <v>0.64162460022335932</v>
      </c>
      <c r="N50" s="998"/>
      <c r="O50" s="998"/>
      <c r="P50" s="998">
        <f>P48/P43</f>
        <v>0.70613844618730981</v>
      </c>
      <c r="Q50" s="998">
        <f>Q48/Q43</f>
        <v>0.67528979876812534</v>
      </c>
      <c r="R50" s="998">
        <f>R48/R43</f>
        <v>0.67225067827742446</v>
      </c>
      <c r="S50" s="998">
        <f>S48/S43</f>
        <v>0.70191128436361916</v>
      </c>
      <c r="T50" s="998">
        <f>T48/$T$43</f>
        <v>0.68937648211975155</v>
      </c>
      <c r="U50" s="998"/>
      <c r="V50" s="998">
        <f>V48/V43</f>
        <v>0.67254658385093169</v>
      </c>
      <c r="W50" s="998">
        <f>W48/$W$43</f>
        <v>0.68571401615542704</v>
      </c>
      <c r="X50" s="998"/>
      <c r="Y50" s="998">
        <f t="shared" si="7"/>
        <v>1.8536991589547302E-8</v>
      </c>
      <c r="Z50" s="998"/>
      <c r="AA50" s="998">
        <f>AA48/AA43</f>
        <v>0.71071994496922941</v>
      </c>
      <c r="AB50" s="998">
        <f>AB48/AB43</f>
        <v>0.72146324940724849</v>
      </c>
      <c r="AC50" s="998">
        <f>AC48/AC43</f>
        <v>0.73521097267301849</v>
      </c>
      <c r="AD50" s="998">
        <f>AD48/AD43</f>
        <v>0.75236331741545659</v>
      </c>
      <c r="AE50" s="998">
        <f>AE48/AE43</f>
        <v>0.76895927601809955</v>
      </c>
      <c r="AF50" s="998">
        <f t="shared" si="9"/>
        <v>3.6887167604830524</v>
      </c>
      <c r="AG50" s="998"/>
      <c r="AH50" s="998"/>
      <c r="AI50" s="998"/>
    </row>
    <row r="51" spans="1:35" s="61" customFormat="1" x14ac:dyDescent="0.25">
      <c r="A51" s="1085" t="s">
        <v>435</v>
      </c>
      <c r="B51" s="825" t="s">
        <v>1179</v>
      </c>
      <c r="C51" s="225">
        <f t="shared" ref="C51:L51" si="23">C28</f>
        <v>230940</v>
      </c>
      <c r="D51" s="225">
        <f t="shared" si="23"/>
        <v>305720</v>
      </c>
      <c r="E51" s="225">
        <f t="shared" si="23"/>
        <v>329200</v>
      </c>
      <c r="F51" s="225">
        <f t="shared" si="23"/>
        <v>308830</v>
      </c>
      <c r="G51" s="225">
        <f t="shared" si="23"/>
        <v>306565.00754700002</v>
      </c>
      <c r="H51" s="225">
        <f t="shared" si="23"/>
        <v>357566.61864</v>
      </c>
      <c r="I51" s="225">
        <f t="shared" si="23"/>
        <v>418951.84585500002</v>
      </c>
      <c r="J51" s="225">
        <f t="shared" si="23"/>
        <v>456841.14694599999</v>
      </c>
      <c r="K51" s="225">
        <f t="shared" si="23"/>
        <v>140078.797276</v>
      </c>
      <c r="L51" s="225">
        <f t="shared" si="23"/>
        <v>243841</v>
      </c>
      <c r="M51" s="225">
        <f>SUM(H51:L51)</f>
        <v>1617279.4087169999</v>
      </c>
      <c r="N51" s="985"/>
      <c r="O51" s="985"/>
      <c r="P51" s="225">
        <f>P28</f>
        <v>96965</v>
      </c>
      <c r="Q51" s="225">
        <f>Q28</f>
        <v>107416</v>
      </c>
      <c r="R51" s="225">
        <f>R28</f>
        <v>74262</v>
      </c>
      <c r="S51" s="225">
        <f>S28</f>
        <v>126290</v>
      </c>
      <c r="T51" s="225">
        <f t="shared" si="5"/>
        <v>404933</v>
      </c>
      <c r="U51" s="225"/>
      <c r="V51" s="225">
        <f>V28</f>
        <v>86000</v>
      </c>
      <c r="W51" s="225">
        <f t="shared" si="6"/>
        <v>490933</v>
      </c>
      <c r="X51" s="225"/>
      <c r="Y51" s="985">
        <f t="shared" si="7"/>
        <v>1.3271452351308631E-2</v>
      </c>
      <c r="Z51" s="985"/>
      <c r="AA51" s="225">
        <f>AA28</f>
        <v>105000</v>
      </c>
      <c r="AB51" s="225">
        <f>AB28</f>
        <v>117000</v>
      </c>
      <c r="AC51" s="225">
        <f>AC28</f>
        <v>129000</v>
      </c>
      <c r="AD51" s="225">
        <f>AD28</f>
        <v>141000</v>
      </c>
      <c r="AE51" s="225">
        <f>AE28</f>
        <v>153000</v>
      </c>
      <c r="AF51" s="225">
        <f t="shared" si="9"/>
        <v>645000</v>
      </c>
      <c r="AG51" s="985"/>
      <c r="AH51" s="985"/>
      <c r="AI51" s="985"/>
    </row>
    <row r="52" spans="1:35" s="760" customFormat="1" x14ac:dyDescent="0.25">
      <c r="A52" s="1091" t="s">
        <v>564</v>
      </c>
      <c r="B52" s="1092" t="s">
        <v>1173</v>
      </c>
      <c r="C52" s="999"/>
      <c r="D52" s="999"/>
      <c r="E52" s="999"/>
      <c r="F52" s="999"/>
      <c r="G52" s="998"/>
      <c r="H52" s="998">
        <f>H51/G51</f>
        <v>1.1663647508275414</v>
      </c>
      <c r="I52" s="998">
        <f>I51/H51</f>
        <v>1.1716749383610749</v>
      </c>
      <c r="J52" s="998">
        <f>J51/I51</f>
        <v>1.0904383199784577</v>
      </c>
      <c r="K52" s="998">
        <f>K51/J51</f>
        <v>0.30662473862617662</v>
      </c>
      <c r="L52" s="998">
        <f>L51/K51</f>
        <v>1.7407416735564576</v>
      </c>
      <c r="M52" s="998"/>
      <c r="N52" s="998">
        <f>(H52*I52*J52*K52*L52)^(1/5)-1</f>
        <v>-4.4750476186834587E-2</v>
      </c>
      <c r="O52" s="998"/>
      <c r="P52" s="998">
        <f>P51/L51</f>
        <v>0.39765666971510122</v>
      </c>
      <c r="Q52" s="998">
        <f>Q51/P51</f>
        <v>1.1077811581498478</v>
      </c>
      <c r="R52" s="998">
        <f>R51/Q51</f>
        <v>0.69134951962463698</v>
      </c>
      <c r="S52" s="998">
        <f>S51/R51</f>
        <v>1.7006005763378309</v>
      </c>
      <c r="T52" s="998"/>
      <c r="U52" s="998">
        <f>(P52*Q52*R52*S52)^(1/4)-1</f>
        <v>-0.15166856888643254</v>
      </c>
      <c r="V52" s="998">
        <f>V51/S51</f>
        <v>0.6809723651912265</v>
      </c>
      <c r="W52" s="998"/>
      <c r="X52" s="998">
        <f>(P52*Q52*R52*V52*S52)^(1/5)-1</f>
        <v>-0.18814523483912449</v>
      </c>
      <c r="Y52" s="998">
        <f t="shared" si="7"/>
        <v>0</v>
      </c>
      <c r="Z52" s="998"/>
      <c r="AA52" s="998">
        <f>AA51/V51</f>
        <v>1.2209302325581395</v>
      </c>
      <c r="AB52" s="998">
        <f>AB51/AA51</f>
        <v>1.1142857142857143</v>
      </c>
      <c r="AC52" s="998">
        <f>AC51/AB51</f>
        <v>1.1025641025641026</v>
      </c>
      <c r="AD52" s="998">
        <f>AD51/AC51</f>
        <v>1.0930232558139534</v>
      </c>
      <c r="AE52" s="998">
        <f>AE51/AD51</f>
        <v>1.0851063829787233</v>
      </c>
      <c r="AF52" s="998">
        <f t="shared" si="9"/>
        <v>5.6159096882006327</v>
      </c>
      <c r="AG52" s="998">
        <f>(AB52*AC52*AD52*AE52*AA52)^(1/5)-1</f>
        <v>0.12211817293716432</v>
      </c>
      <c r="AH52" s="998"/>
      <c r="AI52" s="985"/>
    </row>
    <row r="53" spans="1:35" s="760" customFormat="1" x14ac:dyDescent="0.25">
      <c r="A53" s="1091" t="s">
        <v>564</v>
      </c>
      <c r="B53" s="1092" t="s">
        <v>1178</v>
      </c>
      <c r="C53" s="999">
        <f t="shared" ref="C53:M53" si="24">C51/C43</f>
        <v>0.14865978319643638</v>
      </c>
      <c r="D53" s="999">
        <f t="shared" si="24"/>
        <v>0.12018493667941868</v>
      </c>
      <c r="E53" s="999">
        <f t="shared" si="24"/>
        <v>0.13145757378515552</v>
      </c>
      <c r="F53" s="999">
        <f t="shared" si="24"/>
        <v>0.10515795997030802</v>
      </c>
      <c r="G53" s="998">
        <f t="shared" si="24"/>
        <v>7.7210522438473803E-2</v>
      </c>
      <c r="H53" s="998">
        <f t="shared" si="24"/>
        <v>8.6029904515993405E-2</v>
      </c>
      <c r="I53" s="998">
        <f t="shared" si="24"/>
        <v>9.2716066170801248E-2</v>
      </c>
      <c r="J53" s="998">
        <f t="shared" si="24"/>
        <v>9.9677710716671045E-2</v>
      </c>
      <c r="K53" s="998">
        <f t="shared" si="24"/>
        <v>3.4062396294692383E-2</v>
      </c>
      <c r="L53" s="998">
        <f t="shared" si="24"/>
        <v>4.7119425340152586E-2</v>
      </c>
      <c r="M53" s="998">
        <f t="shared" si="24"/>
        <v>7.1733966960994378E-2</v>
      </c>
      <c r="N53" s="998"/>
      <c r="O53" s="998"/>
      <c r="P53" s="998">
        <f t="shared" ref="P53:V53" si="25">P51/P43</f>
        <v>1.5306769186423078E-2</v>
      </c>
      <c r="Q53" s="998">
        <f t="shared" si="25"/>
        <v>1.5676599927962595E-2</v>
      </c>
      <c r="R53" s="998">
        <f t="shared" si="25"/>
        <v>1.0633362486232558E-2</v>
      </c>
      <c r="S53" s="998">
        <f>S51/S43</f>
        <v>1.4398564909207181E-2</v>
      </c>
      <c r="T53" s="998">
        <f>T51/$T$43</f>
        <v>1.3991355574124715E-2</v>
      </c>
      <c r="U53" s="998"/>
      <c r="V53" s="998">
        <f t="shared" si="25"/>
        <v>1.0683229813664596E-2</v>
      </c>
      <c r="W53" s="998">
        <f>W51/$W$43</f>
        <v>1.3271452351308631E-2</v>
      </c>
      <c r="X53" s="998"/>
      <c r="Y53" s="998">
        <f t="shared" si="7"/>
        <v>3.5876880860128651E-10</v>
      </c>
      <c r="Z53" s="998"/>
      <c r="AA53" s="998">
        <f>AA51/AA43</f>
        <v>1.2897836848505694E-2</v>
      </c>
      <c r="AB53" s="998">
        <f>AB51/AB43</f>
        <v>1.3209890482104551E-2</v>
      </c>
      <c r="AC53" s="998">
        <f>AC51/AC43</f>
        <v>1.3506439116322898E-2</v>
      </c>
      <c r="AD53" s="998">
        <f>AD51/AD43</f>
        <v>1.3741350745541371E-2</v>
      </c>
      <c r="AE53" s="998">
        <f>AE51/AE43</f>
        <v>1.3846153846153847E-2</v>
      </c>
      <c r="AF53" s="998">
        <f t="shared" si="9"/>
        <v>6.7201671038628355E-2</v>
      </c>
      <c r="AG53" s="998"/>
      <c r="AH53" s="998"/>
      <c r="AI53" s="998"/>
    </row>
    <row r="54" spans="1:35" s="61" customFormat="1" x14ac:dyDescent="0.25">
      <c r="A54" s="1085" t="s">
        <v>436</v>
      </c>
      <c r="B54" s="825" t="s">
        <v>1096</v>
      </c>
      <c r="C54" s="225">
        <f t="shared" ref="C54:L54" si="26">C29</f>
        <v>0</v>
      </c>
      <c r="D54" s="225">
        <f t="shared" si="26"/>
        <v>0</v>
      </c>
      <c r="E54" s="225">
        <f t="shared" si="26"/>
        <v>0</v>
      </c>
      <c r="F54" s="225">
        <f t="shared" si="26"/>
        <v>0</v>
      </c>
      <c r="G54" s="225">
        <f t="shared" si="26"/>
        <v>0</v>
      </c>
      <c r="H54" s="225">
        <f t="shared" si="26"/>
        <v>0</v>
      </c>
      <c r="I54" s="225">
        <f t="shared" si="26"/>
        <v>0</v>
      </c>
      <c r="J54" s="225">
        <f t="shared" si="26"/>
        <v>0</v>
      </c>
      <c r="K54" s="225">
        <f t="shared" si="26"/>
        <v>0</v>
      </c>
      <c r="L54" s="225">
        <f t="shared" si="26"/>
        <v>0</v>
      </c>
      <c r="M54" s="225">
        <f>SUM(H54:L54)</f>
        <v>0</v>
      </c>
      <c r="N54" s="985"/>
      <c r="O54" s="985"/>
      <c r="P54" s="225"/>
      <c r="Q54" s="225"/>
      <c r="R54" s="225"/>
      <c r="S54" s="225"/>
      <c r="T54" s="225">
        <f t="shared" si="5"/>
        <v>0</v>
      </c>
      <c r="U54" s="225"/>
      <c r="V54" s="225"/>
      <c r="W54" s="225">
        <f t="shared" si="6"/>
        <v>0</v>
      </c>
      <c r="X54" s="225"/>
      <c r="Y54" s="985">
        <f t="shared" si="7"/>
        <v>0</v>
      </c>
      <c r="Z54" s="985"/>
      <c r="AA54" s="225"/>
      <c r="AB54" s="225"/>
      <c r="AC54" s="225"/>
      <c r="AD54" s="225"/>
      <c r="AE54" s="225"/>
      <c r="AF54" s="225">
        <f t="shared" si="9"/>
        <v>0</v>
      </c>
      <c r="AG54" s="985"/>
      <c r="AH54" s="985"/>
      <c r="AI54" s="985"/>
    </row>
    <row r="55" spans="1:35" s="760" customFormat="1" x14ac:dyDescent="0.25">
      <c r="A55" s="1091" t="s">
        <v>564</v>
      </c>
      <c r="B55" s="1092" t="s">
        <v>1173</v>
      </c>
      <c r="C55" s="999"/>
      <c r="D55" s="999"/>
      <c r="E55" s="999"/>
      <c r="F55" s="999"/>
      <c r="G55" s="999"/>
      <c r="H55" s="999"/>
      <c r="I55" s="999"/>
      <c r="J55" s="999"/>
      <c r="K55" s="999"/>
      <c r="L55" s="999"/>
      <c r="M55" s="999"/>
      <c r="N55" s="998"/>
      <c r="O55" s="998"/>
      <c r="P55" s="999"/>
      <c r="Q55" s="999"/>
      <c r="R55" s="999"/>
      <c r="S55" s="999"/>
      <c r="T55" s="999"/>
      <c r="U55" s="999"/>
      <c r="V55" s="999"/>
      <c r="W55" s="999">
        <f t="shared" si="6"/>
        <v>0</v>
      </c>
      <c r="X55" s="999"/>
      <c r="Y55" s="998">
        <f t="shared" si="7"/>
        <v>0</v>
      </c>
      <c r="Z55" s="998"/>
      <c r="AA55" s="999"/>
      <c r="AB55" s="999"/>
      <c r="AC55" s="999"/>
      <c r="AD55" s="999"/>
      <c r="AE55" s="999"/>
      <c r="AF55" s="999">
        <f t="shared" si="9"/>
        <v>0</v>
      </c>
      <c r="AG55" s="998"/>
      <c r="AH55" s="998"/>
      <c r="AI55" s="998"/>
    </row>
    <row r="56" spans="1:35" s="760" customFormat="1" x14ac:dyDescent="0.25">
      <c r="A56" s="1091" t="s">
        <v>564</v>
      </c>
      <c r="B56" s="1092" t="s">
        <v>1178</v>
      </c>
      <c r="C56" s="999"/>
      <c r="D56" s="999"/>
      <c r="E56" s="999"/>
      <c r="F56" s="999"/>
      <c r="G56" s="999"/>
      <c r="H56" s="999"/>
      <c r="I56" s="999"/>
      <c r="J56" s="999"/>
      <c r="K56" s="999"/>
      <c r="L56" s="999"/>
      <c r="M56" s="999"/>
      <c r="N56" s="998"/>
      <c r="O56" s="998"/>
      <c r="P56" s="999"/>
      <c r="Q56" s="999"/>
      <c r="R56" s="999"/>
      <c r="S56" s="999"/>
      <c r="T56" s="999"/>
      <c r="U56" s="999"/>
      <c r="V56" s="999"/>
      <c r="W56" s="999">
        <f t="shared" si="6"/>
        <v>0</v>
      </c>
      <c r="X56" s="999"/>
      <c r="Y56" s="998">
        <f t="shared" si="7"/>
        <v>0</v>
      </c>
      <c r="Z56" s="998"/>
      <c r="AA56" s="999"/>
      <c r="AB56" s="999"/>
      <c r="AC56" s="999"/>
      <c r="AD56" s="999"/>
      <c r="AE56" s="999"/>
      <c r="AF56" s="999">
        <f t="shared" si="9"/>
        <v>0</v>
      </c>
      <c r="AG56" s="998"/>
      <c r="AH56" s="998"/>
      <c r="AI56" s="998"/>
    </row>
    <row r="57" spans="1:35" s="61" customFormat="1" x14ac:dyDescent="0.25">
      <c r="A57" s="1085">
        <v>7</v>
      </c>
      <c r="B57" s="1086" t="s">
        <v>1047</v>
      </c>
      <c r="C57" s="225">
        <f t="shared" ref="C57:M57" si="27">C7</f>
        <v>1553480</v>
      </c>
      <c r="D57" s="225">
        <f t="shared" si="27"/>
        <v>2543746.399896</v>
      </c>
      <c r="E57" s="225">
        <f t="shared" si="27"/>
        <v>2504230</v>
      </c>
      <c r="F57" s="225">
        <f t="shared" si="27"/>
        <v>2936820</v>
      </c>
      <c r="G57" s="225">
        <f t="shared" si="27"/>
        <v>3970508.1362620005</v>
      </c>
      <c r="H57" s="225">
        <f t="shared" si="27"/>
        <v>4156306.1199669996</v>
      </c>
      <c r="I57" s="225">
        <f t="shared" si="27"/>
        <v>4518654.2436259994</v>
      </c>
      <c r="J57" s="225">
        <f t="shared" si="27"/>
        <v>4583182.5757370004</v>
      </c>
      <c r="K57" s="225">
        <f t="shared" si="27"/>
        <v>4112417.5781439999</v>
      </c>
      <c r="L57" s="225">
        <f t="shared" si="27"/>
        <v>5174957</v>
      </c>
      <c r="M57" s="225">
        <f t="shared" si="27"/>
        <v>22545517.517473999</v>
      </c>
      <c r="N57" s="985">
        <f>((L57/H57))^(1/(5-1))-1</f>
        <v>5.6330463780306372E-2</v>
      </c>
      <c r="O57" s="985">
        <f t="shared" ref="O57:O64" si="28">M57/$M$57</f>
        <v>1</v>
      </c>
      <c r="P57" s="225">
        <f>P7</f>
        <v>6334779</v>
      </c>
      <c r="Q57" s="225">
        <f>Q7</f>
        <v>6851996</v>
      </c>
      <c r="R57" s="225">
        <f>R7</f>
        <v>6983868</v>
      </c>
      <c r="S57" s="225">
        <f>S7</f>
        <v>8771013</v>
      </c>
      <c r="T57" s="225">
        <f t="shared" si="5"/>
        <v>28941656</v>
      </c>
      <c r="U57" s="985">
        <f>((S57/P57))^(1/(4-1))-1</f>
        <v>0.11456678209245164</v>
      </c>
      <c r="V57" s="225">
        <f>V7</f>
        <v>8050000</v>
      </c>
      <c r="W57" s="225">
        <f t="shared" si="6"/>
        <v>36991656</v>
      </c>
      <c r="X57" s="985">
        <f>((V57/P57))^(1/(5-1))-1</f>
        <v>6.1734924047332385E-2</v>
      </c>
      <c r="Y57" s="985">
        <f t="shared" si="7"/>
        <v>1</v>
      </c>
      <c r="Z57" s="985">
        <f t="shared" ref="Z57:Z64" si="29">W57/M57-1</f>
        <v>0.64075435267030167</v>
      </c>
      <c r="AA57" s="225">
        <f>AA7</f>
        <v>8140900</v>
      </c>
      <c r="AB57" s="225">
        <f>AB7</f>
        <v>8857000</v>
      </c>
      <c r="AC57" s="225">
        <f>AC7</f>
        <v>9551000</v>
      </c>
      <c r="AD57" s="225">
        <f>AD7</f>
        <v>10261000</v>
      </c>
      <c r="AE57" s="225">
        <f>AE7</f>
        <v>11050000</v>
      </c>
      <c r="AF57" s="225">
        <f t="shared" si="9"/>
        <v>47859900</v>
      </c>
      <c r="AG57" s="985"/>
      <c r="AH57" s="985">
        <f t="shared" ref="AH57:AH64" si="30">AF57/$AF$57</f>
        <v>1</v>
      </c>
      <c r="AI57" s="985">
        <f t="shared" ref="AI57:AI64" si="31">AF57/W57-1</f>
        <v>0.29380258077659449</v>
      </c>
    </row>
    <row r="58" spans="1:35" s="59" customFormat="1" x14ac:dyDescent="0.25">
      <c r="A58" s="1093" t="s">
        <v>434</v>
      </c>
      <c r="B58" s="1094" t="s">
        <v>1187</v>
      </c>
      <c r="C58" s="1000">
        <f t="shared" ref="C58:H58" si="32">SUM(C59:C62)</f>
        <v>641350</v>
      </c>
      <c r="D58" s="1000">
        <f t="shared" si="32"/>
        <v>1201256.399896</v>
      </c>
      <c r="E58" s="1000">
        <f t="shared" si="32"/>
        <v>889140</v>
      </c>
      <c r="F58" s="1000">
        <f t="shared" si="32"/>
        <v>1311340</v>
      </c>
      <c r="G58" s="1000">
        <f t="shared" si="32"/>
        <v>1821513.2475960001</v>
      </c>
      <c r="H58" s="1000">
        <f t="shared" si="32"/>
        <v>1857572.9357869998</v>
      </c>
      <c r="I58" s="1000">
        <f>SUM(I59:I62)</f>
        <v>2072539.6609430001</v>
      </c>
      <c r="J58" s="1000">
        <f>SUM(J59:J62)</f>
        <v>2133134.8145989999</v>
      </c>
      <c r="K58" s="1000">
        <f>SUM(K59:K62)</f>
        <v>2096926.1036820002</v>
      </c>
      <c r="L58" s="1000">
        <f>SUM(L59:L62)</f>
        <v>3025970</v>
      </c>
      <c r="M58" s="1000">
        <f>SUM(M59:M62)</f>
        <v>11186143.515011001</v>
      </c>
      <c r="N58" s="1001">
        <f t="shared" ref="N58:N64" si="33">((L58/H58))^(1/(5-1))-1</f>
        <v>0.12974306945637393</v>
      </c>
      <c r="O58" s="1001">
        <f>M58/$M$57</f>
        <v>0.49615820556530288</v>
      </c>
      <c r="P58" s="1000">
        <f>SUM(P59:P62)</f>
        <v>4110721</v>
      </c>
      <c r="Q58" s="1000">
        <f>SUM(Q59:Q62)</f>
        <v>4008903</v>
      </c>
      <c r="R58" s="1000">
        <f>SUM(R59:R62)</f>
        <v>3661258</v>
      </c>
      <c r="S58" s="1000">
        <f>SUM(S59:S62)</f>
        <v>4507747</v>
      </c>
      <c r="T58" s="1000">
        <f>SUM(P58:S58)</f>
        <v>16288629</v>
      </c>
      <c r="U58" s="1001">
        <f t="shared" ref="U58:U64" si="34">((S58/P58))^(1/(4-1))-1</f>
        <v>3.1210145446318061E-2</v>
      </c>
      <c r="V58" s="1000">
        <f>SUM(V59:V62)</f>
        <v>4620000</v>
      </c>
      <c r="W58" s="1000">
        <f t="shared" si="6"/>
        <v>20908629</v>
      </c>
      <c r="X58" s="1001">
        <f>((V58/P58))^(1/(5-1))-1</f>
        <v>2.9629538870614702E-2</v>
      </c>
      <c r="Y58" s="1001">
        <f t="shared" si="7"/>
        <v>0.56522554708013073</v>
      </c>
      <c r="Z58" s="1001">
        <f t="shared" si="29"/>
        <v>0.86915436691314762</v>
      </c>
      <c r="AA58" s="1000">
        <f>SUM(AA59:AA62)</f>
        <v>4515000</v>
      </c>
      <c r="AB58" s="1000">
        <f>SUM(AB59:AB62)</f>
        <v>4840000</v>
      </c>
      <c r="AC58" s="1000">
        <f>SUM(AC59:AC62)</f>
        <v>5197000</v>
      </c>
      <c r="AD58" s="1000">
        <f>SUM(AD59:AD62)</f>
        <v>5531000</v>
      </c>
      <c r="AE58" s="1000">
        <f>SUM(AE59:AE62)</f>
        <v>5897000</v>
      </c>
      <c r="AF58" s="1000">
        <f t="shared" si="9"/>
        <v>25980000</v>
      </c>
      <c r="AG58" s="1001"/>
      <c r="AH58" s="1001">
        <f t="shared" si="30"/>
        <v>0.54283439789886734</v>
      </c>
      <c r="AI58" s="985">
        <f t="shared" si="31"/>
        <v>0.24254918866272868</v>
      </c>
    </row>
    <row r="59" spans="1:35" s="65" customFormat="1" x14ac:dyDescent="0.25">
      <c r="A59" s="1091" t="s">
        <v>564</v>
      </c>
      <c r="B59" s="1095" t="s">
        <v>771</v>
      </c>
      <c r="C59" s="713">
        <f t="shared" ref="C59:M59" si="35">C10</f>
        <v>92540</v>
      </c>
      <c r="D59" s="713">
        <f t="shared" si="35"/>
        <v>116990</v>
      </c>
      <c r="E59" s="713">
        <f t="shared" si="35"/>
        <v>174910</v>
      </c>
      <c r="F59" s="713">
        <f t="shared" si="35"/>
        <v>255100</v>
      </c>
      <c r="G59" s="713">
        <f t="shared" si="35"/>
        <v>363111</v>
      </c>
      <c r="H59" s="713">
        <f t="shared" si="35"/>
        <v>375470.05056100001</v>
      </c>
      <c r="I59" s="713">
        <f t="shared" si="35"/>
        <v>392086.67269099999</v>
      </c>
      <c r="J59" s="713">
        <f t="shared" si="35"/>
        <v>377894.530516</v>
      </c>
      <c r="K59" s="713">
        <f t="shared" si="35"/>
        <v>203043.31661899999</v>
      </c>
      <c r="L59" s="713">
        <f t="shared" si="35"/>
        <v>205240</v>
      </c>
      <c r="M59" s="713">
        <f t="shared" si="35"/>
        <v>1553734.570387</v>
      </c>
      <c r="N59" s="994">
        <f t="shared" si="33"/>
        <v>-0.14015201826253876</v>
      </c>
      <c r="O59" s="994">
        <f t="shared" si="28"/>
        <v>6.8915453778462671E-2</v>
      </c>
      <c r="P59" s="713">
        <f t="shared" ref="P59:R60" si="36">P10</f>
        <v>203694</v>
      </c>
      <c r="Q59" s="713">
        <f t="shared" si="36"/>
        <v>198943</v>
      </c>
      <c r="R59" s="713">
        <f t="shared" si="36"/>
        <v>203584</v>
      </c>
      <c r="S59" s="713">
        <f>S10</f>
        <v>223875</v>
      </c>
      <c r="T59" s="713">
        <f t="shared" si="5"/>
        <v>830096</v>
      </c>
      <c r="U59" s="994">
        <f t="shared" si="34"/>
        <v>3.1990709112598159E-2</v>
      </c>
      <c r="V59" s="713">
        <f>V10</f>
        <v>190000</v>
      </c>
      <c r="W59" s="713">
        <f t="shared" si="6"/>
        <v>1020096</v>
      </c>
      <c r="X59" s="994">
        <f t="shared" ref="X59:X64" si="37">((V59/P59))^(1/(5-1))-1</f>
        <v>-1.724821552996969E-2</v>
      </c>
      <c r="Y59" s="994">
        <f>W59/$W$7</f>
        <v>2.7576381008733428E-2</v>
      </c>
      <c r="Z59" s="994">
        <f t="shared" si="29"/>
        <v>-0.34345542704509868</v>
      </c>
      <c r="AA59" s="713">
        <f>AA10</f>
        <v>210000</v>
      </c>
      <c r="AB59" s="713">
        <f t="shared" ref="AB59:AE60" si="38">AB10</f>
        <v>220000</v>
      </c>
      <c r="AC59" s="713">
        <f t="shared" si="38"/>
        <v>230000</v>
      </c>
      <c r="AD59" s="713">
        <f t="shared" si="38"/>
        <v>240000</v>
      </c>
      <c r="AE59" s="713">
        <f t="shared" si="38"/>
        <v>250000</v>
      </c>
      <c r="AF59" s="713">
        <f t="shared" si="9"/>
        <v>1150000</v>
      </c>
      <c r="AG59" s="994"/>
      <c r="AH59" s="994">
        <f t="shared" si="30"/>
        <v>2.4028466419695822E-2</v>
      </c>
      <c r="AI59" s="985">
        <f t="shared" si="31"/>
        <v>0.12734487734487732</v>
      </c>
    </row>
    <row r="60" spans="1:35" s="65" customFormat="1" x14ac:dyDescent="0.25">
      <c r="A60" s="1091" t="s">
        <v>564</v>
      </c>
      <c r="B60" s="1095" t="s">
        <v>772</v>
      </c>
      <c r="C60" s="713">
        <f t="shared" ref="C60:M60" si="39">C11</f>
        <v>44800</v>
      </c>
      <c r="D60" s="713">
        <f t="shared" si="39"/>
        <v>101880</v>
      </c>
      <c r="E60" s="713">
        <f t="shared" si="39"/>
        <v>76050</v>
      </c>
      <c r="F60" s="713">
        <f t="shared" si="39"/>
        <v>172870</v>
      </c>
      <c r="G60" s="713">
        <f t="shared" si="39"/>
        <v>148607</v>
      </c>
      <c r="H60" s="713">
        <f t="shared" si="39"/>
        <v>143351.48759800001</v>
      </c>
      <c r="I60" s="713">
        <f t="shared" si="39"/>
        <v>229165.69016900001</v>
      </c>
      <c r="J60" s="713">
        <f t="shared" si="39"/>
        <v>259813.95480400001</v>
      </c>
      <c r="K60" s="713">
        <f t="shared" si="39"/>
        <v>268703.66079599998</v>
      </c>
      <c r="L60" s="713">
        <f t="shared" si="39"/>
        <v>332356</v>
      </c>
      <c r="M60" s="713">
        <f t="shared" si="39"/>
        <v>1233390.7933670001</v>
      </c>
      <c r="N60" s="994">
        <f t="shared" si="33"/>
        <v>0.23395786331815405</v>
      </c>
      <c r="O60" s="994">
        <f t="shared" si="28"/>
        <v>5.4706696903766137E-2</v>
      </c>
      <c r="P60" s="713">
        <f t="shared" si="36"/>
        <v>323641</v>
      </c>
      <c r="Q60" s="713">
        <f t="shared" si="36"/>
        <v>384159</v>
      </c>
      <c r="R60" s="713">
        <f t="shared" si="36"/>
        <v>385864</v>
      </c>
      <c r="S60" s="713">
        <f>S11</f>
        <v>479648</v>
      </c>
      <c r="T60" s="713">
        <f t="shared" si="5"/>
        <v>1573312</v>
      </c>
      <c r="U60" s="994">
        <f t="shared" si="34"/>
        <v>0.14012648528202876</v>
      </c>
      <c r="V60" s="713">
        <f>V11</f>
        <v>500000</v>
      </c>
      <c r="W60" s="713">
        <f t="shared" si="6"/>
        <v>2073312</v>
      </c>
      <c r="X60" s="994">
        <f t="shared" si="37"/>
        <v>0.11487613093464177</v>
      </c>
      <c r="Y60" s="994">
        <f>W60/$W$7</f>
        <v>5.6048099063204959E-2</v>
      </c>
      <c r="Z60" s="994">
        <f t="shared" si="29"/>
        <v>0.68098546798790505</v>
      </c>
      <c r="AA60" s="713">
        <f>AA11</f>
        <v>535000</v>
      </c>
      <c r="AB60" s="713">
        <f t="shared" si="38"/>
        <v>573000</v>
      </c>
      <c r="AC60" s="713">
        <f t="shared" si="38"/>
        <v>620000</v>
      </c>
      <c r="AD60" s="713">
        <f t="shared" si="38"/>
        <v>669000</v>
      </c>
      <c r="AE60" s="713">
        <f t="shared" si="38"/>
        <v>723000</v>
      </c>
      <c r="AF60" s="713">
        <f t="shared" si="9"/>
        <v>3120000</v>
      </c>
      <c r="AG60" s="994"/>
      <c r="AH60" s="994">
        <f t="shared" si="30"/>
        <v>6.5190274112566046E-2</v>
      </c>
      <c r="AI60" s="985">
        <f t="shared" si="31"/>
        <v>0.50483863499560133</v>
      </c>
    </row>
    <row r="61" spans="1:35" s="65" customFormat="1" x14ac:dyDescent="0.25">
      <c r="A61" s="1091" t="s">
        <v>564</v>
      </c>
      <c r="B61" s="1095" t="s">
        <v>1034</v>
      </c>
      <c r="C61" s="713">
        <f t="shared" ref="C61:M61" si="40">C18</f>
        <v>154600</v>
      </c>
      <c r="D61" s="713">
        <f t="shared" si="40"/>
        <v>172040</v>
      </c>
      <c r="E61" s="713">
        <f t="shared" si="40"/>
        <v>185420</v>
      </c>
      <c r="F61" s="713">
        <f t="shared" si="40"/>
        <v>382620</v>
      </c>
      <c r="G61" s="713">
        <f t="shared" si="40"/>
        <v>499448.84769999998</v>
      </c>
      <c r="H61" s="713">
        <f t="shared" si="40"/>
        <v>650890.53007500002</v>
      </c>
      <c r="I61" s="713">
        <f t="shared" si="40"/>
        <v>646721.78421900002</v>
      </c>
      <c r="J61" s="713">
        <f t="shared" si="40"/>
        <v>553543.69900000002</v>
      </c>
      <c r="K61" s="713">
        <f t="shared" si="40"/>
        <v>670403.16145000001</v>
      </c>
      <c r="L61" s="713">
        <f t="shared" si="40"/>
        <v>1299030</v>
      </c>
      <c r="M61" s="713">
        <f t="shared" si="40"/>
        <v>3820589.1747440002</v>
      </c>
      <c r="N61" s="994">
        <f t="shared" si="33"/>
        <v>0.18857832720237511</v>
      </c>
      <c r="O61" s="994">
        <f t="shared" si="28"/>
        <v>0.16946114329745751</v>
      </c>
      <c r="P61" s="713">
        <f>P18</f>
        <v>2273225</v>
      </c>
      <c r="Q61" s="713">
        <f>Q18</f>
        <v>1947905</v>
      </c>
      <c r="R61" s="713">
        <f>R18</f>
        <v>1700536</v>
      </c>
      <c r="S61" s="713">
        <f>S18</f>
        <v>2280939</v>
      </c>
      <c r="T61" s="713">
        <f t="shared" si="5"/>
        <v>8202605</v>
      </c>
      <c r="U61" s="994">
        <f t="shared" si="34"/>
        <v>1.1298618785831049E-3</v>
      </c>
      <c r="V61" s="713">
        <f>V18</f>
        <v>2130000</v>
      </c>
      <c r="W61" s="713">
        <f t="shared" si="6"/>
        <v>10332605</v>
      </c>
      <c r="X61" s="994">
        <f t="shared" si="37"/>
        <v>-1.613775543692153E-2</v>
      </c>
      <c r="Y61" s="994">
        <f t="shared" si="7"/>
        <v>0.27932258561227968</v>
      </c>
      <c r="Z61" s="994">
        <f t="shared" si="29"/>
        <v>1.7044532995862713</v>
      </c>
      <c r="AA61" s="713">
        <f>AA18</f>
        <v>2270000</v>
      </c>
      <c r="AB61" s="713">
        <f>AB18</f>
        <v>2497000</v>
      </c>
      <c r="AC61" s="713">
        <f>AC18</f>
        <v>2747000</v>
      </c>
      <c r="AD61" s="713">
        <f>AD18</f>
        <v>3022000</v>
      </c>
      <c r="AE61" s="713">
        <f>AE18</f>
        <v>3324000</v>
      </c>
      <c r="AF61" s="713">
        <f t="shared" si="9"/>
        <v>13860000</v>
      </c>
      <c r="AG61" s="994"/>
      <c r="AH61" s="994">
        <f t="shared" si="30"/>
        <v>0.28959525615389919</v>
      </c>
      <c r="AI61" s="985">
        <f t="shared" si="31"/>
        <v>0.34138486857864003</v>
      </c>
    </row>
    <row r="62" spans="1:35" s="65" customFormat="1" x14ac:dyDescent="0.25">
      <c r="A62" s="1091" t="s">
        <v>564</v>
      </c>
      <c r="B62" s="1095" t="s">
        <v>226</v>
      </c>
      <c r="C62" s="713">
        <f t="shared" ref="C62:M62" si="41">C27</f>
        <v>349410</v>
      </c>
      <c r="D62" s="713">
        <f t="shared" si="41"/>
        <v>810346.39989600005</v>
      </c>
      <c r="E62" s="713">
        <f t="shared" si="41"/>
        <v>452760</v>
      </c>
      <c r="F62" s="713">
        <f t="shared" si="41"/>
        <v>500750</v>
      </c>
      <c r="G62" s="713">
        <f t="shared" si="41"/>
        <v>810346.39989600005</v>
      </c>
      <c r="H62" s="713">
        <f t="shared" si="41"/>
        <v>687860.86755299999</v>
      </c>
      <c r="I62" s="713">
        <f t="shared" si="41"/>
        <v>804565.51386399998</v>
      </c>
      <c r="J62" s="713">
        <f t="shared" si="41"/>
        <v>941882.63027900003</v>
      </c>
      <c r="K62" s="713">
        <f t="shared" si="41"/>
        <v>954775.96481699997</v>
      </c>
      <c r="L62" s="713">
        <f t="shared" si="41"/>
        <v>1189344</v>
      </c>
      <c r="M62" s="713">
        <f t="shared" si="41"/>
        <v>4578428.9765130002</v>
      </c>
      <c r="N62" s="994">
        <f t="shared" si="33"/>
        <v>0.14670503839993909</v>
      </c>
      <c r="O62" s="994">
        <f t="shared" si="28"/>
        <v>0.2030749115856165</v>
      </c>
      <c r="P62" s="713">
        <f>P27</f>
        <v>1310161</v>
      </c>
      <c r="Q62" s="713">
        <f>Q27</f>
        <v>1477896</v>
      </c>
      <c r="R62" s="713">
        <f>R27</f>
        <v>1371274</v>
      </c>
      <c r="S62" s="713">
        <f>S27</f>
        <v>1523285</v>
      </c>
      <c r="T62" s="713">
        <f t="shared" si="5"/>
        <v>5682616</v>
      </c>
      <c r="U62" s="994">
        <f t="shared" si="34"/>
        <v>5.1523136115603219E-2</v>
      </c>
      <c r="V62" s="713">
        <f>V27</f>
        <v>1800000</v>
      </c>
      <c r="W62" s="713">
        <f t="shared" si="6"/>
        <v>7482616</v>
      </c>
      <c r="X62" s="994">
        <f t="shared" si="37"/>
        <v>8.2647205895270748E-2</v>
      </c>
      <c r="Y62" s="994">
        <f t="shared" si="7"/>
        <v>0.20227848139591265</v>
      </c>
      <c r="Z62" s="994">
        <f t="shared" si="29"/>
        <v>0.63431955336323065</v>
      </c>
      <c r="AA62" s="713">
        <f>AA27</f>
        <v>1500000</v>
      </c>
      <c r="AB62" s="713">
        <f>AB27</f>
        <v>1550000</v>
      </c>
      <c r="AC62" s="713">
        <f>AC27</f>
        <v>1600000</v>
      </c>
      <c r="AD62" s="713">
        <f>AD27</f>
        <v>1600000</v>
      </c>
      <c r="AE62" s="713">
        <f>AE27</f>
        <v>1600000</v>
      </c>
      <c r="AF62" s="713">
        <f t="shared" si="9"/>
        <v>7850000</v>
      </c>
      <c r="AG62" s="994"/>
      <c r="AH62" s="994">
        <f t="shared" si="30"/>
        <v>0.16402040121270625</v>
      </c>
      <c r="AI62" s="985">
        <f t="shared" si="31"/>
        <v>4.9098336731431935E-2</v>
      </c>
    </row>
    <row r="63" spans="1:35" s="59" customFormat="1" x14ac:dyDescent="0.25">
      <c r="A63" s="1093" t="s">
        <v>435</v>
      </c>
      <c r="B63" s="1094" t="s">
        <v>1184</v>
      </c>
      <c r="C63" s="1000">
        <f t="shared" ref="C63:H63" si="42">C57-C58-C64</f>
        <v>911550</v>
      </c>
      <c r="D63" s="1000">
        <f t="shared" si="42"/>
        <v>1341860</v>
      </c>
      <c r="E63" s="1000">
        <f t="shared" si="42"/>
        <v>1612650</v>
      </c>
      <c r="F63" s="1000">
        <f t="shared" si="42"/>
        <v>1624700</v>
      </c>
      <c r="G63" s="1000">
        <f t="shared" si="42"/>
        <v>2145233.8886660002</v>
      </c>
      <c r="H63" s="1000">
        <f t="shared" si="42"/>
        <v>2290704.576498</v>
      </c>
      <c r="I63" s="1000">
        <f>I57-I58-I64</f>
        <v>2438737.3184049991</v>
      </c>
      <c r="J63" s="1000">
        <f>J57-J58-J64</f>
        <v>2432696.2007730007</v>
      </c>
      <c r="K63" s="1000">
        <f>K57-K58-K64</f>
        <v>1989666.3652289996</v>
      </c>
      <c r="L63" s="1000">
        <f>L57-L58-L64</f>
        <v>2079493</v>
      </c>
      <c r="M63" s="1000">
        <f>M57-M58-M64</f>
        <v>11231297.460904999</v>
      </c>
      <c r="N63" s="1001">
        <f t="shared" si="33"/>
        <v>-2.3893747172246682E-2</v>
      </c>
      <c r="O63" s="1001">
        <f t="shared" si="28"/>
        <v>0.49816099595851521</v>
      </c>
      <c r="P63" s="1000">
        <f>P57-P58-P64</f>
        <v>2162120</v>
      </c>
      <c r="Q63" s="1000">
        <f>Q57-Q58-Q64</f>
        <v>2793308</v>
      </c>
      <c r="R63" s="1000">
        <f>R57-R58-R64</f>
        <v>3286777</v>
      </c>
      <c r="S63" s="1000">
        <f>S57-S58-S64</f>
        <v>4186421</v>
      </c>
      <c r="T63" s="1000">
        <f t="shared" si="5"/>
        <v>12428626</v>
      </c>
      <c r="U63" s="1001">
        <f t="shared" si="34"/>
        <v>0.2463911846859399</v>
      </c>
      <c r="V63" s="1000">
        <f>V57-V58-V64</f>
        <v>3360000</v>
      </c>
      <c r="W63" s="1000">
        <f t="shared" si="6"/>
        <v>15788626</v>
      </c>
      <c r="X63" s="1001">
        <f t="shared" si="37"/>
        <v>0.11651579382575061</v>
      </c>
      <c r="Y63" s="1001">
        <f t="shared" si="7"/>
        <v>0.42681587436907392</v>
      </c>
      <c r="Z63" s="1001">
        <f t="shared" si="29"/>
        <v>0.40577044236951232</v>
      </c>
      <c r="AA63" s="1000">
        <f>AA57-AA58-AA64</f>
        <v>3555900</v>
      </c>
      <c r="AB63" s="1000">
        <f>AB57-AB58-AB64</f>
        <v>3942000</v>
      </c>
      <c r="AC63" s="1000">
        <f>AC57-AC58-AC64</f>
        <v>4274000</v>
      </c>
      <c r="AD63" s="1000">
        <f>AD57-AD58-AD64</f>
        <v>4645000</v>
      </c>
      <c r="AE63" s="1000">
        <f>AE57-AE58-AE64</f>
        <v>5063000</v>
      </c>
      <c r="AF63" s="1000">
        <f t="shared" si="9"/>
        <v>21479900</v>
      </c>
      <c r="AG63" s="1001"/>
      <c r="AH63" s="1001">
        <f t="shared" si="30"/>
        <v>0.44880787465080368</v>
      </c>
      <c r="AI63" s="985">
        <f t="shared" si="31"/>
        <v>0.3604667055892008</v>
      </c>
    </row>
    <row r="64" spans="1:35" s="59" customFormat="1" x14ac:dyDescent="0.25">
      <c r="A64" s="1093" t="s">
        <v>436</v>
      </c>
      <c r="B64" s="1094" t="s">
        <v>1048</v>
      </c>
      <c r="C64" s="1000">
        <f t="shared" ref="C64:M64" si="43">C12</f>
        <v>580</v>
      </c>
      <c r="D64" s="1000">
        <f t="shared" si="43"/>
        <v>630</v>
      </c>
      <c r="E64" s="1000">
        <f t="shared" si="43"/>
        <v>2440</v>
      </c>
      <c r="F64" s="1000">
        <f t="shared" si="43"/>
        <v>780</v>
      </c>
      <c r="G64" s="1000">
        <f t="shared" si="43"/>
        <v>3761</v>
      </c>
      <c r="H64" s="1000">
        <f t="shared" si="43"/>
        <v>8028.6076819999998</v>
      </c>
      <c r="I64" s="1000">
        <f t="shared" si="43"/>
        <v>7377.2642779999996</v>
      </c>
      <c r="J64" s="1000">
        <f t="shared" si="43"/>
        <v>17351.560365000001</v>
      </c>
      <c r="K64" s="1000">
        <f t="shared" si="43"/>
        <v>25825.109232999999</v>
      </c>
      <c r="L64" s="1000">
        <f t="shared" si="43"/>
        <v>69494</v>
      </c>
      <c r="M64" s="1000">
        <f t="shared" si="43"/>
        <v>128076.541558</v>
      </c>
      <c r="N64" s="1001">
        <f t="shared" si="33"/>
        <v>0.71524739460908648</v>
      </c>
      <c r="O64" s="1001">
        <f t="shared" si="28"/>
        <v>5.680798476181961E-3</v>
      </c>
      <c r="P64" s="1000">
        <f>P12</f>
        <v>61938</v>
      </c>
      <c r="Q64" s="1000">
        <f>Q12</f>
        <v>49785</v>
      </c>
      <c r="R64" s="1000">
        <f>R12</f>
        <v>35833</v>
      </c>
      <c r="S64" s="1000">
        <f>S12</f>
        <v>76845</v>
      </c>
      <c r="T64" s="1000">
        <f t="shared" si="5"/>
        <v>224401</v>
      </c>
      <c r="U64" s="1001">
        <f t="shared" si="34"/>
        <v>7.4532310717438044E-2</v>
      </c>
      <c r="V64" s="1000">
        <f>V12</f>
        <v>70000</v>
      </c>
      <c r="W64" s="1000">
        <f t="shared" si="6"/>
        <v>294401</v>
      </c>
      <c r="X64" s="1001">
        <f t="shared" si="37"/>
        <v>3.1063031389598983E-2</v>
      </c>
      <c r="Y64" s="1001">
        <f>W64/$W$7</f>
        <v>7.9585785507953477E-3</v>
      </c>
      <c r="Z64" s="1001">
        <f t="shared" si="29"/>
        <v>1.2986332736559669</v>
      </c>
      <c r="AA64" s="1000">
        <f>AA12</f>
        <v>70000</v>
      </c>
      <c r="AB64" s="1000">
        <f>AB12</f>
        <v>75000</v>
      </c>
      <c r="AC64" s="1000">
        <f>AC12</f>
        <v>80000</v>
      </c>
      <c r="AD64" s="1000">
        <f>AD12</f>
        <v>85000</v>
      </c>
      <c r="AE64" s="1000">
        <f>AE12</f>
        <v>90000</v>
      </c>
      <c r="AF64" s="1000">
        <f t="shared" si="9"/>
        <v>400000</v>
      </c>
      <c r="AG64" s="1001"/>
      <c r="AH64" s="1001">
        <f t="shared" si="30"/>
        <v>8.3577274503289813E-3</v>
      </c>
      <c r="AI64" s="985">
        <f t="shared" si="31"/>
        <v>0.35869103705490124</v>
      </c>
    </row>
    <row r="65" spans="1:35" s="61" customFormat="1" x14ac:dyDescent="0.25">
      <c r="A65" s="1085">
        <v>8</v>
      </c>
      <c r="B65" s="1086" t="s">
        <v>1172</v>
      </c>
      <c r="C65" s="832">
        <f t="shared" ref="C65:H65" si="44">C57/C57</f>
        <v>1</v>
      </c>
      <c r="D65" s="832">
        <f t="shared" si="44"/>
        <v>1</v>
      </c>
      <c r="E65" s="832">
        <f t="shared" si="44"/>
        <v>1</v>
      </c>
      <c r="F65" s="832">
        <f t="shared" si="44"/>
        <v>1</v>
      </c>
      <c r="G65" s="832">
        <f t="shared" si="44"/>
        <v>1</v>
      </c>
      <c r="H65" s="832">
        <f t="shared" si="44"/>
        <v>1</v>
      </c>
      <c r="I65" s="832">
        <f>I57/I57</f>
        <v>1</v>
      </c>
      <c r="J65" s="832">
        <f>J57/J57</f>
        <v>1</v>
      </c>
      <c r="K65" s="832">
        <f>K57/K57</f>
        <v>1</v>
      </c>
      <c r="L65" s="832">
        <f>L57/L57</f>
        <v>1</v>
      </c>
      <c r="M65" s="225"/>
      <c r="N65" s="985"/>
      <c r="O65" s="985">
        <f>AVERAGE(H65:L65)</f>
        <v>1</v>
      </c>
      <c r="P65" s="832">
        <f>P57/P57</f>
        <v>1</v>
      </c>
      <c r="Q65" s="832">
        <f>Q57/Q57</f>
        <v>1</v>
      </c>
      <c r="R65" s="832">
        <f>R57/R57</f>
        <v>1</v>
      </c>
      <c r="S65" s="832">
        <f>S57/S57</f>
        <v>1</v>
      </c>
      <c r="T65" s="832"/>
      <c r="U65" s="832"/>
      <c r="V65" s="832">
        <f>V57/V57</f>
        <v>1</v>
      </c>
      <c r="W65" s="832"/>
      <c r="X65" s="832"/>
      <c r="Y65" s="985">
        <f>AVERAGE(P65,Q65,R65,S65,V65)</f>
        <v>1</v>
      </c>
      <c r="Z65" s="985"/>
      <c r="AA65" s="832">
        <f>AA57/AA57</f>
        <v>1</v>
      </c>
      <c r="AB65" s="832">
        <f>AB57/AB57</f>
        <v>1</v>
      </c>
      <c r="AC65" s="832">
        <f>AC57/AC57</f>
        <v>1</v>
      </c>
      <c r="AD65" s="832">
        <f>AD57/AD57</f>
        <v>1</v>
      </c>
      <c r="AE65" s="832">
        <f>AE57/AE57</f>
        <v>1</v>
      </c>
      <c r="AF65" s="832">
        <f t="shared" si="9"/>
        <v>5</v>
      </c>
      <c r="AG65" s="985"/>
      <c r="AH65" s="985">
        <f>AVERAGE(AB65:AE65)</f>
        <v>1</v>
      </c>
      <c r="AI65" s="985"/>
    </row>
    <row r="66" spans="1:35" x14ac:dyDescent="0.25">
      <c r="A66" s="257" t="s">
        <v>434</v>
      </c>
      <c r="B66" s="1096" t="s">
        <v>1187</v>
      </c>
      <c r="C66" s="830">
        <f t="shared" ref="C66:H66" si="45">C58/C57</f>
        <v>0.41284728480572652</v>
      </c>
      <c r="D66" s="830">
        <f t="shared" si="45"/>
        <v>0.47223905651330372</v>
      </c>
      <c r="E66" s="830">
        <f t="shared" si="45"/>
        <v>0.35505524652288328</v>
      </c>
      <c r="F66" s="830">
        <f t="shared" si="45"/>
        <v>0.44651698095218639</v>
      </c>
      <c r="G66" s="992">
        <f t="shared" si="45"/>
        <v>0.45876073920121657</v>
      </c>
      <c r="H66" s="992">
        <f t="shared" si="45"/>
        <v>0.44692880701524185</v>
      </c>
      <c r="I66" s="992">
        <f>I58/I57</f>
        <v>0.45866303310692969</v>
      </c>
      <c r="J66" s="992">
        <f>J58/J57</f>
        <v>0.46542654134959488</v>
      </c>
      <c r="K66" s="992">
        <f>K58/K57</f>
        <v>0.50990106520952494</v>
      </c>
      <c r="L66" s="992">
        <f>L58/L57</f>
        <v>0.5847333610694736</v>
      </c>
      <c r="M66" s="992"/>
      <c r="N66" s="992"/>
      <c r="O66" s="992">
        <f>AVERAGE(H66:L66)</f>
        <v>0.49313056155015306</v>
      </c>
      <c r="P66" s="992">
        <f>P58/P57</f>
        <v>0.64891308757574651</v>
      </c>
      <c r="Q66" s="992">
        <f>Q58/Q57</f>
        <v>0.58507083191525511</v>
      </c>
      <c r="R66" s="992">
        <f>R58/R57</f>
        <v>0.52424501723113892</v>
      </c>
      <c r="S66" s="992">
        <f>S58/S57</f>
        <v>0.51393687365416063</v>
      </c>
      <c r="T66" s="992"/>
      <c r="U66" s="992"/>
      <c r="V66" s="992">
        <f>V58/V57</f>
        <v>0.57391304347826089</v>
      </c>
      <c r="W66" s="992"/>
      <c r="X66" s="992"/>
      <c r="Y66" s="992">
        <f>AVERAGE(P66,Q66,R66,S66,V66)</f>
        <v>0.56921577077091245</v>
      </c>
      <c r="Z66" s="992"/>
      <c r="AA66" s="992">
        <f>AA58/AA57</f>
        <v>0.55460698448574486</v>
      </c>
      <c r="AB66" s="992">
        <f>AB58/AB57</f>
        <v>0.54646042678107709</v>
      </c>
      <c r="AC66" s="992">
        <f>AC58/AC57</f>
        <v>0.54413150455449688</v>
      </c>
      <c r="AD66" s="992">
        <f>AD58/AD57</f>
        <v>0.53903128350063345</v>
      </c>
      <c r="AE66" s="992">
        <f>AE58/AE57</f>
        <v>0.53366515837104067</v>
      </c>
      <c r="AF66" s="992">
        <f t="shared" si="9"/>
        <v>2.717895357692993</v>
      </c>
      <c r="AG66" s="992"/>
      <c r="AH66" s="992">
        <f>AVERAGE(AB66:AE66)</f>
        <v>0.54082209330181197</v>
      </c>
      <c r="AI66" s="992"/>
    </row>
    <row r="67" spans="1:35" x14ac:dyDescent="0.25">
      <c r="A67" s="257" t="s">
        <v>435</v>
      </c>
      <c r="B67" s="1096" t="s">
        <v>1184</v>
      </c>
      <c r="C67" s="830">
        <f t="shared" ref="C67:H67" si="46">C63/C57</f>
        <v>0.58677935988876584</v>
      </c>
      <c r="D67" s="830">
        <f t="shared" si="46"/>
        <v>0.52751327728851483</v>
      </c>
      <c r="E67" s="830">
        <f t="shared" si="46"/>
        <v>0.64397040207968115</v>
      </c>
      <c r="F67" s="830">
        <f t="shared" si="46"/>
        <v>0.55321742565087406</v>
      </c>
      <c r="G67" s="992">
        <f t="shared" si="46"/>
        <v>0.54029202687533373</v>
      </c>
      <c r="H67" s="992">
        <f t="shared" si="46"/>
        <v>0.55113952398582899</v>
      </c>
      <c r="I67" s="992">
        <f>I63/I57</f>
        <v>0.53970434269120615</v>
      </c>
      <c r="J67" s="992">
        <f>J63/J57</f>
        <v>0.53078753913306853</v>
      </c>
      <c r="K67" s="992">
        <f>K63/K57</f>
        <v>0.48381914711272295</v>
      </c>
      <c r="L67" s="992">
        <f>L63/L57</f>
        <v>0.40183773507683251</v>
      </c>
      <c r="M67" s="992"/>
      <c r="N67" s="992"/>
      <c r="O67" s="992">
        <f>AVERAGE(H67:L67)</f>
        <v>0.50145765759993177</v>
      </c>
      <c r="P67" s="992">
        <f>P63/P57</f>
        <v>0.3413094600458832</v>
      </c>
      <c r="Q67" s="992">
        <f>Q63/Q57</f>
        <v>0.40766340202183421</v>
      </c>
      <c r="R67" s="992">
        <f>R63/R57</f>
        <v>0.47062415841765626</v>
      </c>
      <c r="S67" s="992">
        <f>S63/S57</f>
        <v>0.47730188063796053</v>
      </c>
      <c r="T67" s="992"/>
      <c r="U67" s="992"/>
      <c r="V67" s="992">
        <f>V63/V57</f>
        <v>0.41739130434782606</v>
      </c>
      <c r="W67" s="992"/>
      <c r="X67" s="992"/>
      <c r="Y67" s="992">
        <f>AVERAGE(P67,Q67,R67,S67,V67)</f>
        <v>0.42285804109423203</v>
      </c>
      <c r="Z67" s="992"/>
      <c r="AA67" s="992">
        <f>AA63/AA57</f>
        <v>0.43679445761525137</v>
      </c>
      <c r="AB67" s="992">
        <f>AB63/AB57</f>
        <v>0.44507169470475333</v>
      </c>
      <c r="AC67" s="992">
        <f>AC63/AC57</f>
        <v>0.44749240917181449</v>
      </c>
      <c r="AD67" s="992">
        <f>AD63/AD57</f>
        <v>0.45268492349673523</v>
      </c>
      <c r="AE67" s="992">
        <f>AE63/AE57</f>
        <v>0.4581900452488688</v>
      </c>
      <c r="AF67" s="992">
        <f t="shared" si="9"/>
        <v>2.2402335302374232</v>
      </c>
      <c r="AG67" s="992"/>
      <c r="AH67" s="992">
        <f>AVERAGE(AB67:AE67)</f>
        <v>0.45085976815554296</v>
      </c>
      <c r="AI67" s="992"/>
    </row>
    <row r="68" spans="1:35" x14ac:dyDescent="0.25">
      <c r="A68" s="257" t="s">
        <v>436</v>
      </c>
      <c r="B68" s="1096" t="s">
        <v>1048</v>
      </c>
      <c r="C68" s="830">
        <f t="shared" ref="C68:H68" si="47">C64/C57</f>
        <v>3.7335530550763446E-4</v>
      </c>
      <c r="D68" s="830">
        <f t="shared" si="47"/>
        <v>2.4766619818145287E-4</v>
      </c>
      <c r="E68" s="830">
        <f t="shared" si="47"/>
        <v>9.7435139743553905E-4</v>
      </c>
      <c r="F68" s="830">
        <f t="shared" si="47"/>
        <v>2.6559339693954688E-4</v>
      </c>
      <c r="G68" s="992">
        <f t="shared" si="47"/>
        <v>9.4723392344959654E-4</v>
      </c>
      <c r="H68" s="992">
        <f t="shared" si="47"/>
        <v>1.9316689989292092E-3</v>
      </c>
      <c r="I68" s="992">
        <f>I64/I57</f>
        <v>1.6326242018641606E-3</v>
      </c>
      <c r="J68" s="992">
        <f>J64/J57</f>
        <v>3.785919517336657E-3</v>
      </c>
      <c r="K68" s="992">
        <f>K64/K57</f>
        <v>6.2797876777521428E-3</v>
      </c>
      <c r="L68" s="992">
        <f>L64/L57</f>
        <v>1.3428903853693858E-2</v>
      </c>
      <c r="M68" s="992"/>
      <c r="N68" s="992"/>
      <c r="O68" s="992">
        <f>AVERAGE(H68:L68)</f>
        <v>5.4117808499152056E-3</v>
      </c>
      <c r="P68" s="992">
        <f>P64/P57</f>
        <v>9.7774523783702629E-3</v>
      </c>
      <c r="Q68" s="992">
        <f>Q64/Q57</f>
        <v>7.2657660629107199E-3</v>
      </c>
      <c r="R68" s="992">
        <f>R64/R57</f>
        <v>5.1308243512048048E-3</v>
      </c>
      <c r="S68" s="992">
        <f>S64/S57</f>
        <v>8.7612457078788952E-3</v>
      </c>
      <c r="T68" s="992"/>
      <c r="U68" s="992"/>
      <c r="V68" s="992">
        <f>V64/V57</f>
        <v>8.6956521739130436E-3</v>
      </c>
      <c r="W68" s="992"/>
      <c r="X68" s="992"/>
      <c r="Y68" s="992">
        <f>AVERAGE(P68,Q68,R68,S68,V68)</f>
        <v>7.9261881348555458E-3</v>
      </c>
      <c r="Z68" s="992"/>
      <c r="AA68" s="992">
        <f>AA64/AA57</f>
        <v>8.5985578990037965E-3</v>
      </c>
      <c r="AB68" s="992">
        <f>AB64/AB57</f>
        <v>8.4678785141695835E-3</v>
      </c>
      <c r="AC68" s="992">
        <f>AC64/AC57</f>
        <v>8.3760862736886182E-3</v>
      </c>
      <c r="AD68" s="992">
        <f>AD64/AD57</f>
        <v>8.2837930026313233E-3</v>
      </c>
      <c r="AE68" s="992">
        <f>AE64/AE57</f>
        <v>8.1447963800904983E-3</v>
      </c>
      <c r="AF68" s="992">
        <f t="shared" si="9"/>
        <v>4.187111206958382E-2</v>
      </c>
      <c r="AG68" s="992"/>
      <c r="AH68" s="992">
        <f>AVERAGE(AB68:AE68)</f>
        <v>8.3181385426450063E-3</v>
      </c>
      <c r="AI68" s="992"/>
    </row>
    <row r="69" spans="1:35" s="1" customFormat="1" ht="31.5" x14ac:dyDescent="0.25">
      <c r="A69" s="1097">
        <v>9</v>
      </c>
      <c r="B69" s="823" t="s">
        <v>1176</v>
      </c>
      <c r="C69" s="1005"/>
      <c r="D69" s="1005"/>
      <c r="E69" s="1005"/>
      <c r="F69" s="1005"/>
      <c r="G69" s="822"/>
      <c r="H69" s="822">
        <f>H7/G7</f>
        <v>1.046794510256291</v>
      </c>
      <c r="I69" s="822">
        <f>I7/H7</f>
        <v>1.0871803262801722</v>
      </c>
      <c r="J69" s="822">
        <f>J7/I7</f>
        <v>1.0142804314364227</v>
      </c>
      <c r="K69" s="822">
        <f>K7/J7</f>
        <v>0.89728425830443836</v>
      </c>
      <c r="L69" s="822">
        <f>L7/K7</f>
        <v>1.2583734267412459</v>
      </c>
      <c r="M69" s="822"/>
      <c r="N69" s="822">
        <f>(H69*I69*J69*K69*L69)^(1/5)-1</f>
        <v>5.441634872072143E-2</v>
      </c>
      <c r="O69" s="822"/>
      <c r="P69" s="822">
        <f>P7/L7</f>
        <v>1.2241220555069345</v>
      </c>
      <c r="Q69" s="822">
        <f>Q7/P7</f>
        <v>1.0816472050564037</v>
      </c>
      <c r="R69" s="822">
        <f>R7/Q7</f>
        <v>1.0192457788942084</v>
      </c>
      <c r="S69" s="822">
        <f>S7/R7</f>
        <v>1.2558961595494074</v>
      </c>
      <c r="T69" s="822"/>
      <c r="U69" s="822">
        <f>(P69*Q69*R69*S69)^(1/4)-1</f>
        <v>0.14100028344364191</v>
      </c>
      <c r="V69" s="822">
        <f>V7/S7</f>
        <v>0.91779592619461403</v>
      </c>
      <c r="W69" s="822"/>
      <c r="X69" s="822">
        <f t="shared" ref="X69:X74" si="48">(P69*Q69*R69*V69*S69)^(1/5)-1</f>
        <v>9.2390279519624974E-2</v>
      </c>
      <c r="Y69" s="822"/>
      <c r="Z69" s="822"/>
      <c r="AA69" s="822">
        <f>AA7/V7</f>
        <v>1.0112919254658386</v>
      </c>
      <c r="AB69" s="822">
        <f>AB7/AA7</f>
        <v>1.0879632473068088</v>
      </c>
      <c r="AC69" s="822">
        <f>AC7/AB7</f>
        <v>1.0783561025177826</v>
      </c>
      <c r="AD69" s="822">
        <f>AD7/AC7</f>
        <v>1.0743377656789865</v>
      </c>
      <c r="AE69" s="822">
        <f>AE7/AD7</f>
        <v>1.0768930903420719</v>
      </c>
      <c r="AF69" s="822">
        <f t="shared" si="9"/>
        <v>5.3288421313114878</v>
      </c>
      <c r="AG69" s="822">
        <f>(AB69*AC69*AD69*AE69*AA69)^(1/5)-1</f>
        <v>6.5401440214975404E-2</v>
      </c>
      <c r="AH69" s="822"/>
      <c r="AI69" s="822"/>
    </row>
    <row r="70" spans="1:35" x14ac:dyDescent="0.25">
      <c r="A70" s="257" t="s">
        <v>434</v>
      </c>
      <c r="B70" s="1096" t="s">
        <v>1187</v>
      </c>
      <c r="C70" s="830"/>
      <c r="D70" s="830"/>
      <c r="E70" s="830"/>
      <c r="F70" s="830"/>
      <c r="G70" s="992"/>
      <c r="H70" s="992">
        <f>H58/G58</f>
        <v>1.0197965555499475</v>
      </c>
      <c r="I70" s="992">
        <f>I58/H58</f>
        <v>1.1157245139690437</v>
      </c>
      <c r="J70" s="992">
        <f>J58/I58</f>
        <v>1.0292371503416389</v>
      </c>
      <c r="K70" s="992">
        <f>K58/J58</f>
        <v>0.9830255871925252</v>
      </c>
      <c r="L70" s="992">
        <f>L58/K58</f>
        <v>1.4430503748733388</v>
      </c>
      <c r="M70" s="992"/>
      <c r="N70" s="992">
        <f>(H70*I70*J70*K70*L70)^(1/5)-1</f>
        <v>0.1068441060267149</v>
      </c>
      <c r="O70" s="992"/>
      <c r="P70" s="992">
        <f>P58/L58</f>
        <v>1.3584804211542083</v>
      </c>
      <c r="Q70" s="992">
        <f>Q58/P58</f>
        <v>0.97523110909254118</v>
      </c>
      <c r="R70" s="992">
        <f>R58/Q58</f>
        <v>0.91328176311574516</v>
      </c>
      <c r="S70" s="992">
        <f>S58/R58</f>
        <v>1.231201679859764</v>
      </c>
      <c r="T70" s="992"/>
      <c r="U70" s="992">
        <f>(P70*Q70*R70*S70)^(1/4)-1</f>
        <v>0.10477472204061589</v>
      </c>
      <c r="V70" s="992">
        <f>V58/S58</f>
        <v>1.0249022405205972</v>
      </c>
      <c r="W70" s="992"/>
      <c r="X70" s="992">
        <f t="shared" si="48"/>
        <v>8.8317146357122622E-2</v>
      </c>
      <c r="Y70" s="992"/>
      <c r="Z70" s="992"/>
      <c r="AA70" s="992">
        <f>AA58/V58</f>
        <v>0.97727272727272729</v>
      </c>
      <c r="AB70" s="992">
        <f>AB58/AA58</f>
        <v>1.0719822812846069</v>
      </c>
      <c r="AC70" s="992">
        <f>AC58/AB58</f>
        <v>1.0737603305785124</v>
      </c>
      <c r="AD70" s="992">
        <f>AD58/AC58</f>
        <v>1.0642678468347124</v>
      </c>
      <c r="AE70" s="992">
        <f>AE58/AD58</f>
        <v>1.0661724823720846</v>
      </c>
      <c r="AF70" s="992">
        <f t="shared" si="9"/>
        <v>5.2534556683426432</v>
      </c>
      <c r="AG70" s="992">
        <f>(AB70*AC70*AD70*AE70*AA70)^(1/5)-1</f>
        <v>5.0020626628883846E-2</v>
      </c>
      <c r="AH70" s="992"/>
      <c r="AI70" s="992"/>
    </row>
    <row r="71" spans="1:35" x14ac:dyDescent="0.25">
      <c r="A71" s="257" t="s">
        <v>435</v>
      </c>
      <c r="B71" s="1096" t="s">
        <v>1184</v>
      </c>
      <c r="C71" s="830"/>
      <c r="D71" s="830"/>
      <c r="E71" s="830"/>
      <c r="F71" s="830"/>
      <c r="G71" s="992"/>
      <c r="H71" s="992">
        <f t="shared" ref="H71:L72" si="49">H63/G63</f>
        <v>1.0678111084299808</v>
      </c>
      <c r="I71" s="992">
        <f t="shared" si="49"/>
        <v>1.0646232357615095</v>
      </c>
      <c r="J71" s="992">
        <f t="shared" si="49"/>
        <v>0.99752285021170328</v>
      </c>
      <c r="K71" s="992">
        <f t="shared" si="49"/>
        <v>0.81788526022968822</v>
      </c>
      <c r="L71" s="992">
        <f t="shared" si="49"/>
        <v>1.045146581527834</v>
      </c>
      <c r="M71" s="992"/>
      <c r="N71" s="992">
        <f>(H71*I71*J71*K71*L71)^(1/5)-1</f>
        <v>-6.205559772676783E-3</v>
      </c>
      <c r="O71" s="992"/>
      <c r="P71" s="992">
        <f>P63/L63</f>
        <v>1.0397342044431022</v>
      </c>
      <c r="Q71" s="992">
        <f t="shared" ref="Q71:S72" si="50">Q63/P63</f>
        <v>1.2919301426377814</v>
      </c>
      <c r="R71" s="992">
        <f t="shared" si="50"/>
        <v>1.1766611487168619</v>
      </c>
      <c r="S71" s="992">
        <f t="shared" si="50"/>
        <v>1.2737161663234227</v>
      </c>
      <c r="T71" s="992"/>
      <c r="U71" s="992">
        <f>(P71*Q71*R71*S71)^(1/4)-1</f>
        <v>0.19116345119575429</v>
      </c>
      <c r="V71" s="992">
        <f>V63/S63</f>
        <v>0.80259486563821458</v>
      </c>
      <c r="W71" s="992"/>
      <c r="X71" s="992">
        <f t="shared" si="48"/>
        <v>0.10071874612358922</v>
      </c>
      <c r="Y71" s="992"/>
      <c r="Z71" s="992"/>
      <c r="AA71" s="992">
        <f>AA63/V63</f>
        <v>1.0583035714285713</v>
      </c>
      <c r="AB71" s="992">
        <f t="shared" ref="AB71:AE72" si="51">AB63/AA63</f>
        <v>1.1085801063022021</v>
      </c>
      <c r="AC71" s="992">
        <f t="shared" si="51"/>
        <v>1.0842212075088788</v>
      </c>
      <c r="AD71" s="992">
        <f t="shared" si="51"/>
        <v>1.0868039307440336</v>
      </c>
      <c r="AE71" s="992">
        <f t="shared" si="51"/>
        <v>1.089989235737352</v>
      </c>
      <c r="AF71" s="992">
        <f t="shared" si="9"/>
        <v>5.4278980517210371</v>
      </c>
      <c r="AG71" s="992">
        <f>(AB71*AC71*AD71*AE71*AA71)^(1/5)-1</f>
        <v>8.5459765023383039E-2</v>
      </c>
      <c r="AH71" s="992"/>
      <c r="AI71" s="992"/>
    </row>
    <row r="72" spans="1:35" x14ac:dyDescent="0.25">
      <c r="A72" s="257" t="s">
        <v>436</v>
      </c>
      <c r="B72" s="1096" t="s">
        <v>1048</v>
      </c>
      <c r="C72" s="830"/>
      <c r="D72" s="830"/>
      <c r="E72" s="830"/>
      <c r="F72" s="830"/>
      <c r="G72" s="992"/>
      <c r="H72" s="992">
        <f t="shared" si="49"/>
        <v>2.1347002611007708</v>
      </c>
      <c r="I72" s="992">
        <f t="shared" si="49"/>
        <v>0.91887218434395534</v>
      </c>
      <c r="J72" s="992">
        <f t="shared" si="49"/>
        <v>2.3520318252315704</v>
      </c>
      <c r="K72" s="992">
        <f t="shared" si="49"/>
        <v>1.4883450646370728</v>
      </c>
      <c r="L72" s="992">
        <f t="shared" si="49"/>
        <v>2.6909469916664959</v>
      </c>
      <c r="M72" s="992"/>
      <c r="N72" s="992">
        <f>(H72*I72*J72*K72*L72)^(1/5)-1</f>
        <v>0.79196199769437925</v>
      </c>
      <c r="O72" s="992"/>
      <c r="P72" s="992">
        <f>P64/L64</f>
        <v>0.89127118887961554</v>
      </c>
      <c r="Q72" s="992">
        <f t="shared" si="50"/>
        <v>0.80378765862636825</v>
      </c>
      <c r="R72" s="992">
        <f t="shared" si="50"/>
        <v>0.71975494626895653</v>
      </c>
      <c r="S72" s="992">
        <f t="shared" si="50"/>
        <v>2.1445315770379261</v>
      </c>
      <c r="T72" s="992"/>
      <c r="U72" s="992">
        <f>(P72*Q72*R72*S72)^(1/4)-1</f>
        <v>2.5456108008594436E-2</v>
      </c>
      <c r="V72" s="992">
        <f>V64/S64</f>
        <v>0.91092458845728419</v>
      </c>
      <c r="W72" s="992"/>
      <c r="X72" s="992">
        <f t="shared" si="48"/>
        <v>1.4520179868888761E-3</v>
      </c>
      <c r="Y72" s="992"/>
      <c r="Z72" s="992"/>
      <c r="AA72" s="992">
        <f>AA64/V64</f>
        <v>1</v>
      </c>
      <c r="AB72" s="992">
        <f t="shared" si="51"/>
        <v>1.0714285714285714</v>
      </c>
      <c r="AC72" s="992">
        <f t="shared" si="51"/>
        <v>1.0666666666666667</v>
      </c>
      <c r="AD72" s="992">
        <f t="shared" si="51"/>
        <v>1.0625</v>
      </c>
      <c r="AE72" s="992">
        <f t="shared" si="51"/>
        <v>1.0588235294117647</v>
      </c>
      <c r="AF72" s="992">
        <f t="shared" ref="AF72:AF135" si="52">SUM(AA72:AE72)</f>
        <v>5.2594187675070021</v>
      </c>
      <c r="AG72" s="992">
        <f>(AB72*AC72*AD72*AE72*AA72)^(1/5)-1</f>
        <v>5.1547496797280434E-2</v>
      </c>
      <c r="AH72" s="992"/>
      <c r="AI72" s="992"/>
    </row>
    <row r="73" spans="1:35" s="1" customFormat="1" x14ac:dyDescent="0.25">
      <c r="A73" s="1097">
        <v>10</v>
      </c>
      <c r="B73" s="1098" t="s">
        <v>1074</v>
      </c>
      <c r="C73" s="26">
        <f t="shared" ref="C73:L73" si="53">C7</f>
        <v>1553480</v>
      </c>
      <c r="D73" s="26">
        <f t="shared" si="53"/>
        <v>2543746.399896</v>
      </c>
      <c r="E73" s="26">
        <f t="shared" si="53"/>
        <v>2504230</v>
      </c>
      <c r="F73" s="26">
        <f t="shared" si="53"/>
        <v>2936820</v>
      </c>
      <c r="G73" s="26">
        <f t="shared" si="53"/>
        <v>3970508.1362620005</v>
      </c>
      <c r="H73" s="26">
        <f t="shared" si="53"/>
        <v>4156306.1199669996</v>
      </c>
      <c r="I73" s="26">
        <f t="shared" si="53"/>
        <v>4518654.2436259994</v>
      </c>
      <c r="J73" s="26">
        <f t="shared" si="53"/>
        <v>4583182.5757370004</v>
      </c>
      <c r="K73" s="26">
        <f t="shared" si="53"/>
        <v>4112417.5781439999</v>
      </c>
      <c r="L73" s="26">
        <f t="shared" si="53"/>
        <v>5174957</v>
      </c>
      <c r="M73" s="26">
        <f>SUM(H73:L73)</f>
        <v>22545517.517473999</v>
      </c>
      <c r="N73" s="822"/>
      <c r="O73" s="822">
        <f>M73/$M$73</f>
        <v>1</v>
      </c>
      <c r="P73" s="26">
        <f>P7</f>
        <v>6334779</v>
      </c>
      <c r="Q73" s="26">
        <f>Q7</f>
        <v>6851996</v>
      </c>
      <c r="R73" s="26">
        <f>R7</f>
        <v>6983868</v>
      </c>
      <c r="S73" s="26">
        <f>S7</f>
        <v>8771013</v>
      </c>
      <c r="T73" s="26">
        <f>SUM(P73:S73)</f>
        <v>28941656</v>
      </c>
      <c r="U73" s="26"/>
      <c r="V73" s="26">
        <f>V7</f>
        <v>8050000</v>
      </c>
      <c r="W73" s="26">
        <f>SUM(T73,V73)</f>
        <v>36991656</v>
      </c>
      <c r="X73" s="26"/>
      <c r="Y73" s="822">
        <f>W73/$W$7</f>
        <v>1</v>
      </c>
      <c r="Z73" s="822">
        <f>W73/M73-1</f>
        <v>0.64075435267030167</v>
      </c>
      <c r="AA73" s="26">
        <f>AA7</f>
        <v>8140900</v>
      </c>
      <c r="AB73" s="26">
        <f>AB7</f>
        <v>8857000</v>
      </c>
      <c r="AC73" s="26">
        <f>AC7</f>
        <v>9551000</v>
      </c>
      <c r="AD73" s="26">
        <f>AD7</f>
        <v>10261000</v>
      </c>
      <c r="AE73" s="26">
        <f>AE7</f>
        <v>11050000</v>
      </c>
      <c r="AF73" s="26">
        <f t="shared" si="52"/>
        <v>47859900</v>
      </c>
      <c r="AG73" s="822"/>
      <c r="AH73" s="822">
        <f>AF73/$AF$73</f>
        <v>1</v>
      </c>
      <c r="AI73" s="985">
        <f>AF73/W73-1</f>
        <v>0.29380258077659449</v>
      </c>
    </row>
    <row r="74" spans="1:35" s="65" customFormat="1" x14ac:dyDescent="0.25">
      <c r="A74" s="1091" t="s">
        <v>564</v>
      </c>
      <c r="B74" s="1092" t="s">
        <v>1173</v>
      </c>
      <c r="C74" s="1010"/>
      <c r="D74" s="1010"/>
      <c r="E74" s="1010"/>
      <c r="F74" s="1010"/>
      <c r="G74" s="994"/>
      <c r="H74" s="994">
        <f>H73/G73</f>
        <v>1.046794510256291</v>
      </c>
      <c r="I74" s="994">
        <f>I73/H73</f>
        <v>1.0871803262801722</v>
      </c>
      <c r="J74" s="994">
        <f>J73/I73</f>
        <v>1.0142804314364227</v>
      </c>
      <c r="K74" s="994">
        <f>K73/J73</f>
        <v>0.89728425830443836</v>
      </c>
      <c r="L74" s="994">
        <f>L73/K73</f>
        <v>1.2583734267412459</v>
      </c>
      <c r="M74" s="994"/>
      <c r="N74" s="998">
        <f>(H74*I74*J74*K74*L74)^(1/5)-1</f>
        <v>5.441634872072143E-2</v>
      </c>
      <c r="O74" s="994"/>
      <c r="P74" s="994">
        <f>P73/L73</f>
        <v>1.2241220555069345</v>
      </c>
      <c r="Q74" s="994">
        <f>Q73/P73</f>
        <v>1.0816472050564037</v>
      </c>
      <c r="R74" s="994">
        <f>R73/Q73</f>
        <v>1.0192457788942084</v>
      </c>
      <c r="S74" s="994">
        <f>S73/R73</f>
        <v>1.2558961595494074</v>
      </c>
      <c r="T74" s="994"/>
      <c r="U74" s="994">
        <f>(P74*Q74*R74*S74)^(1/4)-1</f>
        <v>0.14100028344364191</v>
      </c>
      <c r="V74" s="994">
        <f>V73/S73</f>
        <v>0.91779592619461403</v>
      </c>
      <c r="W74" s="994"/>
      <c r="X74" s="994">
        <f t="shared" si="48"/>
        <v>9.2390279519624974E-2</v>
      </c>
      <c r="Y74" s="994"/>
      <c r="Z74" s="994"/>
      <c r="AA74" s="994">
        <f>AA73/V73</f>
        <v>1.0112919254658386</v>
      </c>
      <c r="AB74" s="994">
        <f>AB73/AA73</f>
        <v>1.0879632473068088</v>
      </c>
      <c r="AC74" s="994">
        <f>AC73/AB73</f>
        <v>1.0783561025177826</v>
      </c>
      <c r="AD74" s="994">
        <f>AD73/AC73</f>
        <v>1.0743377656789865</v>
      </c>
      <c r="AE74" s="994">
        <f>AE73/AD73</f>
        <v>1.0768930903420719</v>
      </c>
      <c r="AF74" s="994">
        <f t="shared" si="52"/>
        <v>5.3288421313114878</v>
      </c>
      <c r="AG74" s="992">
        <f>(AB74*AC74*AD74*AE74*AA74)^(1/5)-1</f>
        <v>6.5401440214975404E-2</v>
      </c>
      <c r="AH74" s="994"/>
      <c r="AI74" s="994">
        <f>+AG74-X74</f>
        <v>-2.698883930464957E-2</v>
      </c>
    </row>
    <row r="75" spans="1:35" s="65" customFormat="1" x14ac:dyDescent="0.25">
      <c r="A75" s="1091" t="s">
        <v>564</v>
      </c>
      <c r="B75" s="1092" t="s">
        <v>1178</v>
      </c>
      <c r="C75" s="1010"/>
      <c r="D75" s="1010"/>
      <c r="E75" s="1010"/>
      <c r="F75" s="1010"/>
      <c r="G75" s="994"/>
      <c r="H75" s="994">
        <f t="shared" ref="H75:M75" si="54">H73/H73</f>
        <v>1</v>
      </c>
      <c r="I75" s="994">
        <f t="shared" si="54"/>
        <v>1</v>
      </c>
      <c r="J75" s="994">
        <f t="shared" si="54"/>
        <v>1</v>
      </c>
      <c r="K75" s="994">
        <f t="shared" si="54"/>
        <v>1</v>
      </c>
      <c r="L75" s="994">
        <f t="shared" si="54"/>
        <v>1</v>
      </c>
      <c r="M75" s="994">
        <f t="shared" si="54"/>
        <v>1</v>
      </c>
      <c r="N75" s="994"/>
      <c r="O75" s="994"/>
      <c r="P75" s="994"/>
      <c r="Q75" s="994"/>
      <c r="R75" s="994"/>
      <c r="S75" s="994"/>
      <c r="T75" s="994">
        <f>T73/$T$73</f>
        <v>1</v>
      </c>
      <c r="U75" s="994"/>
      <c r="V75" s="994"/>
      <c r="W75" s="994">
        <f>W73/$W$73</f>
        <v>1</v>
      </c>
      <c r="X75" s="994"/>
      <c r="Y75" s="994"/>
      <c r="Z75" s="994"/>
      <c r="AA75" s="994"/>
      <c r="AB75" s="994"/>
      <c r="AC75" s="994"/>
      <c r="AD75" s="994"/>
      <c r="AE75" s="994"/>
      <c r="AF75" s="994">
        <f t="shared" si="52"/>
        <v>0</v>
      </c>
      <c r="AG75" s="994"/>
      <c r="AH75" s="994"/>
      <c r="AI75" s="994"/>
    </row>
    <row r="76" spans="1:35" s="1" customFormat="1" x14ac:dyDescent="0.25">
      <c r="A76" s="1097" t="s">
        <v>434</v>
      </c>
      <c r="B76" s="1098" t="s">
        <v>787</v>
      </c>
      <c r="C76" s="26">
        <f t="shared" ref="C76:H76" si="55">C79+C82</f>
        <v>137340</v>
      </c>
      <c r="D76" s="26">
        <f t="shared" si="55"/>
        <v>218870</v>
      </c>
      <c r="E76" s="26">
        <f t="shared" si="55"/>
        <v>250960</v>
      </c>
      <c r="F76" s="26">
        <f t="shared" si="55"/>
        <v>427970</v>
      </c>
      <c r="G76" s="26">
        <f t="shared" si="55"/>
        <v>511718</v>
      </c>
      <c r="H76" s="26">
        <f t="shared" si="55"/>
        <v>518821.53815899999</v>
      </c>
      <c r="I76" s="26">
        <f>I79+I82</f>
        <v>621252.36285999999</v>
      </c>
      <c r="J76" s="26">
        <f>J79+J82</f>
        <v>637708.48531999998</v>
      </c>
      <c r="K76" s="26">
        <f>K79+K82</f>
        <v>471746.97741499997</v>
      </c>
      <c r="L76" s="26">
        <f>L79+L82</f>
        <v>537596</v>
      </c>
      <c r="M76" s="26">
        <f>M79+M82</f>
        <v>2787125.363754</v>
      </c>
      <c r="N76" s="822"/>
      <c r="O76" s="822">
        <f>M76/$M$73</f>
        <v>0.12362215068222882</v>
      </c>
      <c r="P76" s="26">
        <f t="shared" ref="P76:V76" si="56">P79+P82</f>
        <v>527335</v>
      </c>
      <c r="Q76" s="26">
        <f t="shared" si="56"/>
        <v>583102</v>
      </c>
      <c r="R76" s="26">
        <f t="shared" si="56"/>
        <v>589448</v>
      </c>
      <c r="S76" s="26">
        <f>S79+S82</f>
        <v>703523</v>
      </c>
      <c r="T76" s="26">
        <f>SUM(P76:S76)</f>
        <v>2403408</v>
      </c>
      <c r="U76" s="26"/>
      <c r="V76" s="26">
        <f t="shared" si="56"/>
        <v>690000</v>
      </c>
      <c r="W76" s="26">
        <f>SUM(T76,V76)</f>
        <v>3093408</v>
      </c>
      <c r="X76" s="26"/>
      <c r="Y76" s="822">
        <f>W76/$W$7</f>
        <v>8.3624480071938387E-2</v>
      </c>
      <c r="Z76" s="822"/>
      <c r="AA76" s="26">
        <f>AA79+AA82</f>
        <v>745000</v>
      </c>
      <c r="AB76" s="26">
        <f>AB79+AB82</f>
        <v>793000</v>
      </c>
      <c r="AC76" s="26">
        <f>AC79+AC82</f>
        <v>850000</v>
      </c>
      <c r="AD76" s="26">
        <f>AD79+AD82</f>
        <v>909000</v>
      </c>
      <c r="AE76" s="26">
        <f>AE79+AE82</f>
        <v>973000</v>
      </c>
      <c r="AF76" s="26">
        <f t="shared" si="52"/>
        <v>4270000</v>
      </c>
      <c r="AG76" s="822"/>
      <c r="AH76" s="822"/>
      <c r="AI76" s="822"/>
    </row>
    <row r="77" spans="1:35" s="65" customFormat="1" x14ac:dyDescent="0.25">
      <c r="A77" s="1091" t="s">
        <v>564</v>
      </c>
      <c r="B77" s="1092" t="s">
        <v>1173</v>
      </c>
      <c r="C77" s="1010"/>
      <c r="D77" s="1010"/>
      <c r="E77" s="1010"/>
      <c r="F77" s="1010"/>
      <c r="G77" s="994"/>
      <c r="H77" s="994">
        <f>H76/G76</f>
        <v>1.0138817437709833</v>
      </c>
      <c r="I77" s="994">
        <f>I76/H76</f>
        <v>1.1974297849400553</v>
      </c>
      <c r="J77" s="994">
        <f>J76/I76</f>
        <v>1.0264886275590848</v>
      </c>
      <c r="K77" s="994">
        <f>K76/J76</f>
        <v>0.73975333287007927</v>
      </c>
      <c r="L77" s="994">
        <f>L76/K76</f>
        <v>1.1395854679256843</v>
      </c>
      <c r="M77" s="994"/>
      <c r="N77" s="998">
        <f>(H77*I77*J77*K77*L77)^(1/5)-1</f>
        <v>9.9155680111433497E-3</v>
      </c>
      <c r="O77" s="994"/>
      <c r="P77" s="994">
        <f>P76/L76</f>
        <v>0.98091317643732467</v>
      </c>
      <c r="Q77" s="994">
        <f>Q76/P76</f>
        <v>1.1057525102638741</v>
      </c>
      <c r="R77" s="994">
        <f>R76/Q76</f>
        <v>1.0108831730983601</v>
      </c>
      <c r="S77" s="994">
        <f>S76/R76</f>
        <v>1.1935285215998697</v>
      </c>
      <c r="T77" s="994"/>
      <c r="U77" s="994">
        <f>(P77*Q77*R77*S77)^(1/4)-1</f>
        <v>6.9561022819507379E-2</v>
      </c>
      <c r="V77" s="994">
        <f>V76/S76</f>
        <v>0.98077816929936901</v>
      </c>
      <c r="W77" s="994"/>
      <c r="X77" s="994">
        <f>(P77*Q77*R77*V77*S77)^(1/5)-1</f>
        <v>5.1183686584308941E-2</v>
      </c>
      <c r="Y77" s="994"/>
      <c r="Z77" s="994"/>
      <c r="AA77" s="994">
        <f>AA76/V76</f>
        <v>1.0797101449275361</v>
      </c>
      <c r="AB77" s="994">
        <f>AB76/AA76</f>
        <v>1.0644295302013422</v>
      </c>
      <c r="AC77" s="994">
        <f>AC76/AB76</f>
        <v>1.0718789407313998</v>
      </c>
      <c r="AD77" s="994">
        <f>AD76/AC76</f>
        <v>1.0694117647058823</v>
      </c>
      <c r="AE77" s="994">
        <f>AE76/AD76</f>
        <v>1.0704070407040704</v>
      </c>
      <c r="AF77" s="994">
        <f t="shared" si="52"/>
        <v>5.3558374212702304</v>
      </c>
      <c r="AG77" s="992">
        <f>(AB77*AC77*AD77*AE77*AA77)^(1/5)-1</f>
        <v>7.1156061909774193E-2</v>
      </c>
      <c r="AH77" s="994"/>
      <c r="AI77" s="994"/>
    </row>
    <row r="78" spans="1:35" s="65" customFormat="1" x14ac:dyDescent="0.25">
      <c r="A78" s="1091" t="s">
        <v>564</v>
      </c>
      <c r="B78" s="1092" t="s">
        <v>1178</v>
      </c>
      <c r="C78" s="1010"/>
      <c r="D78" s="1010"/>
      <c r="E78" s="1010"/>
      <c r="F78" s="1010"/>
      <c r="G78" s="994"/>
      <c r="H78" s="994">
        <f>H76/$H$73</f>
        <v>0.12482755677368619</v>
      </c>
      <c r="I78" s="994">
        <f>I76/$I$73</f>
        <v>0.13748614728297409</v>
      </c>
      <c r="J78" s="994">
        <f>J76/$J$73</f>
        <v>0.13914097350081084</v>
      </c>
      <c r="K78" s="994">
        <f>K76/$K$73</f>
        <v>0.11471281027543583</v>
      </c>
      <c r="L78" s="994">
        <f>L76/$L$73</f>
        <v>0.10388414821611078</v>
      </c>
      <c r="M78" s="994">
        <f>M76/$M$73</f>
        <v>0.12362215068222882</v>
      </c>
      <c r="N78" s="994"/>
      <c r="O78" s="994"/>
      <c r="P78" s="994">
        <f>P76/$P$73</f>
        <v>8.3244419418577978E-2</v>
      </c>
      <c r="Q78" s="994">
        <f>Q76/$Q$73</f>
        <v>8.5099582661752868E-2</v>
      </c>
      <c r="R78" s="994">
        <f>R76/$R$73</f>
        <v>8.4401366119749119E-2</v>
      </c>
      <c r="S78" s="994">
        <f>S76/$R$73</f>
        <v>0.10073543772591349</v>
      </c>
      <c r="T78" s="994">
        <f>T76/$T$73</f>
        <v>8.3043209414139951E-2</v>
      </c>
      <c r="U78" s="994"/>
      <c r="V78" s="994">
        <f>V76/$V$73</f>
        <v>8.5714285714285715E-2</v>
      </c>
      <c r="W78" s="994">
        <f>W76/$W$73</f>
        <v>8.3624480071938387E-2</v>
      </c>
      <c r="X78" s="994"/>
      <c r="Y78" s="992"/>
      <c r="Z78" s="992"/>
      <c r="AA78" s="994">
        <f>AA76/$AA$73</f>
        <v>9.1513223353683254E-2</v>
      </c>
      <c r="AB78" s="994">
        <f>AB76/$AB$73</f>
        <v>8.95337021564864E-2</v>
      </c>
      <c r="AC78" s="994">
        <f>AC76/$AC$73</f>
        <v>8.8995916657941571E-2</v>
      </c>
      <c r="AD78" s="994">
        <f>AD76/$AD$73</f>
        <v>8.8587856934022019E-2</v>
      </c>
      <c r="AE78" s="994">
        <f>AE76/$AE$73</f>
        <v>8.8054298642533932E-2</v>
      </c>
      <c r="AF78" s="994">
        <f t="shared" si="52"/>
        <v>0.44668499774466724</v>
      </c>
      <c r="AG78" s="994"/>
      <c r="AH78" s="992"/>
      <c r="AI78" s="994"/>
    </row>
    <row r="79" spans="1:35" s="1" customFormat="1" x14ac:dyDescent="0.25">
      <c r="A79" s="1084" t="s">
        <v>1188</v>
      </c>
      <c r="B79" s="551" t="s">
        <v>771</v>
      </c>
      <c r="C79" s="26">
        <f t="shared" ref="C79:M79" si="57">C10</f>
        <v>92540</v>
      </c>
      <c r="D79" s="26">
        <f t="shared" si="57"/>
        <v>116990</v>
      </c>
      <c r="E79" s="26">
        <f t="shared" si="57"/>
        <v>174910</v>
      </c>
      <c r="F79" s="26">
        <f t="shared" si="57"/>
        <v>255100</v>
      </c>
      <c r="G79" s="26">
        <f t="shared" si="57"/>
        <v>363111</v>
      </c>
      <c r="H79" s="26">
        <f t="shared" si="57"/>
        <v>375470.05056100001</v>
      </c>
      <c r="I79" s="26">
        <f t="shared" si="57"/>
        <v>392086.67269099999</v>
      </c>
      <c r="J79" s="26">
        <f t="shared" si="57"/>
        <v>377894.530516</v>
      </c>
      <c r="K79" s="26">
        <f t="shared" si="57"/>
        <v>203043.31661899999</v>
      </c>
      <c r="L79" s="26">
        <f t="shared" si="57"/>
        <v>205240</v>
      </c>
      <c r="M79" s="26">
        <f t="shared" si="57"/>
        <v>1553734.570387</v>
      </c>
      <c r="N79" s="822"/>
      <c r="O79" s="822">
        <f>M79/$M$73</f>
        <v>6.8915453778462671E-2</v>
      </c>
      <c r="P79" s="26">
        <f>P10</f>
        <v>203694</v>
      </c>
      <c r="Q79" s="26">
        <f>Q10</f>
        <v>198943</v>
      </c>
      <c r="R79" s="26">
        <f>R10</f>
        <v>203584</v>
      </c>
      <c r="S79" s="26">
        <f>S10</f>
        <v>223875</v>
      </c>
      <c r="T79" s="26">
        <f>SUM(P79:S79)</f>
        <v>830096</v>
      </c>
      <c r="U79" s="26"/>
      <c r="V79" s="26">
        <f>V10</f>
        <v>190000</v>
      </c>
      <c r="W79" s="26">
        <f>SUM(T79,V79)</f>
        <v>1020096</v>
      </c>
      <c r="X79" s="26"/>
      <c r="Y79" s="822">
        <f>W79/$W$7</f>
        <v>2.7576381008733428E-2</v>
      </c>
      <c r="Z79" s="822">
        <f>W79/M79-1</f>
        <v>-0.34345542704509868</v>
      </c>
      <c r="AA79" s="26">
        <f>AA10</f>
        <v>210000</v>
      </c>
      <c r="AB79" s="26">
        <f>AB10</f>
        <v>220000</v>
      </c>
      <c r="AC79" s="26">
        <f>AC10</f>
        <v>230000</v>
      </c>
      <c r="AD79" s="26">
        <f>AD10</f>
        <v>240000</v>
      </c>
      <c r="AE79" s="26">
        <f>AE10</f>
        <v>250000</v>
      </c>
      <c r="AF79" s="26">
        <f t="shared" si="52"/>
        <v>1150000</v>
      </c>
      <c r="AG79" s="822"/>
      <c r="AH79" s="822">
        <f>AF79/$AF$73</f>
        <v>2.4028466419695822E-2</v>
      </c>
      <c r="AI79" s="985">
        <f>AF79/W79-1</f>
        <v>0.12734487734487732</v>
      </c>
    </row>
    <row r="80" spans="1:35" s="65" customFormat="1" x14ac:dyDescent="0.25">
      <c r="A80" s="1091" t="s">
        <v>564</v>
      </c>
      <c r="B80" s="1092" t="s">
        <v>1173</v>
      </c>
      <c r="C80" s="1010"/>
      <c r="D80" s="1010"/>
      <c r="E80" s="1010"/>
      <c r="F80" s="1010"/>
      <c r="G80" s="994"/>
      <c r="H80" s="994">
        <f>H79/G79</f>
        <v>1.0340365633676756</v>
      </c>
      <c r="I80" s="994">
        <f>I79/H79</f>
        <v>1.0442555194619987</v>
      </c>
      <c r="J80" s="994">
        <f>J79/I79</f>
        <v>0.96380355884683511</v>
      </c>
      <c r="K80" s="994">
        <f>K79/J79</f>
        <v>0.53730154903737926</v>
      </c>
      <c r="L80" s="994">
        <f>L79/K79</f>
        <v>1.0108187918596798</v>
      </c>
      <c r="M80" s="994"/>
      <c r="N80" s="998">
        <f>(H80*I80*J80*K80*L80)^(1/5)-1</f>
        <v>-0.10783635910935707</v>
      </c>
      <c r="O80" s="994"/>
      <c r="P80" s="994">
        <f>P79/L79</f>
        <v>0.9924673552913662</v>
      </c>
      <c r="Q80" s="994">
        <f>Q79/P79</f>
        <v>0.97667579801074156</v>
      </c>
      <c r="R80" s="994">
        <f>R79/Q79</f>
        <v>1.0233282900127172</v>
      </c>
      <c r="S80" s="994">
        <f>S79/R79</f>
        <v>1.099668932725558</v>
      </c>
      <c r="T80" s="994"/>
      <c r="U80" s="994">
        <f>(P80*Q80*R80*S80)^(1/4)-1</f>
        <v>2.1964707674143158E-2</v>
      </c>
      <c r="V80" s="994">
        <f>V79/S79</f>
        <v>0.84868788386376326</v>
      </c>
      <c r="W80" s="994"/>
      <c r="X80" s="994">
        <f>(P80*Q80*R80*V80*S80)^(1/5)-1</f>
        <v>-1.531274001962879E-2</v>
      </c>
      <c r="Y80" s="994"/>
      <c r="Z80" s="994"/>
      <c r="AA80" s="994">
        <f>AA79/V79</f>
        <v>1.1052631578947369</v>
      </c>
      <c r="AB80" s="994">
        <f>AB79/AA79</f>
        <v>1.0476190476190477</v>
      </c>
      <c r="AC80" s="994">
        <f>AC79/AB79</f>
        <v>1.0454545454545454</v>
      </c>
      <c r="AD80" s="994">
        <f>AD79/AC79</f>
        <v>1.0434782608695652</v>
      </c>
      <c r="AE80" s="994">
        <f>AE79/AD79</f>
        <v>1.0416666666666667</v>
      </c>
      <c r="AF80" s="994">
        <f t="shared" si="52"/>
        <v>5.283481678504562</v>
      </c>
      <c r="AG80" s="992">
        <f>(AB80*AC80*AD80*AE80*AA80)^(1/5)-1</f>
        <v>5.6421622299043017E-2</v>
      </c>
      <c r="AH80" s="994"/>
      <c r="AI80" s="994"/>
    </row>
    <row r="81" spans="1:35" s="65" customFormat="1" x14ac:dyDescent="0.25">
      <c r="A81" s="1091" t="s">
        <v>564</v>
      </c>
      <c r="B81" s="1092" t="s">
        <v>1178</v>
      </c>
      <c r="C81" s="1010"/>
      <c r="D81" s="1010"/>
      <c r="E81" s="1010"/>
      <c r="F81" s="1010"/>
      <c r="G81" s="994"/>
      <c r="H81" s="994">
        <f>H79/$H$73</f>
        <v>9.0337438995946998E-2</v>
      </c>
      <c r="I81" s="994">
        <f>I79/$I$73</f>
        <v>8.6770673645605062E-2</v>
      </c>
      <c r="J81" s="994">
        <f>J79/$J$73</f>
        <v>8.2452427820908378E-2</v>
      </c>
      <c r="K81" s="994">
        <f>K79/$K$73</f>
        <v>4.9373224571867699E-2</v>
      </c>
      <c r="L81" s="994">
        <f>L79/$L$73</f>
        <v>3.9660232925606921E-2</v>
      </c>
      <c r="M81" s="994">
        <f>M79/$M$73</f>
        <v>6.8915453778462671E-2</v>
      </c>
      <c r="N81" s="994"/>
      <c r="O81" s="994"/>
      <c r="P81" s="994">
        <f>P79/$P$73</f>
        <v>3.2154870753975787E-2</v>
      </c>
      <c r="Q81" s="994">
        <f>Q79/$Q$73</f>
        <v>2.9034313505145071E-2</v>
      </c>
      <c r="R81" s="994">
        <f>R79/$R$73</f>
        <v>2.9150608230281559E-2</v>
      </c>
      <c r="S81" s="994">
        <f>S79/$R$73</f>
        <v>3.2056018240894588E-2</v>
      </c>
      <c r="T81" s="994">
        <f>T79/$T$73</f>
        <v>2.8681703631609747E-2</v>
      </c>
      <c r="U81" s="994"/>
      <c r="V81" s="994">
        <f>V79/$V$73</f>
        <v>2.3602484472049691E-2</v>
      </c>
      <c r="W81" s="994">
        <f>W79/$W$73</f>
        <v>2.7576381008733428E-2</v>
      </c>
      <c r="X81" s="994"/>
      <c r="Y81" s="992"/>
      <c r="Z81" s="992"/>
      <c r="AA81" s="994">
        <f>AA79/$AA$73</f>
        <v>2.5795673697011388E-2</v>
      </c>
      <c r="AB81" s="994">
        <f>AB79/$AB$73</f>
        <v>2.4839110308230779E-2</v>
      </c>
      <c r="AC81" s="994">
        <f>AC79/$AC$73</f>
        <v>2.4081248036854779E-2</v>
      </c>
      <c r="AD81" s="994">
        <f>AD79/$AD$73</f>
        <v>2.3389533183900205E-2</v>
      </c>
      <c r="AE81" s="994">
        <f>AE79/$AE$73</f>
        <v>2.2624434389140271E-2</v>
      </c>
      <c r="AF81" s="994">
        <f t="shared" si="52"/>
        <v>0.12072999961513743</v>
      </c>
      <c r="AG81" s="994"/>
      <c r="AH81" s="992"/>
      <c r="AI81" s="994"/>
    </row>
    <row r="82" spans="1:35" s="1" customFormat="1" x14ac:dyDescent="0.25">
      <c r="A82" s="1084" t="s">
        <v>1189</v>
      </c>
      <c r="B82" s="551" t="s">
        <v>772</v>
      </c>
      <c r="C82" s="26">
        <f t="shared" ref="C82:M82" si="58">C11</f>
        <v>44800</v>
      </c>
      <c r="D82" s="26">
        <f t="shared" si="58"/>
        <v>101880</v>
      </c>
      <c r="E82" s="26">
        <f t="shared" si="58"/>
        <v>76050</v>
      </c>
      <c r="F82" s="26">
        <f t="shared" si="58"/>
        <v>172870</v>
      </c>
      <c r="G82" s="26">
        <f t="shared" si="58"/>
        <v>148607</v>
      </c>
      <c r="H82" s="26">
        <f t="shared" si="58"/>
        <v>143351.48759800001</v>
      </c>
      <c r="I82" s="26">
        <f t="shared" si="58"/>
        <v>229165.69016900001</v>
      </c>
      <c r="J82" s="26">
        <f t="shared" si="58"/>
        <v>259813.95480400001</v>
      </c>
      <c r="K82" s="26">
        <f t="shared" si="58"/>
        <v>268703.66079599998</v>
      </c>
      <c r="L82" s="26">
        <f t="shared" si="58"/>
        <v>332356</v>
      </c>
      <c r="M82" s="26">
        <f t="shared" si="58"/>
        <v>1233390.7933670001</v>
      </c>
      <c r="N82" s="822"/>
      <c r="O82" s="822">
        <f>M82/$M$73</f>
        <v>5.4706696903766137E-2</v>
      </c>
      <c r="P82" s="26">
        <f>P11</f>
        <v>323641</v>
      </c>
      <c r="Q82" s="26">
        <f>Q11</f>
        <v>384159</v>
      </c>
      <c r="R82" s="26">
        <f>R11</f>
        <v>385864</v>
      </c>
      <c r="S82" s="26">
        <f>S11</f>
        <v>479648</v>
      </c>
      <c r="T82" s="26">
        <f>SUM(P82:S82)</f>
        <v>1573312</v>
      </c>
      <c r="U82" s="26"/>
      <c r="V82" s="26">
        <f>V11</f>
        <v>500000</v>
      </c>
      <c r="W82" s="26">
        <f>SUM(T82,V82)</f>
        <v>2073312</v>
      </c>
      <c r="X82" s="26"/>
      <c r="Y82" s="822">
        <f>W82/$W$7</f>
        <v>5.6048099063204959E-2</v>
      </c>
      <c r="Z82" s="822">
        <f>W82/M82-1</f>
        <v>0.68098546798790505</v>
      </c>
      <c r="AA82" s="26">
        <f>AA11</f>
        <v>535000</v>
      </c>
      <c r="AB82" s="26">
        <f>AB11</f>
        <v>573000</v>
      </c>
      <c r="AC82" s="26">
        <f>AC11</f>
        <v>620000</v>
      </c>
      <c r="AD82" s="26">
        <f>AD11</f>
        <v>669000</v>
      </c>
      <c r="AE82" s="26">
        <f>AE11</f>
        <v>723000</v>
      </c>
      <c r="AF82" s="26">
        <f t="shared" si="52"/>
        <v>3120000</v>
      </c>
      <c r="AG82" s="822"/>
      <c r="AH82" s="822">
        <f>AF82/$AF$73</f>
        <v>6.5190274112566046E-2</v>
      </c>
      <c r="AI82" s="985">
        <f>AF82/W82-1</f>
        <v>0.50483863499560133</v>
      </c>
    </row>
    <row r="83" spans="1:35" x14ac:dyDescent="0.25">
      <c r="A83" s="1091" t="s">
        <v>564</v>
      </c>
      <c r="B83" s="1092" t="s">
        <v>1173</v>
      </c>
      <c r="C83" s="1010"/>
      <c r="D83" s="1010"/>
      <c r="E83" s="1010"/>
      <c r="F83" s="1010"/>
      <c r="G83" s="994"/>
      <c r="H83" s="994">
        <f>H82/G82</f>
        <v>0.96463482607145024</v>
      </c>
      <c r="I83" s="994">
        <f>I82/H82</f>
        <v>1.5986279180558518</v>
      </c>
      <c r="J83" s="994">
        <f>J82/I82</f>
        <v>1.1337384519139764</v>
      </c>
      <c r="K83" s="994">
        <f>K82/J82</f>
        <v>1.0342156601969523</v>
      </c>
      <c r="L83" s="994">
        <f>L82/K82</f>
        <v>1.2368867585035432</v>
      </c>
      <c r="M83" s="994"/>
      <c r="N83" s="998">
        <f>(H83*I83*J83*K83*L83)^(1/5)-1</f>
        <v>0.17466181508080636</v>
      </c>
      <c r="O83" s="994"/>
      <c r="P83" s="994">
        <f>P82/L82</f>
        <v>0.97377811744033504</v>
      </c>
      <c r="Q83" s="994">
        <f>Q82/P82</f>
        <v>1.1869911414190415</v>
      </c>
      <c r="R83" s="994">
        <f>R82/Q82</f>
        <v>1.004438266446966</v>
      </c>
      <c r="S83" s="994">
        <f>S82/R82</f>
        <v>1.2430493645429477</v>
      </c>
      <c r="T83" s="994"/>
      <c r="U83" s="994">
        <f>(P83*Q83*R83*S83)^(1/4)-1</f>
        <v>9.6048516572311282E-2</v>
      </c>
      <c r="V83" s="994">
        <f>V82/S82</f>
        <v>1.0424311161518447</v>
      </c>
      <c r="W83" s="994"/>
      <c r="X83" s="994">
        <f>(P83*Q83*R83*V83*S83)^(1/5)-1</f>
        <v>8.5108826590942321E-2</v>
      </c>
      <c r="Y83" s="994"/>
      <c r="Z83" s="994"/>
      <c r="AA83" s="994">
        <f>AA82/V82</f>
        <v>1.07</v>
      </c>
      <c r="AB83" s="994">
        <f>AB82/AA82</f>
        <v>1.0710280373831775</v>
      </c>
      <c r="AC83" s="994">
        <f>AC82/AB82</f>
        <v>1.0820244328097732</v>
      </c>
      <c r="AD83" s="994">
        <f>AD82/AC82</f>
        <v>1.0790322580645162</v>
      </c>
      <c r="AE83" s="994">
        <f>AE82/AD82</f>
        <v>1.0807174887892377</v>
      </c>
      <c r="AF83" s="994">
        <f t="shared" si="52"/>
        <v>5.3828022170467049</v>
      </c>
      <c r="AG83" s="992">
        <f>(AB83*AC83*AD83*AE83*AA83)^(1/5)-1</f>
        <v>7.6548644823845713E-2</v>
      </c>
      <c r="AH83" s="994"/>
      <c r="AI83" s="994"/>
    </row>
    <row r="84" spans="1:35" x14ac:dyDescent="0.25">
      <c r="A84" s="1091" t="s">
        <v>564</v>
      </c>
      <c r="B84" s="1092" t="s">
        <v>1178</v>
      </c>
      <c r="C84" s="1010"/>
      <c r="D84" s="1010"/>
      <c r="E84" s="1010"/>
      <c r="F84" s="1010"/>
      <c r="G84" s="994"/>
      <c r="H84" s="994">
        <f>H82/$H$73</f>
        <v>3.4490117777739186E-2</v>
      </c>
      <c r="I84" s="994">
        <f>I82/$I$73</f>
        <v>5.0715473637369016E-2</v>
      </c>
      <c r="J84" s="994">
        <f>J82/$J$73</f>
        <v>5.6688545679902468E-2</v>
      </c>
      <c r="K84" s="994">
        <f>K82/$K$73</f>
        <v>6.533958570356814E-2</v>
      </c>
      <c r="L84" s="994">
        <f>L82/$L$73</f>
        <v>6.4223915290503863E-2</v>
      </c>
      <c r="M84" s="994">
        <f>M82/$M$73</f>
        <v>5.4706696903766137E-2</v>
      </c>
      <c r="N84" s="994"/>
      <c r="O84" s="994"/>
      <c r="P84" s="994">
        <f>P82/$P$73</f>
        <v>5.1089548664602191E-2</v>
      </c>
      <c r="Q84" s="994">
        <f>Q82/$Q$73</f>
        <v>5.6065269156607797E-2</v>
      </c>
      <c r="R84" s="994">
        <f>R82/$R$73</f>
        <v>5.5250757889467553E-2</v>
      </c>
      <c r="S84" s="994">
        <f>S82/$R$73</f>
        <v>6.8679419485018905E-2</v>
      </c>
      <c r="T84" s="994">
        <f>T82/$T$73</f>
        <v>5.4361505782530205E-2</v>
      </c>
      <c r="U84" s="994"/>
      <c r="V84" s="994">
        <f>V82/$V$73</f>
        <v>6.2111801242236024E-2</v>
      </c>
      <c r="W84" s="994">
        <f>W82/$W$73</f>
        <v>5.6048099063204959E-2</v>
      </c>
      <c r="X84" s="994"/>
      <c r="Y84" s="992"/>
      <c r="Z84" s="992"/>
      <c r="AA84" s="994">
        <f>AA82/$AA$73</f>
        <v>6.571754965667187E-2</v>
      </c>
      <c r="AB84" s="994">
        <f>AB82/$AB$73</f>
        <v>6.4694591848255614E-2</v>
      </c>
      <c r="AC84" s="994">
        <f>AC82/$AC$73</f>
        <v>6.4914668621086802E-2</v>
      </c>
      <c r="AD84" s="994">
        <f>AD82/$AD$73</f>
        <v>6.5198323750121814E-2</v>
      </c>
      <c r="AE84" s="994">
        <f>AE82/$AE$73</f>
        <v>6.5429864253393671E-2</v>
      </c>
      <c r="AF84" s="994">
        <f t="shared" si="52"/>
        <v>0.32595499812952977</v>
      </c>
      <c r="AG84" s="994"/>
      <c r="AH84" s="992"/>
      <c r="AI84" s="994"/>
    </row>
    <row r="85" spans="1:35" s="1" customFormat="1" x14ac:dyDescent="0.25">
      <c r="A85" s="1084" t="s">
        <v>435</v>
      </c>
      <c r="B85" s="551" t="s">
        <v>1073</v>
      </c>
      <c r="C85" s="26">
        <f t="shared" ref="C85:M85" si="59">C13</f>
        <v>271920</v>
      </c>
      <c r="D85" s="26">
        <f t="shared" si="59"/>
        <v>369340</v>
      </c>
      <c r="E85" s="26">
        <f t="shared" si="59"/>
        <v>554950</v>
      </c>
      <c r="F85" s="26">
        <f t="shared" si="59"/>
        <v>654560</v>
      </c>
      <c r="G85" s="26">
        <f t="shared" si="59"/>
        <v>873678</v>
      </c>
      <c r="H85" s="26">
        <f t="shared" si="59"/>
        <v>1024104.439563</v>
      </c>
      <c r="I85" s="26">
        <f t="shared" si="59"/>
        <v>1064747.6828060001</v>
      </c>
      <c r="J85" s="26">
        <f t="shared" si="59"/>
        <v>1081721.420525</v>
      </c>
      <c r="K85" s="26">
        <f t="shared" si="59"/>
        <v>744273.199104</v>
      </c>
      <c r="L85" s="26">
        <f t="shared" si="59"/>
        <v>586685</v>
      </c>
      <c r="M85" s="26">
        <f t="shared" si="59"/>
        <v>4501531.7419980001</v>
      </c>
      <c r="N85" s="822"/>
      <c r="O85" s="822">
        <f>M85/$M$73</f>
        <v>0.19966415667810991</v>
      </c>
      <c r="P85" s="26">
        <f>P13</f>
        <v>674044</v>
      </c>
      <c r="Q85" s="26">
        <f>Q13</f>
        <v>895287</v>
      </c>
      <c r="R85" s="26">
        <f>R13</f>
        <v>943679</v>
      </c>
      <c r="S85" s="26">
        <f>S13</f>
        <v>1430938</v>
      </c>
      <c r="T85" s="26">
        <f>SUM(P85:S85)</f>
        <v>3943948</v>
      </c>
      <c r="U85" s="26"/>
      <c r="V85" s="26">
        <f>V13</f>
        <v>1210000</v>
      </c>
      <c r="W85" s="26">
        <f>SUM(T85,V85)</f>
        <v>5153948</v>
      </c>
      <c r="X85" s="26"/>
      <c r="Y85" s="822">
        <f>W85/$W$7</f>
        <v>0.13932731208356824</v>
      </c>
      <c r="Z85" s="822">
        <f>W85/M85-1</f>
        <v>0.14493205766276018</v>
      </c>
      <c r="AA85" s="26">
        <f>AA13</f>
        <v>1315000</v>
      </c>
      <c r="AB85" s="26">
        <f>AB13</f>
        <v>1511000</v>
      </c>
      <c r="AC85" s="26">
        <f>AC13</f>
        <v>1737000</v>
      </c>
      <c r="AD85" s="26">
        <f>AD13</f>
        <v>1996000</v>
      </c>
      <c r="AE85" s="26">
        <f>AE13</f>
        <v>2295000</v>
      </c>
      <c r="AF85" s="26">
        <f t="shared" si="52"/>
        <v>8854000</v>
      </c>
      <c r="AG85" s="822"/>
      <c r="AH85" s="822">
        <f>AF85/$AF$73</f>
        <v>0.18499829711303201</v>
      </c>
      <c r="AI85" s="985">
        <f>AF85/W85-1</f>
        <v>0.71790635062674291</v>
      </c>
    </row>
    <row r="86" spans="1:35" x14ac:dyDescent="0.25">
      <c r="A86" s="1091" t="s">
        <v>564</v>
      </c>
      <c r="B86" s="1092" t="s">
        <v>1173</v>
      </c>
      <c r="C86" s="1010"/>
      <c r="D86" s="1010"/>
      <c r="E86" s="1010"/>
      <c r="F86" s="1010"/>
      <c r="G86" s="994"/>
      <c r="H86" s="994">
        <f>H85/G85</f>
        <v>1.172176064365819</v>
      </c>
      <c r="I86" s="994">
        <f>I85/H85</f>
        <v>1.0396866195212895</v>
      </c>
      <c r="J86" s="994">
        <f>J85/I85</f>
        <v>1.0159415587308609</v>
      </c>
      <c r="K86" s="994">
        <f>K85/J85</f>
        <v>0.6880451703940339</v>
      </c>
      <c r="L86" s="994">
        <f>L85/K85</f>
        <v>0.78826565393767511</v>
      </c>
      <c r="M86" s="994"/>
      <c r="N86" s="998">
        <f>(H86*I86*J86*K86*L86)^(1/5)-1</f>
        <v>-7.6555674498281601E-2</v>
      </c>
      <c r="O86" s="994"/>
      <c r="P86" s="994">
        <f>P85/L85</f>
        <v>1.1489027331532253</v>
      </c>
      <c r="Q86" s="994">
        <f>Q85/P85</f>
        <v>1.3282322815721228</v>
      </c>
      <c r="R86" s="994">
        <f>R85/Q85</f>
        <v>1.0540519408859952</v>
      </c>
      <c r="S86" s="994">
        <f>S85/R85</f>
        <v>1.5163397723166459</v>
      </c>
      <c r="T86" s="994"/>
      <c r="U86" s="994">
        <f>(P86*Q86*R86*S86)^(1/4)-1</f>
        <v>0.2496947866868735</v>
      </c>
      <c r="V86" s="994">
        <f>V85/S85</f>
        <v>0.84559918039775306</v>
      </c>
      <c r="W86" s="994"/>
      <c r="X86" s="994">
        <f>(P86*Q86*R86*V86*S86)^(1/5)-1</f>
        <v>0.15578240081530326</v>
      </c>
      <c r="Y86" s="994"/>
      <c r="Z86" s="994"/>
      <c r="AA86" s="994">
        <f>AA85/V85</f>
        <v>1.0867768595041323</v>
      </c>
      <c r="AB86" s="994">
        <f>AB85/AA85</f>
        <v>1.1490494296577947</v>
      </c>
      <c r="AC86" s="994">
        <f>AC85/AB85</f>
        <v>1.1495698213103904</v>
      </c>
      <c r="AD86" s="994">
        <f>AD85/AC85</f>
        <v>1.1491076568796776</v>
      </c>
      <c r="AE86" s="994">
        <f>AE85/AD85</f>
        <v>1.1497995991983967</v>
      </c>
      <c r="AF86" s="994">
        <f t="shared" si="52"/>
        <v>5.6843033665503908</v>
      </c>
      <c r="AG86" s="992">
        <f>(AB86*AC86*AD86*AE86*AA86)^(1/5)-1</f>
        <v>0.13657857176840715</v>
      </c>
      <c r="AH86" s="994"/>
      <c r="AI86" s="994"/>
    </row>
    <row r="87" spans="1:35" x14ac:dyDescent="0.25">
      <c r="A87" s="1091" t="s">
        <v>564</v>
      </c>
      <c r="B87" s="1092" t="s">
        <v>1178</v>
      </c>
      <c r="C87" s="1010"/>
      <c r="D87" s="1010"/>
      <c r="E87" s="1010"/>
      <c r="F87" s="1010"/>
      <c r="G87" s="994"/>
      <c r="H87" s="994">
        <f>H85/$H$73</f>
        <v>0.24639774116809549</v>
      </c>
      <c r="I87" s="994">
        <f>I85/$I$73</f>
        <v>0.2356338027650445</v>
      </c>
      <c r="J87" s="994">
        <f>J85/$J$73</f>
        <v>0.23601970959035018</v>
      </c>
      <c r="K87" s="994">
        <f>K85/$K$73</f>
        <v>0.18098191269766492</v>
      </c>
      <c r="L87" s="994">
        <f>L85/$L$73</f>
        <v>0.11337002413739863</v>
      </c>
      <c r="M87" s="994">
        <f>M85/$M$73</f>
        <v>0.19966415667810991</v>
      </c>
      <c r="N87" s="994"/>
      <c r="O87" s="994"/>
      <c r="P87" s="994">
        <f>P85/$P$73</f>
        <v>0.10640371195269796</v>
      </c>
      <c r="Q87" s="994">
        <f>Q85/$Q$73</f>
        <v>0.13066075928824245</v>
      </c>
      <c r="R87" s="994">
        <f>R85/$R$73</f>
        <v>0.13512268559485946</v>
      </c>
      <c r="S87" s="994">
        <f>S85/$R$73</f>
        <v>0.20489190230972293</v>
      </c>
      <c r="T87" s="994">
        <f>T85/$T$73</f>
        <v>0.13627236810499027</v>
      </c>
      <c r="U87" s="994"/>
      <c r="V87" s="994">
        <f>V85/$V$73</f>
        <v>0.15031055900621118</v>
      </c>
      <c r="W87" s="994">
        <f>W85/$W$73</f>
        <v>0.13932731208356824</v>
      </c>
      <c r="X87" s="994"/>
      <c r="Y87" s="992"/>
      <c r="Z87" s="992"/>
      <c r="AA87" s="994">
        <f>AA85/$AA$73</f>
        <v>0.16153005195985701</v>
      </c>
      <c r="AB87" s="994">
        <f>AB85/$AB$73</f>
        <v>0.17059952579880322</v>
      </c>
      <c r="AC87" s="994">
        <f>AC85/$AC$73</f>
        <v>0.18186577321746414</v>
      </c>
      <c r="AD87" s="994">
        <f>AD85/$AD$73</f>
        <v>0.1945229509794367</v>
      </c>
      <c r="AE87" s="994">
        <f>AE85/$AE$73</f>
        <v>0.2076923076923077</v>
      </c>
      <c r="AF87" s="994">
        <f t="shared" si="52"/>
        <v>0.91621060964786882</v>
      </c>
      <c r="AG87" s="994"/>
      <c r="AH87" s="992"/>
      <c r="AI87" s="994"/>
    </row>
    <row r="88" spans="1:35" s="1" customFormat="1" x14ac:dyDescent="0.25">
      <c r="A88" s="1097" t="s">
        <v>436</v>
      </c>
      <c r="B88" s="551" t="s">
        <v>1034</v>
      </c>
      <c r="C88" s="26">
        <f t="shared" ref="C88:M88" si="60">C18</f>
        <v>154600</v>
      </c>
      <c r="D88" s="26">
        <f t="shared" si="60"/>
        <v>172040</v>
      </c>
      <c r="E88" s="26">
        <f t="shared" si="60"/>
        <v>185420</v>
      </c>
      <c r="F88" s="26">
        <f t="shared" si="60"/>
        <v>382620</v>
      </c>
      <c r="G88" s="26">
        <f t="shared" si="60"/>
        <v>499448.84769999998</v>
      </c>
      <c r="H88" s="26">
        <f t="shared" si="60"/>
        <v>650890.53007500002</v>
      </c>
      <c r="I88" s="26">
        <f t="shared" si="60"/>
        <v>646721.78421900002</v>
      </c>
      <c r="J88" s="26">
        <f t="shared" si="60"/>
        <v>553543.69900000002</v>
      </c>
      <c r="K88" s="26">
        <f t="shared" si="60"/>
        <v>670403.16145000001</v>
      </c>
      <c r="L88" s="26">
        <f t="shared" si="60"/>
        <v>1299030</v>
      </c>
      <c r="M88" s="26">
        <f t="shared" si="60"/>
        <v>3820589.1747440002</v>
      </c>
      <c r="N88" s="822"/>
      <c r="O88" s="822">
        <f>M88/$M$73</f>
        <v>0.16946114329745751</v>
      </c>
      <c r="P88" s="26">
        <f>P18</f>
        <v>2273225</v>
      </c>
      <c r="Q88" s="26">
        <f>Q18</f>
        <v>1947905</v>
      </c>
      <c r="R88" s="26">
        <f>R18</f>
        <v>1700536</v>
      </c>
      <c r="S88" s="26">
        <f>S18</f>
        <v>2280939</v>
      </c>
      <c r="T88" s="26">
        <f>SUM(P88:S88)</f>
        <v>8202605</v>
      </c>
      <c r="U88" s="26"/>
      <c r="V88" s="26">
        <f>V18</f>
        <v>2130000</v>
      </c>
      <c r="W88" s="26">
        <f>SUM(T88,V88)</f>
        <v>10332605</v>
      </c>
      <c r="X88" s="26"/>
      <c r="Y88" s="822">
        <f>W88/$W$7</f>
        <v>0.27932258561227968</v>
      </c>
      <c r="Z88" s="822">
        <f>W88/M88-1</f>
        <v>1.7044532995862713</v>
      </c>
      <c r="AA88" s="26">
        <f>AA18</f>
        <v>2270000</v>
      </c>
      <c r="AB88" s="26">
        <f>AB18</f>
        <v>2497000</v>
      </c>
      <c r="AC88" s="26">
        <f>AC18</f>
        <v>2747000</v>
      </c>
      <c r="AD88" s="26">
        <f>AD18</f>
        <v>3022000</v>
      </c>
      <c r="AE88" s="26">
        <f>AE18</f>
        <v>3324000</v>
      </c>
      <c r="AF88" s="26">
        <f t="shared" si="52"/>
        <v>13860000</v>
      </c>
      <c r="AG88" s="822"/>
      <c r="AH88" s="822">
        <f>AF88/$AF$73</f>
        <v>0.28959525615389919</v>
      </c>
      <c r="AI88" s="985">
        <f>AF88/W88-1</f>
        <v>0.34138486857864003</v>
      </c>
    </row>
    <row r="89" spans="1:35" x14ac:dyDescent="0.25">
      <c r="A89" s="1091" t="s">
        <v>564</v>
      </c>
      <c r="B89" s="1092" t="s">
        <v>1173</v>
      </c>
      <c r="C89" s="1010"/>
      <c r="D89" s="1010"/>
      <c r="E89" s="1010"/>
      <c r="F89" s="1010"/>
      <c r="G89" s="994"/>
      <c r="H89" s="994">
        <f>H88/G88</f>
        <v>1.303217602908487</v>
      </c>
      <c r="I89" s="994">
        <f>I88/H88</f>
        <v>0.99359531954548541</v>
      </c>
      <c r="J89" s="994">
        <f>J88/I88</f>
        <v>0.85592245770486208</v>
      </c>
      <c r="K89" s="994">
        <f>K88/J88</f>
        <v>1.2111115394522809</v>
      </c>
      <c r="L89" s="994">
        <f>L88/K88</f>
        <v>1.9376847764117893</v>
      </c>
      <c r="M89" s="994"/>
      <c r="N89" s="998">
        <f>(H89*I89*J89*K89*L89)^(1/5)-1</f>
        <v>0.21066958798459878</v>
      </c>
      <c r="O89" s="994"/>
      <c r="P89" s="994">
        <f>P88/L88</f>
        <v>1.7499403400999207</v>
      </c>
      <c r="Q89" s="994">
        <f>Q88/P88</f>
        <v>0.85689054097152728</v>
      </c>
      <c r="R89" s="994">
        <f>R88/Q88</f>
        <v>0.87300766721169665</v>
      </c>
      <c r="S89" s="994">
        <f>S88/R88</f>
        <v>1.3413059176636073</v>
      </c>
      <c r="T89" s="994"/>
      <c r="U89" s="994">
        <f>(P89*Q89*R89*S89)^(1/4)-1</f>
        <v>0.15112801248090002</v>
      </c>
      <c r="V89" s="994">
        <f>V88/S88</f>
        <v>0.93382593747575016</v>
      </c>
      <c r="W89" s="994"/>
      <c r="X89" s="994">
        <f>(P89*Q89*R89*V89*S89)^(1/5)-1</f>
        <v>0.10395681420545122</v>
      </c>
      <c r="Y89" s="994"/>
      <c r="Z89" s="994"/>
      <c r="AA89" s="994">
        <f>AA88/V88</f>
        <v>1.0657276995305165</v>
      </c>
      <c r="AB89" s="994">
        <f>AB88/AA88</f>
        <v>1.1000000000000001</v>
      </c>
      <c r="AC89" s="994">
        <f>AC88/AB88</f>
        <v>1.1001201441730075</v>
      </c>
      <c r="AD89" s="994">
        <f>AD88/AC88</f>
        <v>1.1001092100473244</v>
      </c>
      <c r="AE89" s="994">
        <f>AE88/AD88</f>
        <v>1.0999338186631369</v>
      </c>
      <c r="AF89" s="994">
        <f t="shared" si="52"/>
        <v>5.4658908724139845</v>
      </c>
      <c r="AG89" s="992">
        <f>(AB89*AC89*AD89*AE89*AA89)^(1/5)-1</f>
        <v>9.3090908874554401E-2</v>
      </c>
      <c r="AH89" s="994"/>
      <c r="AI89" s="994"/>
    </row>
    <row r="90" spans="1:35" x14ac:dyDescent="0.25">
      <c r="A90" s="1091" t="s">
        <v>564</v>
      </c>
      <c r="B90" s="1092" t="s">
        <v>1178</v>
      </c>
      <c r="C90" s="1010"/>
      <c r="D90" s="1010"/>
      <c r="E90" s="1010"/>
      <c r="F90" s="1010"/>
      <c r="G90" s="994"/>
      <c r="H90" s="994">
        <f>H88/$H$73</f>
        <v>0.1566031257775036</v>
      </c>
      <c r="I90" s="994">
        <f>I88/$I$73</f>
        <v>0.14312265319508877</v>
      </c>
      <c r="J90" s="994">
        <f>J88/$J$73</f>
        <v>0.12077714336112548</v>
      </c>
      <c r="K90" s="994">
        <f>K88/$K$73</f>
        <v>0.16301923350706124</v>
      </c>
      <c r="L90" s="994">
        <f>L88/$L$73</f>
        <v>0.25102237564486041</v>
      </c>
      <c r="M90" s="994">
        <f>M88/$M$73</f>
        <v>0.16946114329745751</v>
      </c>
      <c r="N90" s="994"/>
      <c r="O90" s="994"/>
      <c r="P90" s="994">
        <f>P88/$P$73</f>
        <v>0.35884835130002168</v>
      </c>
      <c r="Q90" s="994">
        <f>Q88/$Q$73</f>
        <v>0.28428285714118923</v>
      </c>
      <c r="R90" s="994">
        <f>R88/$R$73</f>
        <v>0.24349486559597061</v>
      </c>
      <c r="S90" s="994">
        <f>S88/$R$73</f>
        <v>0.32660110414458005</v>
      </c>
      <c r="T90" s="994">
        <f>T88/$T$73</f>
        <v>0.28341864750240969</v>
      </c>
      <c r="U90" s="994"/>
      <c r="V90" s="994">
        <f>V88/$V$73</f>
        <v>0.26459627329192548</v>
      </c>
      <c r="W90" s="994">
        <f>W88/$W$73</f>
        <v>0.27932258561227968</v>
      </c>
      <c r="X90" s="994"/>
      <c r="Y90" s="992"/>
      <c r="Z90" s="992"/>
      <c r="AA90" s="994">
        <f>AA88/$AA$73</f>
        <v>0.27883894901055167</v>
      </c>
      <c r="AB90" s="994">
        <f>AB88/$AB$73</f>
        <v>0.28192390199841932</v>
      </c>
      <c r="AC90" s="994">
        <f>AC88/$AC$73</f>
        <v>0.28761386242278297</v>
      </c>
      <c r="AD90" s="994">
        <f>AD88/$AD$73</f>
        <v>0.2945132053406101</v>
      </c>
      <c r="AE90" s="994">
        <f>AE88/$AE$73</f>
        <v>0.30081447963800906</v>
      </c>
      <c r="AF90" s="994">
        <f t="shared" si="52"/>
        <v>1.4437043984103732</v>
      </c>
      <c r="AG90" s="994"/>
      <c r="AH90" s="992"/>
      <c r="AI90" s="994"/>
    </row>
    <row r="91" spans="1:35" s="1" customFormat="1" x14ac:dyDescent="0.25">
      <c r="A91" s="1097" t="s">
        <v>437</v>
      </c>
      <c r="B91" s="551" t="s">
        <v>418</v>
      </c>
      <c r="C91" s="26">
        <f t="shared" ref="C91:M91" si="61">C20</f>
        <v>191500</v>
      </c>
      <c r="D91" s="26">
        <f t="shared" si="61"/>
        <v>415260</v>
      </c>
      <c r="E91" s="26">
        <f t="shared" si="61"/>
        <v>444040</v>
      </c>
      <c r="F91" s="26">
        <f t="shared" si="61"/>
        <v>300000</v>
      </c>
      <c r="G91" s="26">
        <f t="shared" si="61"/>
        <v>407675.25223099999</v>
      </c>
      <c r="H91" s="26">
        <f t="shared" si="61"/>
        <v>394171.66318199999</v>
      </c>
      <c r="I91" s="26">
        <f t="shared" si="61"/>
        <v>413801.849995</v>
      </c>
      <c r="J91" s="26">
        <f t="shared" si="61"/>
        <v>312735.00110200001</v>
      </c>
      <c r="K91" s="26">
        <f t="shared" si="61"/>
        <v>379564.95398699999</v>
      </c>
      <c r="L91" s="26">
        <f t="shared" si="61"/>
        <v>383777</v>
      </c>
      <c r="M91" s="26">
        <f t="shared" si="61"/>
        <v>1884050.468266</v>
      </c>
      <c r="N91" s="822"/>
      <c r="O91" s="822">
        <f>M91/$M$73</f>
        <v>8.3566521230029819E-2</v>
      </c>
      <c r="P91" s="26">
        <f>P20</f>
        <v>454422</v>
      </c>
      <c r="Q91" s="26">
        <f>Q20</f>
        <v>639601</v>
      </c>
      <c r="R91" s="26">
        <f>R20</f>
        <v>843422</v>
      </c>
      <c r="S91" s="26">
        <f>S20</f>
        <v>964965</v>
      </c>
      <c r="T91" s="26">
        <f>SUM(P91:S91)</f>
        <v>2902410</v>
      </c>
      <c r="U91" s="26"/>
      <c r="V91" s="26">
        <f>V20</f>
        <v>750000</v>
      </c>
      <c r="W91" s="26">
        <f>SUM(T91,V91)</f>
        <v>3652410</v>
      </c>
      <c r="X91" s="26"/>
      <c r="Y91" s="822">
        <f>W91/$W$7</f>
        <v>9.8736050097351688E-2</v>
      </c>
      <c r="Z91" s="822">
        <f>W91/M91-1</f>
        <v>0.93859456607949721</v>
      </c>
      <c r="AA91" s="26">
        <f>AA20</f>
        <v>750000</v>
      </c>
      <c r="AB91" s="26">
        <f>AB20</f>
        <v>800000</v>
      </c>
      <c r="AC91" s="26">
        <f>AC20</f>
        <v>800000</v>
      </c>
      <c r="AD91" s="26">
        <f>AD20</f>
        <v>800000</v>
      </c>
      <c r="AE91" s="26">
        <f>AE20</f>
        <v>800000</v>
      </c>
      <c r="AF91" s="26">
        <f t="shared" si="52"/>
        <v>3950000</v>
      </c>
      <c r="AG91" s="822"/>
      <c r="AH91" s="822">
        <f>AF91/$AF$73</f>
        <v>8.253255857199869E-2</v>
      </c>
      <c r="AI91" s="985">
        <f>AF91/W91-1</f>
        <v>8.1477709238557461E-2</v>
      </c>
    </row>
    <row r="92" spans="1:35" x14ac:dyDescent="0.25">
      <c r="A92" s="1091" t="s">
        <v>564</v>
      </c>
      <c r="B92" s="1092" t="s">
        <v>1173</v>
      </c>
      <c r="C92" s="1010"/>
      <c r="D92" s="1010"/>
      <c r="E92" s="1010"/>
      <c r="F92" s="1010"/>
      <c r="G92" s="994"/>
      <c r="H92" s="994">
        <f>H91/G91</f>
        <v>0.96687660343594151</v>
      </c>
      <c r="I92" s="994">
        <f>I91/H91</f>
        <v>1.0498011111568317</v>
      </c>
      <c r="J92" s="994">
        <f>J91/I91</f>
        <v>0.755760277789427</v>
      </c>
      <c r="K92" s="994">
        <f>K91/J91</f>
        <v>1.2136951497258315</v>
      </c>
      <c r="L92" s="994">
        <f>L91/K91</f>
        <v>1.0110970361429741</v>
      </c>
      <c r="M92" s="994"/>
      <c r="N92" s="998">
        <f>(H92*I92*J92*K92*L92)^(1/5)-1</f>
        <v>-1.2009157956660799E-2</v>
      </c>
      <c r="O92" s="994"/>
      <c r="P92" s="994">
        <f>P91/L91</f>
        <v>1.1840782537775845</v>
      </c>
      <c r="Q92" s="994">
        <f>Q91/P91</f>
        <v>1.4075044782162835</v>
      </c>
      <c r="R92" s="994">
        <f>R91/Q91</f>
        <v>1.3186689826938982</v>
      </c>
      <c r="S92" s="994">
        <f>S91/R91</f>
        <v>1.1441069832183652</v>
      </c>
      <c r="T92" s="994"/>
      <c r="U92" s="994">
        <f>(P92*Q92*R92*S92)^(1/4)-1</f>
        <v>0.25923896711186734</v>
      </c>
      <c r="V92" s="994">
        <f>V91/S91</f>
        <v>0.77723026223749048</v>
      </c>
      <c r="W92" s="994"/>
      <c r="X92" s="994">
        <f>(P92*Q92*R92*V92*S92)^(1/5)-1</f>
        <v>0.14339546129622782</v>
      </c>
      <c r="Y92" s="994"/>
      <c r="Z92" s="994"/>
      <c r="AA92" s="994">
        <f>AA91/V91</f>
        <v>1</v>
      </c>
      <c r="AB92" s="994">
        <f>AB91/AA91</f>
        <v>1.0666666666666667</v>
      </c>
      <c r="AC92" s="994">
        <f>AC91/AB91</f>
        <v>1</v>
      </c>
      <c r="AD92" s="994">
        <f>AD91/AC91</f>
        <v>1</v>
      </c>
      <c r="AE92" s="994">
        <f>AE91/AD91</f>
        <v>1</v>
      </c>
      <c r="AF92" s="994">
        <f t="shared" si="52"/>
        <v>5.0666666666666664</v>
      </c>
      <c r="AG92" s="992">
        <f>(AB92*AC92*AD92*AE92*AA92)^(1/5)-1</f>
        <v>1.299136822423641E-2</v>
      </c>
      <c r="AH92" s="994"/>
      <c r="AI92" s="994"/>
    </row>
    <row r="93" spans="1:35" x14ac:dyDescent="0.25">
      <c r="A93" s="1091" t="s">
        <v>564</v>
      </c>
      <c r="B93" s="1092" t="s">
        <v>1178</v>
      </c>
      <c r="C93" s="1010"/>
      <c r="D93" s="1010"/>
      <c r="E93" s="1010"/>
      <c r="F93" s="1010"/>
      <c r="G93" s="994"/>
      <c r="H93" s="994">
        <f>H91/$H$73</f>
        <v>9.4837014359550983E-2</v>
      </c>
      <c r="I93" s="994">
        <f>I91/$I$73</f>
        <v>9.1576347223005103E-2</v>
      </c>
      <c r="J93" s="994">
        <f>J91/$J$73</f>
        <v>6.8235335584838783E-2</v>
      </c>
      <c r="K93" s="994">
        <f>K91/$K$73</f>
        <v>9.2297279343481392E-2</v>
      </c>
      <c r="L93" s="994">
        <f>L91/$L$73</f>
        <v>7.4160422975495258E-2</v>
      </c>
      <c r="M93" s="994">
        <f>M91/$M$73</f>
        <v>8.3566521230029819E-2</v>
      </c>
      <c r="N93" s="994"/>
      <c r="O93" s="994"/>
      <c r="P93" s="994">
        <f>P91/$P$73</f>
        <v>7.1734467769120278E-2</v>
      </c>
      <c r="Q93" s="994">
        <f>Q91/$Q$73</f>
        <v>9.3345209191599054E-2</v>
      </c>
      <c r="R93" s="994">
        <f>R91/$R$73</f>
        <v>0.1207671737209237</v>
      </c>
      <c r="S93" s="994">
        <f>S91/$R$73</f>
        <v>0.13817056679765424</v>
      </c>
      <c r="T93" s="994">
        <f>T91/$T$73</f>
        <v>0.10028486275975362</v>
      </c>
      <c r="U93" s="994"/>
      <c r="V93" s="994">
        <f>V91/$V$73</f>
        <v>9.3167701863354033E-2</v>
      </c>
      <c r="W93" s="994">
        <f>W91/$W$73</f>
        <v>9.8736050097351688E-2</v>
      </c>
      <c r="X93" s="994"/>
      <c r="Y93" s="992"/>
      <c r="Z93" s="992"/>
      <c r="AA93" s="994">
        <f>AA91/$AA$73</f>
        <v>9.2127406060754952E-2</v>
      </c>
      <c r="AB93" s="994">
        <f>AB91/$AB$73</f>
        <v>9.0324037484475553E-2</v>
      </c>
      <c r="AC93" s="994">
        <f>AC91/$AC$73</f>
        <v>8.3760862736886196E-2</v>
      </c>
      <c r="AD93" s="994">
        <f>AD91/$AD$73</f>
        <v>7.7965110613000682E-2</v>
      </c>
      <c r="AE93" s="994">
        <f>AE91/$AE$73</f>
        <v>7.2398190045248875E-2</v>
      </c>
      <c r="AF93" s="994">
        <f t="shared" si="52"/>
        <v>0.41657560694036627</v>
      </c>
      <c r="AG93" s="994"/>
      <c r="AH93" s="992"/>
      <c r="AI93" s="994"/>
    </row>
    <row r="94" spans="1:35" s="1" customFormat="1" x14ac:dyDescent="0.25">
      <c r="A94" s="1097" t="s">
        <v>440</v>
      </c>
      <c r="B94" s="551" t="s">
        <v>226</v>
      </c>
      <c r="C94" s="26">
        <f t="shared" ref="C94:M94" si="62">C27</f>
        <v>349410</v>
      </c>
      <c r="D94" s="26">
        <f t="shared" si="62"/>
        <v>810346.39989600005</v>
      </c>
      <c r="E94" s="26">
        <f t="shared" si="62"/>
        <v>452760</v>
      </c>
      <c r="F94" s="26">
        <f t="shared" si="62"/>
        <v>500750</v>
      </c>
      <c r="G94" s="26">
        <f t="shared" si="62"/>
        <v>810346.39989600005</v>
      </c>
      <c r="H94" s="26">
        <f t="shared" si="62"/>
        <v>687860.86755299999</v>
      </c>
      <c r="I94" s="26">
        <f t="shared" si="62"/>
        <v>804565.51386399998</v>
      </c>
      <c r="J94" s="26">
        <f t="shared" si="62"/>
        <v>941882.63027900003</v>
      </c>
      <c r="K94" s="26">
        <f t="shared" si="62"/>
        <v>954775.96481699997</v>
      </c>
      <c r="L94" s="26">
        <f t="shared" si="62"/>
        <v>1189344</v>
      </c>
      <c r="M94" s="26">
        <f t="shared" si="62"/>
        <v>4578428.9765130002</v>
      </c>
      <c r="N94" s="822"/>
      <c r="O94" s="822">
        <f>M94/$M$73</f>
        <v>0.2030749115856165</v>
      </c>
      <c r="P94" s="26">
        <f>P27</f>
        <v>1310161</v>
      </c>
      <c r="Q94" s="26">
        <f>Q27</f>
        <v>1477896</v>
      </c>
      <c r="R94" s="26">
        <f>R27</f>
        <v>1371274</v>
      </c>
      <c r="S94" s="26">
        <f>S27</f>
        <v>1523285</v>
      </c>
      <c r="T94" s="26">
        <f>SUM(P94:S94)</f>
        <v>5682616</v>
      </c>
      <c r="U94" s="26"/>
      <c r="V94" s="26">
        <f>V27</f>
        <v>1800000</v>
      </c>
      <c r="W94" s="26">
        <f>SUM(T94,V94)</f>
        <v>7482616</v>
      </c>
      <c r="X94" s="26"/>
      <c r="Y94" s="822">
        <f>W94/$W$7</f>
        <v>0.20227848139591265</v>
      </c>
      <c r="Z94" s="822">
        <f>W94/M94-1</f>
        <v>0.63431955336323065</v>
      </c>
      <c r="AA94" s="26">
        <f>AA27</f>
        <v>1500000</v>
      </c>
      <c r="AB94" s="26">
        <f>AB27</f>
        <v>1550000</v>
      </c>
      <c r="AC94" s="26">
        <f>AC27</f>
        <v>1600000</v>
      </c>
      <c r="AD94" s="26">
        <f>AD27</f>
        <v>1600000</v>
      </c>
      <c r="AE94" s="26">
        <f>AE27</f>
        <v>1600000</v>
      </c>
      <c r="AF94" s="26">
        <f t="shared" si="52"/>
        <v>7850000</v>
      </c>
      <c r="AG94" s="822"/>
      <c r="AH94" s="822">
        <f>AF94/$AF$73</f>
        <v>0.16402040121270625</v>
      </c>
      <c r="AI94" s="985">
        <f>AF94/W94-1</f>
        <v>4.9098336731431935E-2</v>
      </c>
    </row>
    <row r="95" spans="1:35" x14ac:dyDescent="0.25">
      <c r="A95" s="1091" t="s">
        <v>564</v>
      </c>
      <c r="B95" s="1092" t="s">
        <v>1173</v>
      </c>
      <c r="C95" s="1010"/>
      <c r="D95" s="1010"/>
      <c r="E95" s="1010"/>
      <c r="F95" s="1010"/>
      <c r="G95" s="994"/>
      <c r="H95" s="994">
        <f>H94/G94</f>
        <v>0.84884793421835414</v>
      </c>
      <c r="I95" s="994">
        <f>I94/H94</f>
        <v>1.1696631569203315</v>
      </c>
      <c r="J95" s="994">
        <f>J94/I94</f>
        <v>1.1706723865848065</v>
      </c>
      <c r="K95" s="994">
        <f>K94/J94</f>
        <v>1.013688897239968</v>
      </c>
      <c r="L95" s="994">
        <f>L94/K94</f>
        <v>1.245678613440965</v>
      </c>
      <c r="M95" s="994"/>
      <c r="N95" s="998">
        <f>(H95*I95*J95*K95*L95)^(1/5)-1</f>
        <v>7.9760300619458269E-2</v>
      </c>
      <c r="O95" s="994"/>
      <c r="P95" s="994">
        <f>P94/L94</f>
        <v>1.1015828893911266</v>
      </c>
      <c r="Q95" s="994">
        <f>Q94/P94</f>
        <v>1.1280262502089438</v>
      </c>
      <c r="R95" s="994">
        <f>R94/Q94</f>
        <v>0.92785554599241082</v>
      </c>
      <c r="S95" s="994">
        <f>S94/R94</f>
        <v>1.1108538483191543</v>
      </c>
      <c r="T95" s="994"/>
      <c r="U95" s="994">
        <f>(P95*Q95*R95*S95)^(1/4)-1</f>
        <v>6.3820658969423683E-2</v>
      </c>
      <c r="V95" s="994">
        <f>V94/S94</f>
        <v>1.1816567484088665</v>
      </c>
      <c r="W95" s="994"/>
      <c r="X95" s="994">
        <f>(P95*Q95*R95*V95*S95)^(1/5)-1</f>
        <v>8.6408122211271587E-2</v>
      </c>
      <c r="Y95" s="994"/>
      <c r="Z95" s="994"/>
      <c r="AA95" s="994">
        <f>AA94/V94</f>
        <v>0.83333333333333337</v>
      </c>
      <c r="AB95" s="994">
        <f>AB94/AA94</f>
        <v>1.0333333333333334</v>
      </c>
      <c r="AC95" s="994">
        <f>AC94/AB94</f>
        <v>1.032258064516129</v>
      </c>
      <c r="AD95" s="994">
        <f>AD94/AC94</f>
        <v>1</v>
      </c>
      <c r="AE95" s="994">
        <f>AE94/AD94</f>
        <v>1</v>
      </c>
      <c r="AF95" s="994">
        <f t="shared" si="52"/>
        <v>4.8989247311827953</v>
      </c>
      <c r="AG95" s="992">
        <f>(AB95*AC95*AD95*AE95*AA95)^(1/5)-1</f>
        <v>-2.3281316138826114E-2</v>
      </c>
      <c r="AH95" s="994"/>
      <c r="AI95" s="994"/>
    </row>
    <row r="96" spans="1:35" x14ac:dyDescent="0.25">
      <c r="A96" s="1091" t="s">
        <v>564</v>
      </c>
      <c r="B96" s="1092" t="s">
        <v>1178</v>
      </c>
      <c r="C96" s="1010"/>
      <c r="D96" s="1010"/>
      <c r="E96" s="1010"/>
      <c r="F96" s="1010"/>
      <c r="G96" s="994"/>
      <c r="H96" s="994">
        <f>H94/$H$73</f>
        <v>0.1654981244640521</v>
      </c>
      <c r="I96" s="994">
        <f>I94/$I$73</f>
        <v>0.17805423262886683</v>
      </c>
      <c r="J96" s="994">
        <f>J94/$J$73</f>
        <v>0.2055084244876586</v>
      </c>
      <c r="K96" s="994">
        <f>K94/$K$73</f>
        <v>0.23216902142702778</v>
      </c>
      <c r="L96" s="994">
        <f>L94/$L$73</f>
        <v>0.22982683720850242</v>
      </c>
      <c r="M96" s="994">
        <f>M94/$M$73</f>
        <v>0.2030749115856165</v>
      </c>
      <c r="N96" s="994"/>
      <c r="O96" s="994"/>
      <c r="P96" s="994">
        <f>P94/$P$73</f>
        <v>0.20682031685714686</v>
      </c>
      <c r="Q96" s="994">
        <f>Q94/$Q$73</f>
        <v>0.21568839211231297</v>
      </c>
      <c r="R96" s="994">
        <f>R94/$R$73</f>
        <v>0.19634878551541926</v>
      </c>
      <c r="S96" s="994">
        <f>S94/$R$73</f>
        <v>0.2181148040025957</v>
      </c>
      <c r="T96" s="994">
        <f>T94/$T$73</f>
        <v>0.19634729954637012</v>
      </c>
      <c r="U96" s="994"/>
      <c r="V96" s="994">
        <f>V94/$V$73</f>
        <v>0.2236024844720497</v>
      </c>
      <c r="W96" s="994">
        <f>W94/$W$73</f>
        <v>0.20227848139591265</v>
      </c>
      <c r="X96" s="994"/>
      <c r="Y96" s="992"/>
      <c r="Z96" s="992"/>
      <c r="AA96" s="994">
        <f>AA94/$AA$73</f>
        <v>0.1842548121215099</v>
      </c>
      <c r="AB96" s="994">
        <f>AB94/$AB$73</f>
        <v>0.17500282262617139</v>
      </c>
      <c r="AC96" s="994">
        <f>AC94/$AC$73</f>
        <v>0.16752172547377239</v>
      </c>
      <c r="AD96" s="994">
        <f>AD94/$AD$73</f>
        <v>0.15593022122600136</v>
      </c>
      <c r="AE96" s="994">
        <f>AE94/$AE$73</f>
        <v>0.14479638009049775</v>
      </c>
      <c r="AF96" s="994">
        <f t="shared" si="52"/>
        <v>0.82750596153795286</v>
      </c>
      <c r="AG96" s="994"/>
      <c r="AH96" s="992"/>
      <c r="AI96" s="994"/>
    </row>
    <row r="97" spans="1:35" s="1" customFormat="1" x14ac:dyDescent="0.25">
      <c r="A97" s="1097" t="s">
        <v>444</v>
      </c>
      <c r="B97" s="551" t="s">
        <v>775</v>
      </c>
      <c r="C97" s="26">
        <f t="shared" ref="C97:M97" si="63">C28</f>
        <v>230940</v>
      </c>
      <c r="D97" s="26">
        <f t="shared" si="63"/>
        <v>305720</v>
      </c>
      <c r="E97" s="26">
        <f t="shared" si="63"/>
        <v>329200</v>
      </c>
      <c r="F97" s="26">
        <f t="shared" si="63"/>
        <v>308830</v>
      </c>
      <c r="G97" s="26">
        <f t="shared" si="63"/>
        <v>306565.00754700002</v>
      </c>
      <c r="H97" s="26">
        <f t="shared" si="63"/>
        <v>357566.61864</v>
      </c>
      <c r="I97" s="26">
        <f t="shared" si="63"/>
        <v>418951.84585500002</v>
      </c>
      <c r="J97" s="26">
        <f t="shared" si="63"/>
        <v>456841.14694599999</v>
      </c>
      <c r="K97" s="26">
        <f t="shared" si="63"/>
        <v>140078.797276</v>
      </c>
      <c r="L97" s="26">
        <f t="shared" si="63"/>
        <v>243841</v>
      </c>
      <c r="M97" s="26">
        <f t="shared" si="63"/>
        <v>1617279.4087169999</v>
      </c>
      <c r="N97" s="822"/>
      <c r="O97" s="822">
        <f>M97/$M$73</f>
        <v>7.1733966960994378E-2</v>
      </c>
      <c r="P97" s="26">
        <f>P28</f>
        <v>96965</v>
      </c>
      <c r="Q97" s="26">
        <f>Q28</f>
        <v>107416</v>
      </c>
      <c r="R97" s="26">
        <f>R28</f>
        <v>74262</v>
      </c>
      <c r="S97" s="26">
        <f>S28</f>
        <v>126290</v>
      </c>
      <c r="T97" s="26">
        <f>SUM(P97:S97)</f>
        <v>404933</v>
      </c>
      <c r="U97" s="26"/>
      <c r="V97" s="26">
        <f>V28</f>
        <v>86000</v>
      </c>
      <c r="W97" s="26">
        <f>SUM(T97,V97)</f>
        <v>490933</v>
      </c>
      <c r="X97" s="26"/>
      <c r="Y97" s="822">
        <f>W97/$W$7</f>
        <v>1.3271452351308631E-2</v>
      </c>
      <c r="Z97" s="822">
        <f>W97/M97-1</f>
        <v>-0.69644515514517003</v>
      </c>
      <c r="AA97" s="26">
        <f>AA28</f>
        <v>105000</v>
      </c>
      <c r="AB97" s="26">
        <f>AB28</f>
        <v>117000</v>
      </c>
      <c r="AC97" s="26">
        <f>AC28</f>
        <v>129000</v>
      </c>
      <c r="AD97" s="26">
        <f>AD28</f>
        <v>141000</v>
      </c>
      <c r="AE97" s="26">
        <f>AE28</f>
        <v>153000</v>
      </c>
      <c r="AF97" s="26">
        <f t="shared" si="52"/>
        <v>645000</v>
      </c>
      <c r="AG97" s="822"/>
      <c r="AH97" s="822">
        <f>AF97/$AF$73</f>
        <v>1.3476835513655482E-2</v>
      </c>
      <c r="AI97" s="985">
        <f>AF97/W97-1</f>
        <v>0.31382490075020431</v>
      </c>
    </row>
    <row r="98" spans="1:35" x14ac:dyDescent="0.25">
      <c r="A98" s="1091" t="s">
        <v>564</v>
      </c>
      <c r="B98" s="1092" t="s">
        <v>1173</v>
      </c>
      <c r="C98" s="1010"/>
      <c r="D98" s="1010"/>
      <c r="E98" s="1010"/>
      <c r="F98" s="1010"/>
      <c r="G98" s="994"/>
      <c r="H98" s="994">
        <f>H97/G97</f>
        <v>1.1663647508275414</v>
      </c>
      <c r="I98" s="994">
        <f>I97/H97</f>
        <v>1.1716749383610749</v>
      </c>
      <c r="J98" s="994">
        <f>J97/I97</f>
        <v>1.0904383199784577</v>
      </c>
      <c r="K98" s="994">
        <f>K97/J97</f>
        <v>0.30662473862617662</v>
      </c>
      <c r="L98" s="994">
        <f>L97/K97</f>
        <v>1.7407416735564576</v>
      </c>
      <c r="M98" s="994"/>
      <c r="N98" s="998">
        <f>(H98*I98*J98*K98*L98)^(1/5)-1</f>
        <v>-4.4750476186834587E-2</v>
      </c>
      <c r="O98" s="994"/>
      <c r="P98" s="994">
        <f>P97/L97</f>
        <v>0.39765666971510122</v>
      </c>
      <c r="Q98" s="994">
        <f>Q97/P97</f>
        <v>1.1077811581498478</v>
      </c>
      <c r="R98" s="994">
        <f>R97/Q97</f>
        <v>0.69134951962463698</v>
      </c>
      <c r="S98" s="994">
        <f>S97/R97</f>
        <v>1.7006005763378309</v>
      </c>
      <c r="T98" s="994"/>
      <c r="U98" s="994">
        <f>(P98*Q98*R98*S98)^(1/4)-1</f>
        <v>-0.15166856888643254</v>
      </c>
      <c r="V98" s="994">
        <f>V97/S97</f>
        <v>0.6809723651912265</v>
      </c>
      <c r="W98" s="994"/>
      <c r="X98" s="994">
        <f>(P98*Q98*R98*V98*S98)^(1/5)-1</f>
        <v>-0.18814523483912449</v>
      </c>
      <c r="Y98" s="994"/>
      <c r="Z98" s="994"/>
      <c r="AA98" s="994">
        <f>AA97/V97</f>
        <v>1.2209302325581395</v>
      </c>
      <c r="AB98" s="994">
        <f>AB97/AA97</f>
        <v>1.1142857142857143</v>
      </c>
      <c r="AC98" s="994">
        <f>AC97/AB97</f>
        <v>1.1025641025641026</v>
      </c>
      <c r="AD98" s="994">
        <f>AD97/AC97</f>
        <v>1.0930232558139534</v>
      </c>
      <c r="AE98" s="994">
        <f>AE97/AD97</f>
        <v>1.0851063829787233</v>
      </c>
      <c r="AF98" s="994">
        <f t="shared" si="52"/>
        <v>5.6159096882006327</v>
      </c>
      <c r="AG98" s="992">
        <f>(AB98*AC98*AD98*AE98*AA98)^(1/5)-1</f>
        <v>0.12211817293716432</v>
      </c>
      <c r="AH98" s="994"/>
      <c r="AI98" s="994"/>
    </row>
    <row r="99" spans="1:35" x14ac:dyDescent="0.25">
      <c r="A99" s="1091" t="s">
        <v>564</v>
      </c>
      <c r="B99" s="1092" t="s">
        <v>1178</v>
      </c>
      <c r="C99" s="1010"/>
      <c r="D99" s="1010"/>
      <c r="E99" s="1010"/>
      <c r="F99" s="1010"/>
      <c r="G99" s="994"/>
      <c r="H99" s="994">
        <f>H97/$H$73</f>
        <v>8.6029904515993405E-2</v>
      </c>
      <c r="I99" s="994">
        <f>I97/$I$73</f>
        <v>9.2716066170801248E-2</v>
      </c>
      <c r="J99" s="994">
        <f>J97/$J$73</f>
        <v>9.9677710716671045E-2</v>
      </c>
      <c r="K99" s="994">
        <f>K97/$K$73</f>
        <v>3.4062396294692383E-2</v>
      </c>
      <c r="L99" s="994">
        <f>L97/$L$73</f>
        <v>4.7119425340152586E-2</v>
      </c>
      <c r="M99" s="994">
        <f>M97/$M$73</f>
        <v>7.1733966960994378E-2</v>
      </c>
      <c r="N99" s="994"/>
      <c r="O99" s="994"/>
      <c r="P99" s="994">
        <f>P97/$P$73</f>
        <v>1.5306769186423078E-2</v>
      </c>
      <c r="Q99" s="994">
        <f>Q97/$Q$73</f>
        <v>1.5676599927962595E-2</v>
      </c>
      <c r="R99" s="994">
        <f>R97/$R$73</f>
        <v>1.0633362486232558E-2</v>
      </c>
      <c r="S99" s="994">
        <f>S97/$R$73</f>
        <v>1.8083102372496159E-2</v>
      </c>
      <c r="T99" s="994">
        <f>T97/$T$73</f>
        <v>1.3991355574124715E-2</v>
      </c>
      <c r="U99" s="994"/>
      <c r="V99" s="994">
        <f>V97/$V$73</f>
        <v>1.0683229813664596E-2</v>
      </c>
      <c r="W99" s="994">
        <f>W97/$W$73</f>
        <v>1.3271452351308631E-2</v>
      </c>
      <c r="X99" s="994"/>
      <c r="Y99" s="992"/>
      <c r="Z99" s="992"/>
      <c r="AA99" s="994">
        <f>AA97/$AA$73</f>
        <v>1.2897836848505694E-2</v>
      </c>
      <c r="AB99" s="994">
        <f>AB97/$AB$73</f>
        <v>1.3209890482104551E-2</v>
      </c>
      <c r="AC99" s="994">
        <f>AC97/$AC$73</f>
        <v>1.3506439116322898E-2</v>
      </c>
      <c r="AD99" s="994">
        <f>AD97/$AD$73</f>
        <v>1.3741350745541371E-2</v>
      </c>
      <c r="AE99" s="994">
        <f>AE97/$AE$73</f>
        <v>1.3846153846153847E-2</v>
      </c>
      <c r="AF99" s="994">
        <f t="shared" si="52"/>
        <v>6.7201671038628355E-2</v>
      </c>
      <c r="AG99" s="994"/>
      <c r="AH99" s="992"/>
      <c r="AI99" s="994"/>
    </row>
    <row r="100" spans="1:35" x14ac:dyDescent="0.25">
      <c r="A100" s="1097" t="s">
        <v>1075</v>
      </c>
      <c r="B100" s="551" t="s">
        <v>1155</v>
      </c>
      <c r="C100" s="26">
        <f t="shared" ref="C100:M100" si="64">C12</f>
        <v>580</v>
      </c>
      <c r="D100" s="26">
        <f t="shared" si="64"/>
        <v>630</v>
      </c>
      <c r="E100" s="26">
        <f t="shared" si="64"/>
        <v>2440</v>
      </c>
      <c r="F100" s="26">
        <f t="shared" si="64"/>
        <v>780</v>
      </c>
      <c r="G100" s="26">
        <f t="shared" si="64"/>
        <v>3761</v>
      </c>
      <c r="H100" s="26">
        <f t="shared" si="64"/>
        <v>8028.6076819999998</v>
      </c>
      <c r="I100" s="26">
        <f t="shared" si="64"/>
        <v>7377.2642779999996</v>
      </c>
      <c r="J100" s="26">
        <f t="shared" si="64"/>
        <v>17351.560365000001</v>
      </c>
      <c r="K100" s="26">
        <f t="shared" si="64"/>
        <v>25825.109232999999</v>
      </c>
      <c r="L100" s="26">
        <f t="shared" si="64"/>
        <v>69494</v>
      </c>
      <c r="M100" s="26">
        <f t="shared" si="64"/>
        <v>128076.541558</v>
      </c>
      <c r="N100" s="822"/>
      <c r="O100" s="822">
        <f>M100/$M$73</f>
        <v>5.680798476181961E-3</v>
      </c>
      <c r="P100" s="26">
        <f>P12</f>
        <v>61938</v>
      </c>
      <c r="Q100" s="26">
        <f>Q12</f>
        <v>49785</v>
      </c>
      <c r="R100" s="26">
        <f>R12</f>
        <v>35833</v>
      </c>
      <c r="S100" s="26">
        <f>S12</f>
        <v>76845</v>
      </c>
      <c r="T100" s="26">
        <f>SUM(P100:S100)</f>
        <v>224401</v>
      </c>
      <c r="U100" s="26"/>
      <c r="V100" s="26">
        <f>V12</f>
        <v>70000</v>
      </c>
      <c r="W100" s="26">
        <f>SUM(T100,V100)</f>
        <v>294401</v>
      </c>
      <c r="X100" s="26"/>
      <c r="Y100" s="822">
        <f>W100/$W$7</f>
        <v>7.9585785507953477E-3</v>
      </c>
      <c r="Z100" s="822">
        <f>W100/M100-1</f>
        <v>1.2986332736559669</v>
      </c>
      <c r="AA100" s="26">
        <f>AA12</f>
        <v>70000</v>
      </c>
      <c r="AB100" s="26">
        <f>AB12</f>
        <v>75000</v>
      </c>
      <c r="AC100" s="26">
        <f>AC12</f>
        <v>80000</v>
      </c>
      <c r="AD100" s="26">
        <f>AD12</f>
        <v>85000</v>
      </c>
      <c r="AE100" s="26">
        <f>AE12</f>
        <v>90000</v>
      </c>
      <c r="AF100" s="26">
        <f t="shared" si="52"/>
        <v>400000</v>
      </c>
      <c r="AG100" s="822"/>
      <c r="AH100" s="822">
        <f>AF100/$AF$73</f>
        <v>8.3577274503289813E-3</v>
      </c>
      <c r="AI100" s="985">
        <f>AF100/W100-1</f>
        <v>0.35869103705490124</v>
      </c>
    </row>
    <row r="101" spans="1:35" x14ac:dyDescent="0.25">
      <c r="A101" s="1091" t="s">
        <v>564</v>
      </c>
      <c r="B101" s="1092" t="s">
        <v>1173</v>
      </c>
      <c r="C101" s="1010"/>
      <c r="D101" s="1010"/>
      <c r="E101" s="1010"/>
      <c r="F101" s="1010"/>
      <c r="G101" s="994"/>
      <c r="H101" s="994">
        <f>H100/G100</f>
        <v>2.1347002611007708</v>
      </c>
      <c r="I101" s="994">
        <f>I100/H100</f>
        <v>0.91887218434395534</v>
      </c>
      <c r="J101" s="994">
        <f>J100/I100</f>
        <v>2.3520318252315704</v>
      </c>
      <c r="K101" s="994">
        <f>K100/J100</f>
        <v>1.4883450646370728</v>
      </c>
      <c r="L101" s="994">
        <f>L100/K100</f>
        <v>2.6909469916664959</v>
      </c>
      <c r="M101" s="994"/>
      <c r="N101" s="998">
        <f>(H101*I101*J101*K101*L101)^(1/5)-1</f>
        <v>0.79196199769437925</v>
      </c>
      <c r="O101" s="994"/>
      <c r="P101" s="994">
        <f>P100/L100</f>
        <v>0.89127118887961554</v>
      </c>
      <c r="Q101" s="994">
        <f>Q100/P100</f>
        <v>0.80378765862636825</v>
      </c>
      <c r="R101" s="994">
        <f>R100/Q100</f>
        <v>0.71975494626895653</v>
      </c>
      <c r="S101" s="994">
        <f>S100/R100</f>
        <v>2.1445315770379261</v>
      </c>
      <c r="T101" s="994"/>
      <c r="U101" s="994">
        <f>(P101*Q101*R101*S101)^(1/4)-1</f>
        <v>2.5456108008594436E-2</v>
      </c>
      <c r="V101" s="994">
        <f>V100/S100</f>
        <v>0.91092458845728419</v>
      </c>
      <c r="W101" s="994"/>
      <c r="X101" s="994">
        <f>(P101*Q101*R101*V101*S101)^(1/5)-1</f>
        <v>1.4520179868888761E-3</v>
      </c>
      <c r="Y101" s="994"/>
      <c r="Z101" s="994"/>
      <c r="AA101" s="994">
        <f>AA100/V100</f>
        <v>1</v>
      </c>
      <c r="AB101" s="994">
        <f>AB100/AA100</f>
        <v>1.0714285714285714</v>
      </c>
      <c r="AC101" s="994">
        <f>AC100/AB100</f>
        <v>1.0666666666666667</v>
      </c>
      <c r="AD101" s="994">
        <f>AD100/AC100</f>
        <v>1.0625</v>
      </c>
      <c r="AE101" s="994">
        <f>AE100/AD100</f>
        <v>1.0588235294117647</v>
      </c>
      <c r="AF101" s="994">
        <f t="shared" si="52"/>
        <v>5.2594187675070021</v>
      </c>
      <c r="AG101" s="992">
        <f>(AB101*AC101*AD101*AE101*AA101)^(1/5)-1</f>
        <v>5.1547496797280434E-2</v>
      </c>
      <c r="AH101" s="994"/>
      <c r="AI101" s="994"/>
    </row>
    <row r="102" spans="1:35" x14ac:dyDescent="0.25">
      <c r="A102" s="1091" t="s">
        <v>564</v>
      </c>
      <c r="B102" s="1092" t="s">
        <v>1178</v>
      </c>
      <c r="C102" s="1010"/>
      <c r="D102" s="1010"/>
      <c r="E102" s="1010"/>
      <c r="F102" s="1010"/>
      <c r="G102" s="994"/>
      <c r="H102" s="994">
        <f>H100/$H$73</f>
        <v>1.9316689989292092E-3</v>
      </c>
      <c r="I102" s="994">
        <f>I100/$I$73</f>
        <v>1.6326242018641606E-3</v>
      </c>
      <c r="J102" s="994">
        <f>J100/$J$73</f>
        <v>3.785919517336657E-3</v>
      </c>
      <c r="K102" s="994">
        <f>K100/$K$73</f>
        <v>6.2797876777521428E-3</v>
      </c>
      <c r="L102" s="994">
        <f>L100/$L$73</f>
        <v>1.3428903853693858E-2</v>
      </c>
      <c r="M102" s="994">
        <f>M100/$M$73</f>
        <v>5.680798476181961E-3</v>
      </c>
      <c r="N102" s="994"/>
      <c r="O102" s="994"/>
      <c r="P102" s="994">
        <f>P100/$P$73</f>
        <v>9.7774523783702629E-3</v>
      </c>
      <c r="Q102" s="994">
        <f>Q100/$Q$73</f>
        <v>7.2657660629107199E-3</v>
      </c>
      <c r="R102" s="994">
        <f>R100/$R$73</f>
        <v>5.1308243512048048E-3</v>
      </c>
      <c r="S102" s="994">
        <f>S100/$R$73</f>
        <v>1.1003214837393834E-2</v>
      </c>
      <c r="T102" s="994">
        <f>T100/$T$73</f>
        <v>7.7535646197992268E-3</v>
      </c>
      <c r="U102" s="994"/>
      <c r="V102" s="994">
        <f>V100/$V$73</f>
        <v>8.6956521739130436E-3</v>
      </c>
      <c r="W102" s="994">
        <f>W100/$W$73</f>
        <v>7.9585785507953477E-3</v>
      </c>
      <c r="X102" s="994"/>
      <c r="Y102" s="992"/>
      <c r="Z102" s="992"/>
      <c r="AA102" s="994">
        <f>AA100/$AA$73</f>
        <v>8.5985578990037965E-3</v>
      </c>
      <c r="AB102" s="994">
        <f>AB100/$AB$73</f>
        <v>8.4678785141695835E-3</v>
      </c>
      <c r="AC102" s="994">
        <f>AC100/$AC$73</f>
        <v>8.3760862736886182E-3</v>
      </c>
      <c r="AD102" s="994">
        <f>AD100/$AD$73</f>
        <v>8.2837930026313233E-3</v>
      </c>
      <c r="AE102" s="994">
        <f>AE100/$AE$73</f>
        <v>8.1447963800904983E-3</v>
      </c>
      <c r="AF102" s="994">
        <f t="shared" si="52"/>
        <v>4.187111206958382E-2</v>
      </c>
      <c r="AG102" s="994"/>
      <c r="AH102" s="992"/>
      <c r="AI102" s="994"/>
    </row>
    <row r="103" spans="1:35" s="1" customFormat="1" x14ac:dyDescent="0.25">
      <c r="A103" s="1097" t="s">
        <v>1261</v>
      </c>
      <c r="B103" s="1098" t="s">
        <v>1257</v>
      </c>
      <c r="C103" s="26">
        <f>C73-C76-C85-C88-C91-C94-C97</f>
        <v>217770</v>
      </c>
      <c r="D103" s="26">
        <f>D73-D76-D85-D88-D91-D94-D97</f>
        <v>252170</v>
      </c>
      <c r="E103" s="26">
        <f>E73-E76-E85-E88-E91-E94-E97</f>
        <v>286900</v>
      </c>
      <c r="F103" s="26">
        <f>F73-F76-F85-F88-F91-F94-F97</f>
        <v>362090</v>
      </c>
      <c r="G103" s="26">
        <f>G73-G76-G85-G88-G91-G94-G97-G100</f>
        <v>557315.6288880005</v>
      </c>
      <c r="H103" s="26">
        <f t="shared" ref="H103:M103" si="65">H73-H76-H85-H88-H91-H94-H97-H100</f>
        <v>514861.85511299974</v>
      </c>
      <c r="I103" s="26">
        <f t="shared" si="65"/>
        <v>541235.93974899943</v>
      </c>
      <c r="J103" s="26">
        <f t="shared" si="65"/>
        <v>581398.63220000057</v>
      </c>
      <c r="K103" s="26">
        <f t="shared" si="65"/>
        <v>725749.41486199992</v>
      </c>
      <c r="L103" s="26">
        <f t="shared" si="65"/>
        <v>865190</v>
      </c>
      <c r="M103" s="26">
        <f t="shared" si="65"/>
        <v>3228435.8419239991</v>
      </c>
      <c r="N103" s="822"/>
      <c r="O103" s="822">
        <f>M103/$M$73</f>
        <v>0.14319635108938111</v>
      </c>
      <c r="P103" s="26">
        <f t="shared" ref="P103:V103" si="66">P73-P76-P85-P88-P91-P94-P97-P100</f>
        <v>936689</v>
      </c>
      <c r="Q103" s="26">
        <f t="shared" si="66"/>
        <v>1151004</v>
      </c>
      <c r="R103" s="26">
        <f t="shared" si="66"/>
        <v>1425414</v>
      </c>
      <c r="S103" s="26">
        <f>S73-S76-S85-S88-S91-S94-S97-S100</f>
        <v>1664228</v>
      </c>
      <c r="T103" s="26">
        <f>SUM(P103:S103)</f>
        <v>5177335</v>
      </c>
      <c r="U103" s="26"/>
      <c r="V103" s="26">
        <f t="shared" si="66"/>
        <v>1314000</v>
      </c>
      <c r="W103" s="26">
        <f>SUM(T103,V103)</f>
        <v>6491335</v>
      </c>
      <c r="X103" s="26"/>
      <c r="Y103" s="822">
        <f>W103/$W$7</f>
        <v>0.17548105983684537</v>
      </c>
      <c r="Z103" s="822">
        <f>W103/M103-1</f>
        <v>1.0106749267569346</v>
      </c>
      <c r="AA103" s="26">
        <f>AA73-AA76-AA85-AA88-AA91-AA94-AA97-AA100</f>
        <v>1385900</v>
      </c>
      <c r="AB103" s="26">
        <f>AB73-AB76-AB85-AB88-AB91-AB94-AB97-AB100</f>
        <v>1514000</v>
      </c>
      <c r="AC103" s="26">
        <f>AC73-AC76-AC85-AC88-AC91-AC94-AC97-AC100</f>
        <v>1608000</v>
      </c>
      <c r="AD103" s="26">
        <f>AD73-AD76-AD85-AD88-AD91-AD94-AD97-AD100</f>
        <v>1708000</v>
      </c>
      <c r="AE103" s="26">
        <f>AE73-AE76-AE85-AE88-AE91-AE94-AE97-AE100</f>
        <v>1815000</v>
      </c>
      <c r="AF103" s="26">
        <f t="shared" si="52"/>
        <v>8030900</v>
      </c>
      <c r="AG103" s="822"/>
      <c r="AH103" s="822">
        <f>AF103/$AF$73</f>
        <v>0.16780018345211753</v>
      </c>
      <c r="AI103" s="985">
        <f>AF103/W103-1</f>
        <v>0.23717232279646638</v>
      </c>
    </row>
    <row r="104" spans="1:35" x14ac:dyDescent="0.25">
      <c r="A104" s="1091" t="s">
        <v>564</v>
      </c>
      <c r="B104" s="1092" t="s">
        <v>1173</v>
      </c>
      <c r="C104" s="1010"/>
      <c r="D104" s="1010"/>
      <c r="E104" s="1010"/>
      <c r="F104" s="1010"/>
      <c r="G104" s="994"/>
      <c r="H104" s="994">
        <f>H103/G103</f>
        <v>0.92382454111378887</v>
      </c>
      <c r="I104" s="994">
        <f>I103/H103</f>
        <v>1.0512255556982586</v>
      </c>
      <c r="J104" s="994">
        <f>J103/I103</f>
        <v>1.0742055164881084</v>
      </c>
      <c r="K104" s="994">
        <f>K103/J103</f>
        <v>1.2482819440351605</v>
      </c>
      <c r="L104" s="994">
        <f>L103/K103</f>
        <v>1.1921332381156855</v>
      </c>
      <c r="M104" s="994"/>
      <c r="N104" s="998">
        <f>(H104*I104*J104*K104*L104)^(1/5)-1</f>
        <v>9.1948242884595688E-2</v>
      </c>
      <c r="O104" s="994"/>
      <c r="P104" s="994">
        <f>P103/L103</f>
        <v>1.0826396514060495</v>
      </c>
      <c r="Q104" s="994">
        <f>Q103/P103</f>
        <v>1.2288005944342253</v>
      </c>
      <c r="R104" s="994">
        <f>R103/Q103</f>
        <v>1.2384092496637717</v>
      </c>
      <c r="S104" s="994">
        <f>S103/R103</f>
        <v>1.1675400971226606</v>
      </c>
      <c r="T104" s="994"/>
      <c r="U104" s="994">
        <f>(P104*Q104*R104*S104)^(1/4)-1</f>
        <v>0.17767466787871444</v>
      </c>
      <c r="V104" s="994">
        <f>V103/S103</f>
        <v>0.78955527728171859</v>
      </c>
      <c r="W104" s="994"/>
      <c r="X104" s="994">
        <f>(P104*Q104*R104*V104*S104)^(1/5)-1</f>
        <v>8.7168285486042496E-2</v>
      </c>
      <c r="Y104" s="994"/>
      <c r="Z104" s="994"/>
      <c r="AA104" s="994">
        <f>AA103/V103</f>
        <v>1.0547184170471842</v>
      </c>
      <c r="AB104" s="994">
        <f>AB103/AA103</f>
        <v>1.0924309113211632</v>
      </c>
      <c r="AC104" s="994">
        <f>AC103/AB103</f>
        <v>1.0620871862615588</v>
      </c>
      <c r="AD104" s="994">
        <f>AD103/AC103</f>
        <v>1.0621890547263682</v>
      </c>
      <c r="AE104" s="994">
        <f>AE103/AD103</f>
        <v>1.0626463700234192</v>
      </c>
      <c r="AF104" s="994">
        <f t="shared" si="52"/>
        <v>5.3340719393796938</v>
      </c>
      <c r="AG104" s="992">
        <f>(AB104*AC104*AD104*AE104*AA104)^(1/5)-1</f>
        <v>6.673428309588747E-2</v>
      </c>
      <c r="AH104" s="994"/>
      <c r="AI104" s="994"/>
    </row>
    <row r="105" spans="1:35" x14ac:dyDescent="0.25">
      <c r="A105" s="1091" t="s">
        <v>564</v>
      </c>
      <c r="B105" s="1092" t="s">
        <v>1178</v>
      </c>
      <c r="C105" s="1010"/>
      <c r="D105" s="1010"/>
      <c r="E105" s="1010"/>
      <c r="F105" s="1010"/>
      <c r="G105" s="994"/>
      <c r="H105" s="994">
        <f>H103/$H$73</f>
        <v>0.12387486394218905</v>
      </c>
      <c r="I105" s="994">
        <f>I103/$I$73</f>
        <v>0.11977812653235535</v>
      </c>
      <c r="J105" s="994">
        <f>J103/$J$73</f>
        <v>0.12685478324120844</v>
      </c>
      <c r="K105" s="994">
        <f>K103/$K$73</f>
        <v>0.17647755877688429</v>
      </c>
      <c r="L105" s="994">
        <f>L103/$L$73</f>
        <v>0.16718786262378604</v>
      </c>
      <c r="M105" s="994">
        <f>M103/$M$73</f>
        <v>0.14319635108938111</v>
      </c>
      <c r="N105" s="994"/>
      <c r="O105" s="994"/>
      <c r="P105" s="994">
        <f>P103/$P$73</f>
        <v>0.1478645111376419</v>
      </c>
      <c r="Q105" s="994">
        <f>Q103/$Q$73</f>
        <v>0.16798083361403013</v>
      </c>
      <c r="R105" s="994">
        <f>R103/$R$73</f>
        <v>0.20410093661564049</v>
      </c>
      <c r="S105" s="994">
        <f>S103/$R$73</f>
        <v>0.23829602735905089</v>
      </c>
      <c r="T105" s="994">
        <f>T103/$T$73</f>
        <v>0.17888869247841244</v>
      </c>
      <c r="U105" s="994"/>
      <c r="V105" s="994">
        <f>V103/$V$73</f>
        <v>0.16322981366459627</v>
      </c>
      <c r="W105" s="994">
        <f>W103/$W$73</f>
        <v>0.17548105983684537</v>
      </c>
      <c r="X105" s="994"/>
      <c r="Y105" s="992"/>
      <c r="Z105" s="992"/>
      <c r="AA105" s="994">
        <f>AA103/$AA$73</f>
        <v>0.17023916274613371</v>
      </c>
      <c r="AB105" s="994">
        <f>AB103/$AB$73</f>
        <v>0.17093824093936999</v>
      </c>
      <c r="AC105" s="994">
        <f>AC103/$AC$73</f>
        <v>0.16835933410114123</v>
      </c>
      <c r="AD105" s="994">
        <f>AD103/$AD$73</f>
        <v>0.16645551115875645</v>
      </c>
      <c r="AE105" s="994">
        <f>AE103/$AE$73</f>
        <v>0.16425339366515837</v>
      </c>
      <c r="AF105" s="994">
        <f t="shared" si="52"/>
        <v>0.84024564261055967</v>
      </c>
      <c r="AG105" s="994"/>
      <c r="AH105" s="992"/>
      <c r="AI105" s="994"/>
    </row>
    <row r="106" spans="1:35" s="1" customFormat="1" x14ac:dyDescent="0.25">
      <c r="A106" s="1099"/>
      <c r="B106" s="1100" t="s">
        <v>375</v>
      </c>
      <c r="C106" s="1002"/>
      <c r="D106" s="1002"/>
      <c r="E106" s="1002"/>
      <c r="F106" s="1002"/>
      <c r="G106" s="1002"/>
      <c r="H106" s="1002"/>
      <c r="I106" s="1002"/>
      <c r="J106" s="1002"/>
      <c r="K106" s="1002"/>
      <c r="L106" s="1002"/>
      <c r="M106" s="1002"/>
      <c r="N106" s="1003"/>
      <c r="O106" s="1003"/>
      <c r="P106" s="1002"/>
      <c r="Q106" s="1002"/>
      <c r="R106" s="1002"/>
      <c r="S106" s="1002"/>
      <c r="T106" s="1002"/>
      <c r="U106" s="1002"/>
      <c r="V106" s="1002"/>
      <c r="W106" s="1002"/>
      <c r="X106" s="1002"/>
      <c r="Y106" s="822"/>
      <c r="Z106" s="822"/>
      <c r="AA106" s="1002"/>
      <c r="AB106" s="1002"/>
      <c r="AC106" s="1002"/>
      <c r="AD106" s="1002"/>
      <c r="AE106" s="1002"/>
      <c r="AF106" s="1002">
        <f t="shared" si="52"/>
        <v>0</v>
      </c>
      <c r="AG106" s="1003"/>
      <c r="AH106" s="822"/>
      <c r="AI106" s="1003"/>
    </row>
    <row r="107" spans="1:35" s="771" customFormat="1" x14ac:dyDescent="0.25">
      <c r="A107" s="1101" t="s">
        <v>852</v>
      </c>
      <c r="B107" s="1102" t="s">
        <v>1185</v>
      </c>
      <c r="C107" s="1004">
        <f t="shared" ref="C107:M107" si="67">C14</f>
        <v>39220</v>
      </c>
      <c r="D107" s="1004">
        <f t="shared" si="67"/>
        <v>50330</v>
      </c>
      <c r="E107" s="1004">
        <f t="shared" si="67"/>
        <v>56660</v>
      </c>
      <c r="F107" s="1004">
        <f t="shared" si="67"/>
        <v>61750</v>
      </c>
      <c r="G107" s="1004">
        <f t="shared" si="67"/>
        <v>66384</v>
      </c>
      <c r="H107" s="1004">
        <f t="shared" si="67"/>
        <v>83707.295922000005</v>
      </c>
      <c r="I107" s="1004">
        <f t="shared" si="67"/>
        <v>85266.235153999995</v>
      </c>
      <c r="J107" s="1004">
        <f t="shared" si="67"/>
        <v>86018.719326999999</v>
      </c>
      <c r="K107" s="1004">
        <f t="shared" si="67"/>
        <v>102607.365288</v>
      </c>
      <c r="L107" s="1004">
        <f t="shared" si="67"/>
        <v>139966</v>
      </c>
      <c r="M107" s="1004">
        <f t="shared" si="67"/>
        <v>497565.61569100001</v>
      </c>
      <c r="N107" s="1003"/>
      <c r="O107" s="1003"/>
      <c r="P107" s="1004">
        <f>P14</f>
        <v>184878</v>
      </c>
      <c r="Q107" s="1004">
        <f>Q14</f>
        <v>209558</v>
      </c>
      <c r="R107" s="1004">
        <f>R14</f>
        <v>247450</v>
      </c>
      <c r="S107" s="1004">
        <f>S14</f>
        <v>317324</v>
      </c>
      <c r="T107" s="1004">
        <f>SUM(P107:S107)</f>
        <v>959210</v>
      </c>
      <c r="U107" s="1004"/>
      <c r="V107" s="1004">
        <f>V14</f>
        <v>250000</v>
      </c>
      <c r="W107" s="1004">
        <f>SUM(T107,V107)</f>
        <v>1209210</v>
      </c>
      <c r="X107" s="1004"/>
      <c r="Y107" s="1003"/>
      <c r="Z107" s="1003"/>
      <c r="AA107" s="1004">
        <f>AA14</f>
        <v>280000</v>
      </c>
      <c r="AB107" s="1004">
        <f>AB14</f>
        <v>322000</v>
      </c>
      <c r="AC107" s="1004">
        <f>AC14</f>
        <v>354000</v>
      </c>
      <c r="AD107" s="1004">
        <f>AD14</f>
        <v>389000</v>
      </c>
      <c r="AE107" s="1004">
        <f>AE14</f>
        <v>428000</v>
      </c>
      <c r="AF107" s="1004">
        <f t="shared" si="52"/>
        <v>1773000</v>
      </c>
      <c r="AG107" s="1003"/>
      <c r="AH107" s="1003"/>
      <c r="AI107" s="1003"/>
    </row>
    <row r="108" spans="1:35" x14ac:dyDescent="0.25">
      <c r="A108" s="1091" t="s">
        <v>564</v>
      </c>
      <c r="B108" s="1092" t="s">
        <v>1173</v>
      </c>
      <c r="C108" s="1010"/>
      <c r="D108" s="1010"/>
      <c r="E108" s="1010"/>
      <c r="F108" s="1010"/>
      <c r="G108" s="994"/>
      <c r="H108" s="994">
        <f>H107/G107</f>
        <v>1.26095589181128</v>
      </c>
      <c r="I108" s="994">
        <f>I107/H107</f>
        <v>1.0186236959972119</v>
      </c>
      <c r="J108" s="994">
        <f>J107/I107</f>
        <v>1.0088251131487269</v>
      </c>
      <c r="K108" s="994">
        <f>K107/J107</f>
        <v>1.1928492552642906</v>
      </c>
      <c r="L108" s="994">
        <f>L107/K107</f>
        <v>1.364093109760115</v>
      </c>
      <c r="M108" s="994"/>
      <c r="N108" s="998">
        <f>(H108*I108*J108*K108*L108)^(1/5)-1</f>
        <v>0.16089202245544021</v>
      </c>
      <c r="O108" s="994"/>
      <c r="P108" s="994">
        <f>P107/L107</f>
        <v>1.3208779274966778</v>
      </c>
      <c r="Q108" s="994">
        <f>Q107/P107</f>
        <v>1.1334934389164746</v>
      </c>
      <c r="R108" s="994">
        <f>R107/Q107</f>
        <v>1.1808186754979528</v>
      </c>
      <c r="S108" s="994">
        <f>S107/R107</f>
        <v>1.2823762376237624</v>
      </c>
      <c r="T108" s="994"/>
      <c r="U108" s="994">
        <f>(P108*Q108*R108*S108)^(1/4)-1</f>
        <v>0.22707212979323566</v>
      </c>
      <c r="V108" s="994">
        <f>V107/S107</f>
        <v>0.78783829776506031</v>
      </c>
      <c r="W108" s="994"/>
      <c r="X108" s="994">
        <f>(P108*Q108*R108*V108*S108)^(1/5)-1</f>
        <v>0.12300965853978019</v>
      </c>
      <c r="Y108" s="994"/>
      <c r="Z108" s="994"/>
      <c r="AA108" s="994">
        <f>AA107/V107</f>
        <v>1.1200000000000001</v>
      </c>
      <c r="AB108" s="994">
        <f>AB107/AA107</f>
        <v>1.1499999999999999</v>
      </c>
      <c r="AC108" s="994">
        <f>AC107/AB107</f>
        <v>1.0993788819875776</v>
      </c>
      <c r="AD108" s="994">
        <f>AD107/AC107</f>
        <v>1.0988700564971752</v>
      </c>
      <c r="AE108" s="994">
        <f>AE107/AD107</f>
        <v>1.1002570694087404</v>
      </c>
      <c r="AF108" s="994">
        <f t="shared" si="52"/>
        <v>5.5685060078934923</v>
      </c>
      <c r="AG108" s="992">
        <f>(AB108*AC108*AD108*AE108*AA108)^(1/5)-1</f>
        <v>0.11352700028452145</v>
      </c>
      <c r="AH108" s="994"/>
      <c r="AI108" s="994"/>
    </row>
    <row r="109" spans="1:35" x14ac:dyDescent="0.25">
      <c r="A109" s="1091" t="s">
        <v>564</v>
      </c>
      <c r="B109" s="1092" t="s">
        <v>1178</v>
      </c>
      <c r="C109" s="1010"/>
      <c r="D109" s="1010"/>
      <c r="E109" s="1010"/>
      <c r="F109" s="1010"/>
      <c r="G109" s="994"/>
      <c r="H109" s="994">
        <f t="shared" ref="H109:M109" si="68">H107/H73</f>
        <v>2.0139829335444771E-2</v>
      </c>
      <c r="I109" s="994">
        <f t="shared" si="68"/>
        <v>1.8869829501621263E-2</v>
      </c>
      <c r="J109" s="994">
        <f t="shared" si="68"/>
        <v>1.8768337919238952E-2</v>
      </c>
      <c r="K109" s="994">
        <f t="shared" si="68"/>
        <v>2.4950619274005815E-2</v>
      </c>
      <c r="L109" s="994">
        <f t="shared" si="68"/>
        <v>2.7046794784961498E-2</v>
      </c>
      <c r="M109" s="994">
        <f t="shared" si="68"/>
        <v>2.2069380989163796E-2</v>
      </c>
      <c r="N109" s="994"/>
      <c r="O109" s="994"/>
      <c r="P109" s="994">
        <f>P107/P73</f>
        <v>2.918460138861987E-2</v>
      </c>
      <c r="Q109" s="994">
        <f>Q107/Q73</f>
        <v>3.0583497129887408E-2</v>
      </c>
      <c r="R109" s="994">
        <f>R107/R73</f>
        <v>3.5431654779271314E-2</v>
      </c>
      <c r="S109" s="994">
        <f>S107/S73</f>
        <v>3.6178717327177604E-2</v>
      </c>
      <c r="T109" s="994">
        <f>T107/$T$73</f>
        <v>3.3142885811371675E-2</v>
      </c>
      <c r="U109" s="994"/>
      <c r="V109" s="994">
        <f>V107/V73</f>
        <v>3.1055900621118012E-2</v>
      </c>
      <c r="W109" s="994">
        <f>W107/$W$73</f>
        <v>3.268872310014994E-2</v>
      </c>
      <c r="X109" s="994"/>
      <c r="Y109" s="992"/>
      <c r="Z109" s="992"/>
      <c r="AA109" s="994">
        <f>AA107/$AA$73</f>
        <v>3.4394231596015186E-2</v>
      </c>
      <c r="AB109" s="994">
        <f>AB107/AB73</f>
        <v>3.6355425087501413E-2</v>
      </c>
      <c r="AC109" s="994">
        <f>AC107/AC73</f>
        <v>3.7064181761072137E-2</v>
      </c>
      <c r="AD109" s="994">
        <f>AD107/AD73</f>
        <v>3.7910535035571583E-2</v>
      </c>
      <c r="AE109" s="994">
        <f>AE107/AE73</f>
        <v>3.8733031674208142E-2</v>
      </c>
      <c r="AF109" s="994">
        <f t="shared" si="52"/>
        <v>0.18445740515436845</v>
      </c>
      <c r="AG109" s="994"/>
      <c r="AH109" s="992"/>
      <c r="AI109" s="994"/>
    </row>
    <row r="110" spans="1:35" s="771" customFormat="1" x14ac:dyDescent="0.25">
      <c r="A110" s="1099" t="s">
        <v>852</v>
      </c>
      <c r="B110" s="1102" t="s">
        <v>527</v>
      </c>
      <c r="C110" s="1004">
        <f t="shared" ref="C110:M110" si="69">C17</f>
        <v>64280</v>
      </c>
      <c r="D110" s="1004">
        <f t="shared" si="69"/>
        <v>86640</v>
      </c>
      <c r="E110" s="1004">
        <f t="shared" si="69"/>
        <v>110420</v>
      </c>
      <c r="F110" s="1004">
        <f t="shared" si="69"/>
        <v>115840</v>
      </c>
      <c r="G110" s="1004">
        <f t="shared" si="69"/>
        <v>186978.995165</v>
      </c>
      <c r="H110" s="1004">
        <f t="shared" si="69"/>
        <v>211576.30287000001</v>
      </c>
      <c r="I110" s="1004">
        <f t="shared" si="69"/>
        <v>242659.928071</v>
      </c>
      <c r="J110" s="1004">
        <f t="shared" si="69"/>
        <v>238487.114038</v>
      </c>
      <c r="K110" s="1004">
        <f t="shared" si="69"/>
        <v>256057.09914899999</v>
      </c>
      <c r="L110" s="1004">
        <f t="shared" si="69"/>
        <v>310783</v>
      </c>
      <c r="M110" s="1004">
        <f t="shared" si="69"/>
        <v>1259563.4441280002</v>
      </c>
      <c r="N110" s="1003"/>
      <c r="O110" s="1003">
        <f>M110/$M$73</f>
        <v>5.5867577364403821E-2</v>
      </c>
      <c r="P110" s="1004">
        <f>P17</f>
        <v>341640</v>
      </c>
      <c r="Q110" s="1004">
        <f>Q17</f>
        <v>382262</v>
      </c>
      <c r="R110" s="1004">
        <f>R17</f>
        <v>479310</v>
      </c>
      <c r="S110" s="1004">
        <f>S17</f>
        <v>521482</v>
      </c>
      <c r="T110" s="1004">
        <f>SUM(P110:S110)</f>
        <v>1724694</v>
      </c>
      <c r="U110" s="1004"/>
      <c r="V110" s="1004">
        <f>V17</f>
        <v>470000</v>
      </c>
      <c r="W110" s="1004">
        <f>SUM(T110,V110)</f>
        <v>2194694</v>
      </c>
      <c r="X110" s="1004"/>
      <c r="Y110" s="1003">
        <f>W110/$W$7</f>
        <v>5.9329433643089673E-2</v>
      </c>
      <c r="Z110" s="1003">
        <f>W110/M110-1</f>
        <v>0.74242433775886041</v>
      </c>
      <c r="AA110" s="1004">
        <f>AA17</f>
        <v>465000</v>
      </c>
      <c r="AB110" s="1004">
        <f>AB17</f>
        <v>512000</v>
      </c>
      <c r="AC110" s="1004">
        <f>AC17</f>
        <v>538000</v>
      </c>
      <c r="AD110" s="1004">
        <f>AD17</f>
        <v>565000</v>
      </c>
      <c r="AE110" s="1004">
        <f>AE17</f>
        <v>593000</v>
      </c>
      <c r="AF110" s="1004">
        <f t="shared" si="52"/>
        <v>2673000</v>
      </c>
      <c r="AG110" s="1003"/>
      <c r="AH110" s="1003">
        <f>AF110/$AF$73</f>
        <v>5.5850513686823415E-2</v>
      </c>
      <c r="AI110" s="985">
        <f>AF110/W110-1</f>
        <v>0.21793744367096268</v>
      </c>
    </row>
    <row r="111" spans="1:35" x14ac:dyDescent="0.25">
      <c r="A111" s="1091" t="s">
        <v>564</v>
      </c>
      <c r="B111" s="1092" t="s">
        <v>1173</v>
      </c>
      <c r="C111" s="1010"/>
      <c r="D111" s="1010"/>
      <c r="E111" s="1010"/>
      <c r="F111" s="1010"/>
      <c r="G111" s="994"/>
      <c r="H111" s="994">
        <f>H110/G110</f>
        <v>1.1315511813682284</v>
      </c>
      <c r="I111" s="994">
        <f>I110/H110</f>
        <v>1.1469144926882424</v>
      </c>
      <c r="J111" s="994">
        <f>J110/I110</f>
        <v>0.98280386025755728</v>
      </c>
      <c r="K111" s="994">
        <f>K110/J110</f>
        <v>1.0736726811503972</v>
      </c>
      <c r="L111" s="994">
        <f>L110/K110</f>
        <v>1.2137253801315422</v>
      </c>
      <c r="M111" s="994"/>
      <c r="N111" s="998">
        <f>(H111*I111*J111*K111*L111)^(1/5)-1</f>
        <v>0.10696244357773277</v>
      </c>
      <c r="O111" s="994"/>
      <c r="P111" s="994">
        <f>P110/L110</f>
        <v>1.099287927589347</v>
      </c>
      <c r="Q111" s="994">
        <f>Q110/P110</f>
        <v>1.1189029387659524</v>
      </c>
      <c r="R111" s="994">
        <f>R110/Q110</f>
        <v>1.2538782301144242</v>
      </c>
      <c r="S111" s="994">
        <f>S110/R110</f>
        <v>1.0879848114998645</v>
      </c>
      <c r="T111" s="994"/>
      <c r="U111" s="994">
        <f>(P111*Q111*R111*S111)^(1/4)-1</f>
        <v>0.13813955460162153</v>
      </c>
      <c r="V111" s="994">
        <f>V110/S110</f>
        <v>0.90127751293429115</v>
      </c>
      <c r="W111" s="994"/>
      <c r="X111" s="994">
        <f>(P111*Q111*R111*V111*S111)^(1/5)-1</f>
        <v>8.6245826043285234E-2</v>
      </c>
      <c r="Y111" s="994"/>
      <c r="Z111" s="994"/>
      <c r="AA111" s="994">
        <f>AA110/V110</f>
        <v>0.98936170212765961</v>
      </c>
      <c r="AB111" s="994">
        <f>AB110/AA110</f>
        <v>1.1010752688172043</v>
      </c>
      <c r="AC111" s="994">
        <f>AC110/AB110</f>
        <v>1.05078125</v>
      </c>
      <c r="AD111" s="994">
        <f>AD110/AC110</f>
        <v>1.050185873605948</v>
      </c>
      <c r="AE111" s="994">
        <f>AE110/AD110</f>
        <v>1.0495575221238937</v>
      </c>
      <c r="AF111" s="994">
        <f t="shared" si="52"/>
        <v>5.2409616166747055</v>
      </c>
      <c r="AG111" s="992">
        <f>(AB111*AC111*AD111*AE111*AA111)^(1/5)-1</f>
        <v>4.7590055397573217E-2</v>
      </c>
      <c r="AH111" s="994"/>
      <c r="AI111" s="994"/>
    </row>
    <row r="112" spans="1:35" x14ac:dyDescent="0.25">
      <c r="A112" s="1091" t="s">
        <v>564</v>
      </c>
      <c r="B112" s="1092" t="s">
        <v>1178</v>
      </c>
      <c r="C112" s="1010"/>
      <c r="D112" s="1010"/>
      <c r="E112" s="1010"/>
      <c r="F112" s="1010"/>
      <c r="G112" s="994"/>
      <c r="H112" s="994">
        <f>H110/$H$73</f>
        <v>5.0904889284641985E-2</v>
      </c>
      <c r="I112" s="994">
        <f>I110/$I$73</f>
        <v>5.370181363473326E-2</v>
      </c>
      <c r="J112" s="994">
        <f>J110/$J$73</f>
        <v>5.2035263727116518E-2</v>
      </c>
      <c r="K112" s="994">
        <f>K110/$K$73</f>
        <v>6.2264372302523484E-2</v>
      </c>
      <c r="L112" s="994">
        <f>L110/$L$73</f>
        <v>6.0055184999604827E-2</v>
      </c>
      <c r="M112" s="994">
        <f>M110/$M$73</f>
        <v>5.5867577364403821E-2</v>
      </c>
      <c r="N112" s="994"/>
      <c r="O112" s="994"/>
      <c r="P112" s="994">
        <f>P110/$P$73</f>
        <v>5.3930847469185583E-2</v>
      </c>
      <c r="Q112" s="994">
        <f>Q110/$Q$73</f>
        <v>5.5788415521550214E-2</v>
      </c>
      <c r="R112" s="994">
        <f>R110/$R$73</f>
        <v>6.863102223581545E-2</v>
      </c>
      <c r="S112" s="994">
        <f>S110/$R$73</f>
        <v>7.4669509790276672E-2</v>
      </c>
      <c r="T112" s="994">
        <f>T110/$T$73</f>
        <v>5.9592097978083909E-2</v>
      </c>
      <c r="U112" s="994"/>
      <c r="V112" s="994">
        <f>V110/$V$73</f>
        <v>5.8385093167701865E-2</v>
      </c>
      <c r="W112" s="994">
        <f>W110/$W$73</f>
        <v>5.9329433643089673E-2</v>
      </c>
      <c r="X112" s="994"/>
      <c r="Y112" s="992"/>
      <c r="Z112" s="992"/>
      <c r="AA112" s="994">
        <f>AA110/$AA$73</f>
        <v>5.7118991757668068E-2</v>
      </c>
      <c r="AB112" s="994">
        <f>AB110/$AB$73</f>
        <v>5.7807383990064354E-2</v>
      </c>
      <c r="AC112" s="994">
        <f>AC110/$AC$73</f>
        <v>5.6329180190555959E-2</v>
      </c>
      <c r="AD112" s="994">
        <f>AD110/$AD$73</f>
        <v>5.5062859370431733E-2</v>
      </c>
      <c r="AE112" s="994">
        <f>AE110/$AE$73</f>
        <v>5.3665158371040723E-2</v>
      </c>
      <c r="AF112" s="994">
        <f t="shared" si="52"/>
        <v>0.27998357367976084</v>
      </c>
      <c r="AG112" s="994"/>
      <c r="AH112" s="992"/>
      <c r="AI112" s="994"/>
    </row>
    <row r="113" spans="1:35" x14ac:dyDescent="0.25">
      <c r="A113" s="1099" t="s">
        <v>852</v>
      </c>
      <c r="B113" s="1102" t="s">
        <v>277</v>
      </c>
      <c r="C113" s="1004">
        <f t="shared" ref="C113:M113" si="70">C16</f>
        <v>6300</v>
      </c>
      <c r="D113" s="1004">
        <f t="shared" si="70"/>
        <v>10340</v>
      </c>
      <c r="E113" s="1004">
        <f t="shared" si="70"/>
        <v>13690</v>
      </c>
      <c r="F113" s="1004">
        <f t="shared" si="70"/>
        <v>17250</v>
      </c>
      <c r="G113" s="1004">
        <f t="shared" si="70"/>
        <v>22513.990010999998</v>
      </c>
      <c r="H113" s="1004">
        <f t="shared" si="70"/>
        <v>22700.889665999999</v>
      </c>
      <c r="I113" s="1004">
        <f t="shared" si="70"/>
        <v>7232.069724</v>
      </c>
      <c r="J113" s="1004">
        <f t="shared" si="70"/>
        <v>9025.4512319999994</v>
      </c>
      <c r="K113" s="1004">
        <f t="shared" si="70"/>
        <v>8785.7481970000008</v>
      </c>
      <c r="L113" s="1004">
        <f t="shared" si="70"/>
        <v>8245</v>
      </c>
      <c r="M113" s="1004">
        <f t="shared" si="70"/>
        <v>55989.158818999997</v>
      </c>
      <c r="N113" s="1003"/>
      <c r="O113" s="1003">
        <f>M113/$M$73</f>
        <v>2.4833831725355323E-3</v>
      </c>
      <c r="P113" s="1004">
        <f>P16</f>
        <v>8374</v>
      </c>
      <c r="Q113" s="1004">
        <f>Q16</f>
        <v>9759</v>
      </c>
      <c r="R113" s="1004">
        <f>R16</f>
        <v>10562</v>
      </c>
      <c r="S113" s="1004">
        <f>S16</f>
        <v>11281</v>
      </c>
      <c r="T113" s="1004">
        <f>SUM(P113:S113)</f>
        <v>39976</v>
      </c>
      <c r="U113" s="1004"/>
      <c r="V113" s="1004">
        <f>V16</f>
        <v>8000</v>
      </c>
      <c r="W113" s="1004">
        <f>SUM(T113,V113)</f>
        <v>47976</v>
      </c>
      <c r="X113" s="1004"/>
      <c r="Y113" s="1003">
        <f>W113/$W$7</f>
        <v>1.2969411263988831E-3</v>
      </c>
      <c r="Z113" s="1003">
        <f>W113/M113-1</f>
        <v>-0.1431198286958496</v>
      </c>
      <c r="AA113" s="1004">
        <f>AA16</f>
        <v>8000</v>
      </c>
      <c r="AB113" s="1004">
        <f>AB16</f>
        <v>8000</v>
      </c>
      <c r="AC113" s="1004">
        <f>AC16</f>
        <v>8000</v>
      </c>
      <c r="AD113" s="1004">
        <f>AD16</f>
        <v>8000</v>
      </c>
      <c r="AE113" s="1004">
        <f>AE16</f>
        <v>8000</v>
      </c>
      <c r="AF113" s="1004">
        <f t="shared" si="52"/>
        <v>40000</v>
      </c>
      <c r="AG113" s="1003"/>
      <c r="AH113" s="1003">
        <f>AF113/$AF$73</f>
        <v>8.3577274503289815E-4</v>
      </c>
      <c r="AI113" s="985">
        <f>AF113/W113-1</f>
        <v>-0.1662497915624479</v>
      </c>
    </row>
    <row r="114" spans="1:35" x14ac:dyDescent="0.25">
      <c r="A114" s="1091" t="s">
        <v>564</v>
      </c>
      <c r="B114" s="1092" t="s">
        <v>1173</v>
      </c>
      <c r="C114" s="1010"/>
      <c r="D114" s="1010"/>
      <c r="E114" s="1010"/>
      <c r="F114" s="1010"/>
      <c r="G114" s="994"/>
      <c r="H114" s="994">
        <f>H113/G113</f>
        <v>1.0083014896474896</v>
      </c>
      <c r="I114" s="994">
        <f>I113/H113</f>
        <v>0.31858089398283584</v>
      </c>
      <c r="J114" s="994">
        <f>J113/I113</f>
        <v>1.2479762469723668</v>
      </c>
      <c r="K114" s="994">
        <f>K113/J113</f>
        <v>0.97344143480049794</v>
      </c>
      <c r="L114" s="994">
        <f>L113/K113</f>
        <v>0.93845166229728216</v>
      </c>
      <c r="M114" s="994"/>
      <c r="N114" s="998">
        <f>(H114*I114*J114*K114*L114)^(1/5)-1</f>
        <v>-0.1820106709603595</v>
      </c>
      <c r="O114" s="994"/>
      <c r="P114" s="994">
        <f>P113/L113</f>
        <v>1.0156458459672528</v>
      </c>
      <c r="Q114" s="994">
        <f>Q113/P113</f>
        <v>1.1653928827322666</v>
      </c>
      <c r="R114" s="994">
        <f>R113/Q113</f>
        <v>1.0822830208013117</v>
      </c>
      <c r="S114" s="994">
        <f>S113/R113</f>
        <v>1.0680742283658398</v>
      </c>
      <c r="T114" s="994"/>
      <c r="U114" s="994">
        <f>(P114*Q114*R114*S114)^(1/4)-1</f>
        <v>8.1531654066764991E-2</v>
      </c>
      <c r="V114" s="994">
        <f>V113/S113</f>
        <v>0.70915698962857898</v>
      </c>
      <c r="W114" s="994"/>
      <c r="X114" s="994">
        <f>(P114*Q114*R114*V114*S114)^(1/5)-1</f>
        <v>-6.0149203655558425E-3</v>
      </c>
      <c r="Y114" s="994"/>
      <c r="Z114" s="994"/>
      <c r="AA114" s="994">
        <f>AA113/V113</f>
        <v>1</v>
      </c>
      <c r="AB114" s="994">
        <f>AB113/AA113</f>
        <v>1</v>
      </c>
      <c r="AC114" s="994">
        <f>AC113/AB113</f>
        <v>1</v>
      </c>
      <c r="AD114" s="994">
        <f>AD113/AC113</f>
        <v>1</v>
      </c>
      <c r="AE114" s="994">
        <f>AE113/AD113</f>
        <v>1</v>
      </c>
      <c r="AF114" s="994">
        <f t="shared" si="52"/>
        <v>5</v>
      </c>
      <c r="AG114" s="992">
        <f>(AB114*AC114*AD114*AE114*AA114)^(1/5)-1</f>
        <v>0</v>
      </c>
      <c r="AH114" s="994"/>
      <c r="AI114" s="994"/>
    </row>
    <row r="115" spans="1:35" x14ac:dyDescent="0.25">
      <c r="A115" s="1091" t="s">
        <v>564</v>
      </c>
      <c r="B115" s="1092" t="s">
        <v>1178</v>
      </c>
      <c r="C115" s="1010"/>
      <c r="D115" s="1010"/>
      <c r="E115" s="1010"/>
      <c r="F115" s="1010"/>
      <c r="G115" s="994"/>
      <c r="H115" s="994">
        <f>H113/$H$73</f>
        <v>5.4617944421717045E-3</v>
      </c>
      <c r="I115" s="994">
        <f>I113/$I$73</f>
        <v>1.6004919460703452E-3</v>
      </c>
      <c r="J115" s="994">
        <f>J113/$J$73</f>
        <v>1.9692541335315796E-3</v>
      </c>
      <c r="K115" s="994">
        <f>K113/$K$73</f>
        <v>2.1363949623435735E-3</v>
      </c>
      <c r="L115" s="994">
        <f>L113/$L$73</f>
        <v>1.5932499535744934E-3</v>
      </c>
      <c r="M115" s="994">
        <f>M113/$M$73</f>
        <v>2.4833831725355323E-3</v>
      </c>
      <c r="N115" s="994"/>
      <c r="O115" s="994"/>
      <c r="P115" s="994">
        <f>P113/$P$73</f>
        <v>1.3219087832424777E-3</v>
      </c>
      <c r="Q115" s="994">
        <f>Q113/$Q$73</f>
        <v>1.4242565232087116E-3</v>
      </c>
      <c r="R115" s="994">
        <f>R113/$R$73</f>
        <v>1.5123424440439024E-3</v>
      </c>
      <c r="S115" s="994">
        <f>S113/$R$73</f>
        <v>1.6152939889470992E-3</v>
      </c>
      <c r="T115" s="994">
        <f>T113/$T$73</f>
        <v>1.3812616665749879E-3</v>
      </c>
      <c r="U115" s="994"/>
      <c r="V115" s="994">
        <f>V113/$V$73</f>
        <v>9.9378881987577643E-4</v>
      </c>
      <c r="W115" s="994">
        <f>W113/$W$73</f>
        <v>1.2969411263988831E-3</v>
      </c>
      <c r="X115" s="994"/>
      <c r="Y115" s="992"/>
      <c r="Z115" s="992"/>
      <c r="AA115" s="994">
        <f>AA113/$AA$73</f>
        <v>9.8269233131471944E-4</v>
      </c>
      <c r="AB115" s="994">
        <f>AB113/$AB$73</f>
        <v>9.0324037484475553E-4</v>
      </c>
      <c r="AC115" s="994">
        <f>AC113/$AC$73</f>
        <v>8.3760862736886193E-4</v>
      </c>
      <c r="AD115" s="994">
        <f>AD113/$AD$73</f>
        <v>7.7965110613000682E-4</v>
      </c>
      <c r="AE115" s="994">
        <f>AE113/$AE$73</f>
        <v>7.2398190045248867E-4</v>
      </c>
      <c r="AF115" s="994">
        <f t="shared" si="52"/>
        <v>4.2271743401108321E-3</v>
      </c>
      <c r="AG115" s="994"/>
      <c r="AH115" s="992"/>
      <c r="AI115" s="994"/>
    </row>
    <row r="116" spans="1:35" x14ac:dyDescent="0.25">
      <c r="A116" s="1099" t="s">
        <v>852</v>
      </c>
      <c r="B116" s="1102" t="s">
        <v>417</v>
      </c>
      <c r="C116" s="1004">
        <f>C19</f>
        <v>83710</v>
      </c>
      <c r="D116" s="1004">
        <f>D19</f>
        <v>65760</v>
      </c>
      <c r="E116" s="1004">
        <f>E19</f>
        <v>62020</v>
      </c>
      <c r="F116" s="1004">
        <f>F19</f>
        <v>108070</v>
      </c>
      <c r="G116" s="1004">
        <f>G19</f>
        <v>147763</v>
      </c>
      <c r="H116" s="1004">
        <f t="shared" ref="H116:M116" si="71">H19</f>
        <v>129532.067836</v>
      </c>
      <c r="I116" s="1004">
        <f t="shared" si="71"/>
        <v>124106.44856800001</v>
      </c>
      <c r="J116" s="1004">
        <f t="shared" si="71"/>
        <v>151790.240028</v>
      </c>
      <c r="K116" s="1004">
        <f t="shared" si="71"/>
        <v>165870.497191</v>
      </c>
      <c r="L116" s="1004">
        <f t="shared" si="71"/>
        <v>212616</v>
      </c>
      <c r="M116" s="1004">
        <f t="shared" si="71"/>
        <v>783915.253623</v>
      </c>
      <c r="N116" s="1003"/>
      <c r="O116" s="1003">
        <f>M116/$M$73</f>
        <v>3.4770337518995657E-2</v>
      </c>
      <c r="P116" s="1004">
        <f>P19</f>
        <v>205555</v>
      </c>
      <c r="Q116" s="1004">
        <f>Q19</f>
        <v>256429</v>
      </c>
      <c r="R116" s="1004">
        <f>R19</f>
        <v>154856</v>
      </c>
      <c r="S116" s="1004">
        <f>S19</f>
        <v>172887</v>
      </c>
      <c r="T116" s="1004">
        <f>SUM(P116:S116)</f>
        <v>789727</v>
      </c>
      <c r="U116" s="1004"/>
      <c r="V116" s="1004">
        <f>V19</f>
        <v>165000</v>
      </c>
      <c r="W116" s="1004">
        <f>SUM(T116,V116)</f>
        <v>954727</v>
      </c>
      <c r="X116" s="1004"/>
      <c r="Y116" s="1003">
        <f>W116/$W$7</f>
        <v>2.5809252767705237E-2</v>
      </c>
      <c r="Z116" s="1003">
        <f>W116/M116-1</f>
        <v>0.21789567888564987</v>
      </c>
      <c r="AA116" s="1004">
        <f>AA19</f>
        <v>192900</v>
      </c>
      <c r="AB116" s="1004">
        <f>AB19</f>
        <v>206000</v>
      </c>
      <c r="AC116" s="1004">
        <f>AC19</f>
        <v>220000</v>
      </c>
      <c r="AD116" s="1004">
        <f>AD19</f>
        <v>235000</v>
      </c>
      <c r="AE116" s="1004">
        <f>AE19</f>
        <v>251000</v>
      </c>
      <c r="AF116" s="1004">
        <f t="shared" si="52"/>
        <v>1104900</v>
      </c>
      <c r="AG116" s="1003"/>
      <c r="AH116" s="1003">
        <f>AF116/$AF$73</f>
        <v>2.3086132649671229E-2</v>
      </c>
      <c r="AI116" s="985">
        <f>AF116/W116-1</f>
        <v>0.15729417938321633</v>
      </c>
    </row>
    <row r="117" spans="1:35" x14ac:dyDescent="0.25">
      <c r="A117" s="1091" t="s">
        <v>564</v>
      </c>
      <c r="B117" s="1092" t="s">
        <v>1173</v>
      </c>
      <c r="C117" s="1010"/>
      <c r="D117" s="1010"/>
      <c r="E117" s="1010"/>
      <c r="F117" s="1010"/>
      <c r="G117" s="994"/>
      <c r="H117" s="994">
        <f>H116/G116</f>
        <v>0.87662045191286042</v>
      </c>
      <c r="I117" s="994">
        <f>I116/H116</f>
        <v>0.95811369834017202</v>
      </c>
      <c r="J117" s="994">
        <f>J116/I116</f>
        <v>1.223064891304432</v>
      </c>
      <c r="K117" s="994">
        <f>K116/J116</f>
        <v>1.0927612813604002</v>
      </c>
      <c r="L117" s="994">
        <f>L116/K116</f>
        <v>1.2818192722674033</v>
      </c>
      <c r="M117" s="994"/>
      <c r="N117" s="998">
        <f>(H117*I117*J117*K117*L117)^(1/5)-1</f>
        <v>7.5489187895901422E-2</v>
      </c>
      <c r="O117" s="994"/>
      <c r="P117" s="994">
        <f>P116/L116</f>
        <v>0.96678989351695077</v>
      </c>
      <c r="Q117" s="994">
        <f>Q116/P116</f>
        <v>1.2474958040427135</v>
      </c>
      <c r="R117" s="994">
        <f>R116/Q116</f>
        <v>0.60389425532993535</v>
      </c>
      <c r="S117" s="994">
        <f>S116/R116</f>
        <v>1.1164372061786434</v>
      </c>
      <c r="T117" s="994"/>
      <c r="U117" s="994">
        <f>(P117*Q117*R117*S117)^(1/4)-1</f>
        <v>-5.0398047890688358E-2</v>
      </c>
      <c r="V117" s="994">
        <f>V116/S116</f>
        <v>0.95438060698606608</v>
      </c>
      <c r="W117" s="994"/>
      <c r="X117" s="994">
        <f>(P117*Q117*R117*V117*S117)^(1/5)-1</f>
        <v>-4.9444234926187658E-2</v>
      </c>
      <c r="Y117" s="994"/>
      <c r="Z117" s="994"/>
      <c r="AA117" s="994">
        <f>AA116/V116</f>
        <v>1.1690909090909092</v>
      </c>
      <c r="AB117" s="994">
        <f>AB116/AA116</f>
        <v>1.0679108346293416</v>
      </c>
      <c r="AC117" s="994">
        <f>AC116/AB116</f>
        <v>1.0679611650485437</v>
      </c>
      <c r="AD117" s="994">
        <f>AD116/AC116</f>
        <v>1.0681818181818181</v>
      </c>
      <c r="AE117" s="994">
        <f>AE116/AD116</f>
        <v>1.0680851063829788</v>
      </c>
      <c r="AF117" s="994">
        <f t="shared" si="52"/>
        <v>5.4412298333335913</v>
      </c>
      <c r="AG117" s="992">
        <f>(AB117*AC117*AD117*AE117*AA117)^(1/5)-1</f>
        <v>8.7521760076471944E-2</v>
      </c>
      <c r="AH117" s="994"/>
      <c r="AI117" s="994"/>
    </row>
    <row r="118" spans="1:35" x14ac:dyDescent="0.25">
      <c r="A118" s="1091" t="s">
        <v>564</v>
      </c>
      <c r="B118" s="1092" t="s">
        <v>1178</v>
      </c>
      <c r="C118" s="1010"/>
      <c r="D118" s="1010"/>
      <c r="E118" s="1010"/>
      <c r="F118" s="1010"/>
      <c r="G118" s="994"/>
      <c r="H118" s="994">
        <f>H116/$H$73</f>
        <v>3.1165189496924848E-2</v>
      </c>
      <c r="I118" s="994">
        <f>I116/$I$73</f>
        <v>2.7465356249167371E-2</v>
      </c>
      <c r="J118" s="994">
        <f>J116/$J$73</f>
        <v>3.3118959919154284E-2</v>
      </c>
      <c r="K118" s="994">
        <f>K116/$K$73</f>
        <v>4.0334059963302658E-2</v>
      </c>
      <c r="L118" s="994">
        <f>L116/$L$73</f>
        <v>4.1085558778556033E-2</v>
      </c>
      <c r="M118" s="994">
        <f>M116/$M$73</f>
        <v>3.4770337518995657E-2</v>
      </c>
      <c r="N118" s="994"/>
      <c r="O118" s="994"/>
      <c r="P118" s="994">
        <f>P116/$P$73</f>
        <v>3.244864580121895E-2</v>
      </c>
      <c r="Q118" s="994">
        <f>Q116/$Q$73</f>
        <v>3.7423985653231552E-2</v>
      </c>
      <c r="R118" s="994">
        <f>R116/$R$73</f>
        <v>2.2173385865826789E-2</v>
      </c>
      <c r="S118" s="994">
        <f>S116/$R$73</f>
        <v>2.475519296756468E-2</v>
      </c>
      <c r="T118" s="994">
        <f>T116/$T$73</f>
        <v>2.728686292173468E-2</v>
      </c>
      <c r="U118" s="994"/>
      <c r="V118" s="994">
        <f>V116/$V$73</f>
        <v>2.0496894409937887E-2</v>
      </c>
      <c r="W118" s="994">
        <f>W116/$W$73</f>
        <v>2.5809252767705237E-2</v>
      </c>
      <c r="X118" s="994"/>
      <c r="Y118" s="992"/>
      <c r="Z118" s="992"/>
      <c r="AA118" s="994">
        <f>AA116/$AA$73</f>
        <v>2.3695168838826174E-2</v>
      </c>
      <c r="AB118" s="994">
        <f>AB116/$AB$73</f>
        <v>2.3258439652252456E-2</v>
      </c>
      <c r="AC118" s="994">
        <f>AC116/$AC$73</f>
        <v>2.3034237252643704E-2</v>
      </c>
      <c r="AD118" s="994">
        <f>AD116/$AD$73</f>
        <v>2.290225124256895E-2</v>
      </c>
      <c r="AE118" s="994">
        <f>AE116/$AE$73</f>
        <v>2.2714932126696834E-2</v>
      </c>
      <c r="AF118" s="994">
        <f t="shared" si="52"/>
        <v>0.11560502911298812</v>
      </c>
      <c r="AG118" s="994"/>
      <c r="AH118" s="992"/>
      <c r="AI118" s="994"/>
    </row>
    <row r="119" spans="1:35" x14ac:dyDescent="0.25">
      <c r="A119" s="1099" t="s">
        <v>852</v>
      </c>
      <c r="B119" s="1102" t="s">
        <v>1258</v>
      </c>
      <c r="C119" s="1004">
        <f>C22</f>
        <v>2970</v>
      </c>
      <c r="D119" s="1004">
        <f>D22</f>
        <v>1390</v>
      </c>
      <c r="E119" s="1004">
        <f>E22</f>
        <v>170</v>
      </c>
      <c r="F119" s="1004">
        <f>F22</f>
        <v>1150</v>
      </c>
      <c r="G119" s="1004">
        <f>G21</f>
        <v>12272.982172</v>
      </c>
      <c r="H119" s="1004">
        <f t="shared" ref="H119:M119" si="72">H21</f>
        <v>14797.318150999999</v>
      </c>
      <c r="I119" s="1004">
        <f t="shared" si="72"/>
        <v>21280.122105999999</v>
      </c>
      <c r="J119" s="1004">
        <f t="shared" si="72"/>
        <v>25056.577998000001</v>
      </c>
      <c r="K119" s="1004">
        <f t="shared" si="72"/>
        <v>30109.314546000001</v>
      </c>
      <c r="L119" s="1004">
        <f t="shared" si="72"/>
        <v>35945</v>
      </c>
      <c r="M119" s="1004">
        <f t="shared" si="72"/>
        <v>127188.332801</v>
      </c>
      <c r="N119" s="1003"/>
      <c r="O119" s="1003">
        <f>M119/$M$73</f>
        <v>5.6414022300629004E-3</v>
      </c>
      <c r="P119" s="1004">
        <f>P21</f>
        <v>53095</v>
      </c>
      <c r="Q119" s="1004">
        <f>Q21</f>
        <v>61296</v>
      </c>
      <c r="R119" s="1004">
        <f>R21</f>
        <v>194910</v>
      </c>
      <c r="S119" s="1004">
        <f>S21</f>
        <v>177724</v>
      </c>
      <c r="T119" s="1004">
        <f>SUM(P119:S119)</f>
        <v>487025</v>
      </c>
      <c r="U119" s="1004"/>
      <c r="V119" s="1004">
        <f>V21</f>
        <v>72000</v>
      </c>
      <c r="W119" s="1004">
        <f>SUM(T119,V119)</f>
        <v>559025</v>
      </c>
      <c r="X119" s="1004"/>
      <c r="Y119" s="1003">
        <f>W119/$W$7</f>
        <v>1.5112191787250616E-2</v>
      </c>
      <c r="Z119" s="1003">
        <f>W119/M119-1</f>
        <v>3.3952537759470083</v>
      </c>
      <c r="AA119" s="1004">
        <f>AA21</f>
        <v>76000</v>
      </c>
      <c r="AB119" s="1004">
        <f>AB21</f>
        <v>86000</v>
      </c>
      <c r="AC119" s="1004">
        <f>AC21</f>
        <v>92000</v>
      </c>
      <c r="AD119" s="1004">
        <f>AD21</f>
        <v>99000</v>
      </c>
      <c r="AE119" s="1004">
        <f>AE21</f>
        <v>107000</v>
      </c>
      <c r="AF119" s="1004">
        <f t="shared" si="52"/>
        <v>460000</v>
      </c>
      <c r="AG119" s="1003"/>
      <c r="AH119" s="1003">
        <f>AF119/$AF$73</f>
        <v>9.611386567878329E-3</v>
      </c>
      <c r="AI119" s="985">
        <f>AF119/W119-1</f>
        <v>-0.17713876839139575</v>
      </c>
    </row>
    <row r="120" spans="1:35" x14ac:dyDescent="0.25">
      <c r="A120" s="1091" t="s">
        <v>564</v>
      </c>
      <c r="B120" s="1092" t="s">
        <v>1173</v>
      </c>
      <c r="C120" s="1010"/>
      <c r="D120" s="1010"/>
      <c r="E120" s="1010"/>
      <c r="F120" s="1010"/>
      <c r="G120" s="994"/>
      <c r="H120" s="994">
        <f>H119/G119</f>
        <v>1.2056823633916054</v>
      </c>
      <c r="I120" s="994">
        <f>I119/H119</f>
        <v>1.4381066818220634</v>
      </c>
      <c r="J120" s="994">
        <f>J119/I119</f>
        <v>1.1774640142189419</v>
      </c>
      <c r="K120" s="994">
        <f>K119/J119</f>
        <v>1.2016530967797481</v>
      </c>
      <c r="L120" s="994">
        <f>L119/K119</f>
        <v>1.1938166159539911</v>
      </c>
      <c r="M120" s="994"/>
      <c r="N120" s="998">
        <f>(H120*I120*J120*K120*L120)^(1/5)-1</f>
        <v>0.23976016239775455</v>
      </c>
      <c r="O120" s="994"/>
      <c r="P120" s="994">
        <f>P119/L119</f>
        <v>1.4771178188899707</v>
      </c>
      <c r="Q120" s="994">
        <f>Q119/P119</f>
        <v>1.15445898860533</v>
      </c>
      <c r="R120" s="994">
        <f>R119/Q119</f>
        <v>3.1798159749412687</v>
      </c>
      <c r="S120" s="994">
        <f>S119/R119</f>
        <v>0.9118259709609563</v>
      </c>
      <c r="T120" s="994"/>
      <c r="U120" s="994">
        <f>(P120*Q120*R120*S120)^(1/4)-1</f>
        <v>0.49116910746388975</v>
      </c>
      <c r="V120" s="994">
        <f>V119/S119</f>
        <v>0.40512254957124533</v>
      </c>
      <c r="W120" s="994"/>
      <c r="X120" s="994">
        <f>(P120*Q120*R120*V120*S120)^(1/5)-1</f>
        <v>0.14904966826387356</v>
      </c>
      <c r="Y120" s="994"/>
      <c r="Z120" s="994"/>
      <c r="AA120" s="994">
        <f>AA119/V119</f>
        <v>1.0555555555555556</v>
      </c>
      <c r="AB120" s="994">
        <f>AB119/AA119</f>
        <v>1.131578947368421</v>
      </c>
      <c r="AC120" s="994">
        <f>AC119/AB119</f>
        <v>1.069767441860465</v>
      </c>
      <c r="AD120" s="994">
        <f>AD119/AC119</f>
        <v>1.076086956521739</v>
      </c>
      <c r="AE120" s="994">
        <f>AE119/AD119</f>
        <v>1.0808080808080809</v>
      </c>
      <c r="AF120" s="994">
        <f t="shared" si="52"/>
        <v>5.4137969821142615</v>
      </c>
      <c r="AG120" s="992">
        <f>(AB120*AC120*AD120*AE120*AA120)^(1/5)-1</f>
        <v>8.2456010469547092E-2</v>
      </c>
      <c r="AH120" s="994"/>
      <c r="AI120" s="994"/>
    </row>
    <row r="121" spans="1:35" x14ac:dyDescent="0.25">
      <c r="A121" s="1091" t="s">
        <v>564</v>
      </c>
      <c r="B121" s="1092" t="s">
        <v>1178</v>
      </c>
      <c r="C121" s="1010"/>
      <c r="D121" s="1010"/>
      <c r="E121" s="1010"/>
      <c r="F121" s="1010"/>
      <c r="G121" s="994"/>
      <c r="H121" s="994">
        <f>H119/$H$73</f>
        <v>3.5602089268433113E-3</v>
      </c>
      <c r="I121" s="994">
        <f>I119/$I$73</f>
        <v>4.7093937616531911E-3</v>
      </c>
      <c r="J121" s="994">
        <f>J119/$J$73</f>
        <v>5.4670695709674554E-3</v>
      </c>
      <c r="K121" s="994">
        <f>K119/$K$73</f>
        <v>7.3215606085384006E-3</v>
      </c>
      <c r="L121" s="994">
        <f>L119/$L$73</f>
        <v>6.9459514349587831E-3</v>
      </c>
      <c r="M121" s="994">
        <f>M119/$M$73</f>
        <v>5.6414022300629004E-3</v>
      </c>
      <c r="N121" s="994"/>
      <c r="O121" s="994"/>
      <c r="P121" s="994">
        <f>P119/$P$73</f>
        <v>8.3815078631788095E-3</v>
      </c>
      <c r="Q121" s="994">
        <f>Q119/$Q$73</f>
        <v>8.9457145042116191E-3</v>
      </c>
      <c r="R121" s="994">
        <f>R119/$R$73</f>
        <v>2.7908603083563435E-2</v>
      </c>
      <c r="S121" s="994">
        <f>S119/$R$73</f>
        <v>2.5447789104834168E-2</v>
      </c>
      <c r="T121" s="994">
        <f>T119/$T$73</f>
        <v>1.6827820771555022E-2</v>
      </c>
      <c r="U121" s="994"/>
      <c r="V121" s="994">
        <f>V119/$V$73</f>
        <v>8.944099378881987E-3</v>
      </c>
      <c r="W121" s="994">
        <f>W119/$W$73</f>
        <v>1.5112191787250616E-2</v>
      </c>
      <c r="X121" s="994"/>
      <c r="Y121" s="992"/>
      <c r="Z121" s="992"/>
      <c r="AA121" s="994">
        <f>AA119/$AA$73</f>
        <v>9.3355771474898357E-3</v>
      </c>
      <c r="AB121" s="994">
        <f>AB119/$AB$73</f>
        <v>9.7098340295811228E-3</v>
      </c>
      <c r="AC121" s="994">
        <f>AC119/$AC$73</f>
        <v>9.632499214741911E-3</v>
      </c>
      <c r="AD121" s="994">
        <f>AD119/$AD$73</f>
        <v>9.6481824383588353E-3</v>
      </c>
      <c r="AE121" s="994">
        <f>AE119/$AE$73</f>
        <v>9.6832579185520355E-3</v>
      </c>
      <c r="AF121" s="994">
        <f t="shared" si="52"/>
        <v>4.8009350748723742E-2</v>
      </c>
      <c r="AG121" s="994"/>
      <c r="AH121" s="992"/>
      <c r="AI121" s="994"/>
    </row>
    <row r="122" spans="1:35" x14ac:dyDescent="0.25">
      <c r="A122" s="1099" t="s">
        <v>852</v>
      </c>
      <c r="B122" s="551" t="s">
        <v>633</v>
      </c>
      <c r="C122" s="1004">
        <f>C25</f>
        <v>0</v>
      </c>
      <c r="D122" s="1004">
        <f>D25</f>
        <v>0</v>
      </c>
      <c r="E122" s="1004">
        <f>E25</f>
        <v>0</v>
      </c>
      <c r="F122" s="1004">
        <f>F25</f>
        <v>0</v>
      </c>
      <c r="G122" s="1004">
        <f>G25</f>
        <v>0</v>
      </c>
      <c r="H122" s="1004">
        <f t="shared" ref="H122:M122" si="73">H25</f>
        <v>0</v>
      </c>
      <c r="I122" s="1004">
        <f t="shared" si="73"/>
        <v>0</v>
      </c>
      <c r="J122" s="1004">
        <f t="shared" si="73"/>
        <v>0</v>
      </c>
      <c r="K122" s="1004">
        <f t="shared" si="73"/>
        <v>0</v>
      </c>
      <c r="L122" s="1004">
        <f t="shared" si="73"/>
        <v>0</v>
      </c>
      <c r="M122" s="1004">
        <f t="shared" si="73"/>
        <v>0</v>
      </c>
      <c r="N122" s="1003"/>
      <c r="O122" s="1003">
        <f>M122/$M$73</f>
        <v>0</v>
      </c>
      <c r="P122" s="1004">
        <f>P25</f>
        <v>0</v>
      </c>
      <c r="Q122" s="1004">
        <f>Q25</f>
        <v>0</v>
      </c>
      <c r="R122" s="1004">
        <f>R25</f>
        <v>47932</v>
      </c>
      <c r="S122" s="1004">
        <f>S25</f>
        <v>129025</v>
      </c>
      <c r="T122" s="1004">
        <f>SUM(P122:S122)</f>
        <v>176957</v>
      </c>
      <c r="U122" s="1004"/>
      <c r="V122" s="1004">
        <f>V25</f>
        <v>64000</v>
      </c>
      <c r="W122" s="1004">
        <f>SUM(T122,V122)</f>
        <v>240957</v>
      </c>
      <c r="X122" s="1004"/>
      <c r="Y122" s="1003">
        <f>W122/$W$7</f>
        <v>6.5138203058549204E-3</v>
      </c>
      <c r="Z122" s="1003"/>
      <c r="AA122" s="1004">
        <f>AA25</f>
        <v>70000</v>
      </c>
      <c r="AB122" s="1004">
        <f>AB25</f>
        <v>75000</v>
      </c>
      <c r="AC122" s="1004">
        <f>AC25</f>
        <v>80000</v>
      </c>
      <c r="AD122" s="1004">
        <f>AD25</f>
        <v>85000</v>
      </c>
      <c r="AE122" s="1004">
        <f>AE25</f>
        <v>90000</v>
      </c>
      <c r="AF122" s="1004">
        <f t="shared" si="52"/>
        <v>400000</v>
      </c>
      <c r="AG122" s="1003"/>
      <c r="AH122" s="1003">
        <f>AF122/$AF$73</f>
        <v>8.3577274503289813E-3</v>
      </c>
      <c r="AI122" s="985">
        <f>AF122/W122-1</f>
        <v>0.66004722834364649</v>
      </c>
    </row>
    <row r="123" spans="1:35" x14ac:dyDescent="0.25">
      <c r="A123" s="1091" t="s">
        <v>564</v>
      </c>
      <c r="B123" s="1092" t="s">
        <v>1173</v>
      </c>
      <c r="C123" s="1010"/>
      <c r="D123" s="1010"/>
      <c r="E123" s="1010"/>
      <c r="F123" s="1010"/>
      <c r="G123" s="994"/>
      <c r="H123" s="994"/>
      <c r="I123" s="994"/>
      <c r="J123" s="994"/>
      <c r="K123" s="994"/>
      <c r="L123" s="994"/>
      <c r="M123" s="994"/>
      <c r="N123" s="998"/>
      <c r="O123" s="994"/>
      <c r="P123" s="994"/>
      <c r="Q123" s="994"/>
      <c r="R123" s="994"/>
      <c r="S123" s="994"/>
      <c r="T123" s="994"/>
      <c r="U123" s="994"/>
      <c r="V123" s="994">
        <f>V122/S122</f>
        <v>0.4960279015694633</v>
      </c>
      <c r="W123" s="994"/>
      <c r="X123" s="994"/>
      <c r="Y123" s="994"/>
      <c r="Z123" s="994"/>
      <c r="AA123" s="994">
        <f>AA122/V122</f>
        <v>1.09375</v>
      </c>
      <c r="AB123" s="994">
        <f>AB122/AA122</f>
        <v>1.0714285714285714</v>
      </c>
      <c r="AC123" s="994">
        <f>AC122/AB122</f>
        <v>1.0666666666666667</v>
      </c>
      <c r="AD123" s="994">
        <f>AD122/AC122</f>
        <v>1.0625</v>
      </c>
      <c r="AE123" s="994">
        <f>AE122/AD122</f>
        <v>1.0588235294117647</v>
      </c>
      <c r="AF123" s="994">
        <f t="shared" si="52"/>
        <v>5.3531687675070021</v>
      </c>
      <c r="AG123" s="992">
        <f>(AB123*AC123*AD123*AE123*AA123)^(1/5)-1</f>
        <v>7.0563684169161922E-2</v>
      </c>
      <c r="AH123" s="994"/>
      <c r="AI123" s="994"/>
    </row>
    <row r="124" spans="1:35" x14ac:dyDescent="0.25">
      <c r="A124" s="1091" t="s">
        <v>564</v>
      </c>
      <c r="B124" s="1092" t="s">
        <v>1178</v>
      </c>
      <c r="C124" s="1010"/>
      <c r="D124" s="1010"/>
      <c r="E124" s="1010"/>
      <c r="F124" s="1010"/>
      <c r="G124" s="994"/>
      <c r="H124" s="994">
        <f>H122/$H$73</f>
        <v>0</v>
      </c>
      <c r="I124" s="994">
        <f>I122/$I$73</f>
        <v>0</v>
      </c>
      <c r="J124" s="994">
        <f>J122/$J$73</f>
        <v>0</v>
      </c>
      <c r="K124" s="994">
        <f>K122/$K$73</f>
        <v>0</v>
      </c>
      <c r="L124" s="994">
        <f>L122/$L$73</f>
        <v>0</v>
      </c>
      <c r="M124" s="994">
        <f>M122/$M$73</f>
        <v>0</v>
      </c>
      <c r="N124" s="994"/>
      <c r="O124" s="994"/>
      <c r="P124" s="994">
        <f>P122/$P$73</f>
        <v>0</v>
      </c>
      <c r="Q124" s="994">
        <f>Q122/$Q$73</f>
        <v>0</v>
      </c>
      <c r="R124" s="994">
        <f>R122/$R$73</f>
        <v>6.8632454107093663E-3</v>
      </c>
      <c r="S124" s="994">
        <f>S122/$R$73</f>
        <v>1.8474719167086207E-2</v>
      </c>
      <c r="T124" s="994">
        <f>T122/$T$73</f>
        <v>6.1142665782497035E-3</v>
      </c>
      <c r="U124" s="994"/>
      <c r="V124" s="994">
        <f>V122/$V$73</f>
        <v>7.9503105590062115E-3</v>
      </c>
      <c r="W124" s="994">
        <f>W122/$W$73</f>
        <v>6.5138203058549204E-3</v>
      </c>
      <c r="X124" s="994"/>
      <c r="Y124" s="992"/>
      <c r="Z124" s="992"/>
      <c r="AA124" s="994">
        <f>AA122/$AA$73</f>
        <v>8.5985578990037965E-3</v>
      </c>
      <c r="AB124" s="994">
        <f>AB122/$AB$73</f>
        <v>8.4678785141695835E-3</v>
      </c>
      <c r="AC124" s="994">
        <f>AC122/$AC$73</f>
        <v>8.3760862736886182E-3</v>
      </c>
      <c r="AD124" s="994">
        <f>AD122/$AD$73</f>
        <v>8.2837930026313233E-3</v>
      </c>
      <c r="AE124" s="994">
        <f>AE122/$AE$73</f>
        <v>8.1447963800904983E-3</v>
      </c>
      <c r="AF124" s="994">
        <f t="shared" si="52"/>
        <v>4.187111206958382E-2</v>
      </c>
      <c r="AG124" s="994"/>
      <c r="AH124" s="992"/>
      <c r="AI124" s="994"/>
    </row>
    <row r="125" spans="1:35" x14ac:dyDescent="0.25">
      <c r="A125" s="1099" t="s">
        <v>852</v>
      </c>
      <c r="B125" s="1102" t="s">
        <v>1259</v>
      </c>
      <c r="C125" s="1004">
        <f>C23</f>
        <v>16290</v>
      </c>
      <c r="D125" s="1004">
        <f>D23</f>
        <v>34910</v>
      </c>
      <c r="E125" s="1004">
        <f>E23</f>
        <v>34190</v>
      </c>
      <c r="F125" s="1004">
        <f>F23</f>
        <v>46520</v>
      </c>
      <c r="G125" s="1004">
        <f t="shared" ref="G125:M125" si="74">G23+G22+G24+G26+G15</f>
        <v>121402.66154</v>
      </c>
      <c r="H125" s="1004">
        <f t="shared" si="74"/>
        <v>52547.980668000004</v>
      </c>
      <c r="I125" s="1004">
        <f t="shared" si="74"/>
        <v>60691.136125999998</v>
      </c>
      <c r="J125" s="1004">
        <f t="shared" si="74"/>
        <v>71020.529576999994</v>
      </c>
      <c r="K125" s="1004">
        <f t="shared" si="74"/>
        <v>162319.390491</v>
      </c>
      <c r="L125" s="1004">
        <f t="shared" si="74"/>
        <v>157635</v>
      </c>
      <c r="M125" s="1004">
        <f t="shared" si="74"/>
        <v>504214.03686199989</v>
      </c>
      <c r="N125" s="1003"/>
      <c r="O125" s="1003">
        <f>M125/$M$73</f>
        <v>2.2364269814219462E-2</v>
      </c>
      <c r="P125" s="1004">
        <f>P23+P22+P24+P26+P15</f>
        <v>143147</v>
      </c>
      <c r="Q125" s="1004">
        <f>Q23+Q22+Q24+Q26+Q15</f>
        <v>231700</v>
      </c>
      <c r="R125" s="1004">
        <f>R23+R22+R24+R26+R15</f>
        <v>290394</v>
      </c>
      <c r="S125" s="1004">
        <f>S23+S22+S24+S26+S15</f>
        <v>334505</v>
      </c>
      <c r="T125" s="1004">
        <f>SUM(P125:S125)</f>
        <v>999746</v>
      </c>
      <c r="U125" s="1004"/>
      <c r="V125" s="1004">
        <f>V23+V22+V24+V26+V15</f>
        <v>285000</v>
      </c>
      <c r="W125" s="1004">
        <f>SUM(T125,V125)</f>
        <v>1284746</v>
      </c>
      <c r="X125" s="1004"/>
      <c r="Y125" s="1003">
        <f>W125/$W$7</f>
        <v>3.4730697106396105E-2</v>
      </c>
      <c r="Z125" s="1003">
        <f>W125/M125-1</f>
        <v>1.548017123830344</v>
      </c>
      <c r="AA125" s="1004">
        <f>AA23+AA22+AA24+AA26+AA15</f>
        <v>294000</v>
      </c>
      <c r="AB125" s="1004">
        <f>AB23+AB22+AB24+AB26+AB15</f>
        <v>305000</v>
      </c>
      <c r="AC125" s="1004">
        <f>AC23+AC22+AC24+AC26+AC15</f>
        <v>316000</v>
      </c>
      <c r="AD125" s="1004">
        <f>AD23+AD22+AD24+AD26+AD15</f>
        <v>327000</v>
      </c>
      <c r="AE125" s="1004">
        <f>AE23+AE22+AE24+AE26+AE15</f>
        <v>338000</v>
      </c>
      <c r="AF125" s="1004">
        <f t="shared" si="52"/>
        <v>1580000</v>
      </c>
      <c r="AG125" s="1003"/>
      <c r="AH125" s="1003">
        <f>AF125/$AF$73</f>
        <v>3.3013023428799478E-2</v>
      </c>
      <c r="AI125" s="985">
        <f>AF125/W125-1</f>
        <v>0.2298150762874529</v>
      </c>
    </row>
    <row r="126" spans="1:35" x14ac:dyDescent="0.25">
      <c r="A126" s="1091" t="s">
        <v>564</v>
      </c>
      <c r="B126" s="1092" t="s">
        <v>1173</v>
      </c>
      <c r="C126" s="1010"/>
      <c r="D126" s="1010"/>
      <c r="E126" s="1010"/>
      <c r="F126" s="1010"/>
      <c r="G126" s="994"/>
      <c r="H126" s="994">
        <f>H125/G125</f>
        <v>0.4328404336562785</v>
      </c>
      <c r="I126" s="994">
        <f>I125/H125</f>
        <v>1.1549660967839799</v>
      </c>
      <c r="J126" s="994">
        <f>J125/I125</f>
        <v>1.1701960798617328</v>
      </c>
      <c r="K126" s="994">
        <f>K125/J125</f>
        <v>2.2855277404685412</v>
      </c>
      <c r="L126" s="994">
        <f>L125/K125</f>
        <v>0.97114090635240691</v>
      </c>
      <c r="M126" s="994"/>
      <c r="N126" s="998">
        <f>(H126*I126*J126*K126*L126)^(1/5)-1</f>
        <v>5.3622141561359138E-2</v>
      </c>
      <c r="O126" s="994"/>
      <c r="P126" s="994">
        <f>P125/L125</f>
        <v>0.90809147714657279</v>
      </c>
      <c r="Q126" s="994">
        <f>Q125/P125</f>
        <v>1.618615828484006</v>
      </c>
      <c r="R126" s="994">
        <f>R125/Q125</f>
        <v>1.2533189469141131</v>
      </c>
      <c r="S126" s="994">
        <f>S125/R125</f>
        <v>1.1519005213606341</v>
      </c>
      <c r="T126" s="994"/>
      <c r="U126" s="994">
        <f>(P126*Q126*R126*S126)^(1/4)-1</f>
        <v>0.20694502985272556</v>
      </c>
      <c r="V126" s="994">
        <f>V125/S125</f>
        <v>0.85200520171596839</v>
      </c>
      <c r="W126" s="994"/>
      <c r="X126" s="994">
        <f>(P126*Q126*R126*V126*S126)^(1/5)-1</f>
        <v>0.12574089165782421</v>
      </c>
      <c r="Y126" s="994"/>
      <c r="Z126" s="994"/>
      <c r="AA126" s="994">
        <f>AA125/V125</f>
        <v>1.0315789473684212</v>
      </c>
      <c r="AB126" s="994">
        <f>AB125/AA125</f>
        <v>1.0374149659863945</v>
      </c>
      <c r="AC126" s="994">
        <f>AC125/AB125</f>
        <v>1.0360655737704918</v>
      </c>
      <c r="AD126" s="994">
        <f>AD125/AC125</f>
        <v>1.0348101265822784</v>
      </c>
      <c r="AE126" s="994">
        <f>AE125/AD125</f>
        <v>1.0336391437308869</v>
      </c>
      <c r="AF126" s="994">
        <f t="shared" si="52"/>
        <v>5.1735087574384728</v>
      </c>
      <c r="AG126" s="992">
        <f>(AB126*AC126*AD126*AE126*AA126)^(1/5)-1</f>
        <v>3.4699806939593403E-2</v>
      </c>
      <c r="AH126" s="994"/>
      <c r="AI126" s="994"/>
    </row>
    <row r="127" spans="1:35" x14ac:dyDescent="0.25">
      <c r="A127" s="1091" t="s">
        <v>564</v>
      </c>
      <c r="B127" s="1092" t="s">
        <v>1178</v>
      </c>
      <c r="C127" s="1010"/>
      <c r="D127" s="1010"/>
      <c r="E127" s="1010"/>
      <c r="F127" s="1010"/>
      <c r="G127" s="994"/>
      <c r="H127" s="994">
        <f>H125/$H$73</f>
        <v>1.2642952456162499E-2</v>
      </c>
      <c r="I127" s="994">
        <f>I125/$I$73</f>
        <v>1.3431241439110049E-2</v>
      </c>
      <c r="J127" s="994">
        <f>J125/$J$73</f>
        <v>1.5495897971199523E-2</v>
      </c>
      <c r="K127" s="994">
        <f>K125/$K$73</f>
        <v>3.9470551666170375E-2</v>
      </c>
      <c r="L127" s="994">
        <f>L125/$L$73</f>
        <v>3.0461122672130417E-2</v>
      </c>
      <c r="M127" s="994">
        <f>M125/$M$73</f>
        <v>2.2364269814219462E-2</v>
      </c>
      <c r="N127" s="994"/>
      <c r="O127" s="994"/>
      <c r="P127" s="994">
        <f>P125/$P$73</f>
        <v>2.2596999832196197E-2</v>
      </c>
      <c r="Q127" s="994">
        <f>Q125/$Q$73</f>
        <v>3.381496428194062E-2</v>
      </c>
      <c r="R127" s="994">
        <f>R125/$R$73</f>
        <v>4.1580682796410244E-2</v>
      </c>
      <c r="S127" s="994">
        <f>S125/$R$73</f>
        <v>4.7896810191716106E-2</v>
      </c>
      <c r="T127" s="994">
        <f>T125/$T$73</f>
        <v>3.4543496750842451E-2</v>
      </c>
      <c r="U127" s="994"/>
      <c r="V127" s="994">
        <f>V125/$V$73</f>
        <v>3.5403726708074533E-2</v>
      </c>
      <c r="W127" s="994">
        <f>W125/$W$73</f>
        <v>3.4730697106396105E-2</v>
      </c>
      <c r="X127" s="994"/>
      <c r="Y127" s="992"/>
      <c r="Z127" s="992"/>
      <c r="AA127" s="994">
        <f>AA125/$AA$73</f>
        <v>3.6113943175815941E-2</v>
      </c>
      <c r="AB127" s="994">
        <f>AB125/$AB$73</f>
        <v>3.4436039290956302E-2</v>
      </c>
      <c r="AC127" s="994">
        <f>AC125/$AC$73</f>
        <v>3.3085540781070046E-2</v>
      </c>
      <c r="AD127" s="994">
        <f>AD125/$AD$73</f>
        <v>3.1868238963064031E-2</v>
      </c>
      <c r="AE127" s="994">
        <f>AE125/$AE$73</f>
        <v>3.0588235294117649E-2</v>
      </c>
      <c r="AF127" s="994">
        <f t="shared" si="52"/>
        <v>0.16609199750502396</v>
      </c>
      <c r="AG127" s="994"/>
      <c r="AH127" s="992"/>
      <c r="AI127" s="994"/>
    </row>
    <row r="128" spans="1:35" s="1" customFormat="1" x14ac:dyDescent="0.25">
      <c r="A128" s="1097">
        <v>11</v>
      </c>
      <c r="B128" s="1098" t="s">
        <v>1170</v>
      </c>
      <c r="C128" s="26"/>
      <c r="D128" s="26"/>
      <c r="E128" s="26"/>
      <c r="F128" s="26"/>
      <c r="G128" s="26"/>
      <c r="H128" s="1005">
        <f>H7/G7</f>
        <v>1.046794510256291</v>
      </c>
      <c r="I128" s="1005">
        <f>I7/H7</f>
        <v>1.0871803262801722</v>
      </c>
      <c r="J128" s="1005">
        <f>J7/I7</f>
        <v>1.0142804314364227</v>
      </c>
      <c r="K128" s="1005">
        <f>K7/J7</f>
        <v>0.89728425830443836</v>
      </c>
      <c r="L128" s="1005">
        <f>L7/K7</f>
        <v>1.2583734267412459</v>
      </c>
      <c r="M128" s="26"/>
      <c r="N128" s="822">
        <f>AVERAGE(H128:L128)</f>
        <v>1.060782590603714</v>
      </c>
      <c r="O128" s="822"/>
      <c r="P128" s="1005">
        <f>P7/L7</f>
        <v>1.2241220555069345</v>
      </c>
      <c r="Q128" s="1005">
        <f>Q7/P7</f>
        <v>1.0816472050564037</v>
      </c>
      <c r="R128" s="1005">
        <f>R7/Q7</f>
        <v>1.0192457788942084</v>
      </c>
      <c r="S128" s="1005">
        <f>S7/R7</f>
        <v>1.2558961595494074</v>
      </c>
      <c r="T128" s="1005"/>
      <c r="U128" s="1005">
        <f>(P128*Q128*R128*S128)^(1/4)</f>
        <v>1.1410002834436419</v>
      </c>
      <c r="V128" s="1005">
        <f>V7/S7</f>
        <v>0.91779592619461403</v>
      </c>
      <c r="W128" s="1005"/>
      <c r="X128" s="1005">
        <f>AVERAGE(P128,Q128,R128,S128,V128)</f>
        <v>1.0997414250403135</v>
      </c>
      <c r="Y128" s="822"/>
      <c r="Z128" s="822"/>
      <c r="AA128" s="822">
        <f>AA7/V7</f>
        <v>1.0112919254658386</v>
      </c>
      <c r="AB128" s="822">
        <f>AB7/AA7</f>
        <v>1.0879632473068088</v>
      </c>
      <c r="AC128" s="822">
        <f>AC7/AB7</f>
        <v>1.0783561025177826</v>
      </c>
      <c r="AD128" s="822">
        <f>AD7/AC7</f>
        <v>1.0743377656789865</v>
      </c>
      <c r="AE128" s="822">
        <f>AE7/AD7</f>
        <v>1.0768930903420719</v>
      </c>
      <c r="AF128" s="822">
        <f t="shared" si="52"/>
        <v>5.3288421313114878</v>
      </c>
      <c r="AG128" s="822"/>
      <c r="AH128" s="822"/>
      <c r="AI128" s="822"/>
    </row>
    <row r="129" spans="1:36" s="1" customFormat="1" x14ac:dyDescent="0.25">
      <c r="A129" s="1097">
        <v>12</v>
      </c>
      <c r="B129" s="1098" t="s">
        <v>410</v>
      </c>
      <c r="C129" s="26"/>
      <c r="D129" s="26"/>
      <c r="E129" s="26"/>
      <c r="F129" s="26"/>
      <c r="G129" s="26"/>
      <c r="H129" s="26">
        <f>H8</f>
        <v>3798739.5013269996</v>
      </c>
      <c r="I129" s="26">
        <f>I8</f>
        <v>4099702.3977709995</v>
      </c>
      <c r="J129" s="26">
        <f>J8</f>
        <v>4126341.428791</v>
      </c>
      <c r="K129" s="26">
        <f>K8</f>
        <v>3972338.7808679999</v>
      </c>
      <c r="L129" s="26">
        <f>L8</f>
        <v>4931116</v>
      </c>
      <c r="M129" s="26">
        <f>SUM(H129:L129)</f>
        <v>20928238.108756997</v>
      </c>
      <c r="N129" s="822"/>
      <c r="O129" s="822">
        <f>M129/$M$7</f>
        <v>0.92826603303900546</v>
      </c>
      <c r="P129" s="26">
        <f>P8</f>
        <v>6237814</v>
      </c>
      <c r="Q129" s="26">
        <f>Q8</f>
        <v>6744580</v>
      </c>
      <c r="R129" s="26">
        <f>R8</f>
        <v>6909606</v>
      </c>
      <c r="S129" s="26">
        <f>S8</f>
        <v>8644723</v>
      </c>
      <c r="T129" s="26">
        <f>SUM(P129:S129)</f>
        <v>28536723</v>
      </c>
      <c r="U129" s="26"/>
      <c r="V129" s="26">
        <f>V8</f>
        <v>7964000</v>
      </c>
      <c r="W129" s="26">
        <f>SUM(T129,V129)</f>
        <v>36500723</v>
      </c>
      <c r="X129" s="26"/>
      <c r="Y129" s="822">
        <f>W129/$W$7</f>
        <v>0.98672854764869133</v>
      </c>
      <c r="Z129" s="822"/>
      <c r="AA129" s="26">
        <f>AA8</f>
        <v>8035900</v>
      </c>
      <c r="AB129" s="26">
        <f>AB8</f>
        <v>8740000</v>
      </c>
      <c r="AC129" s="26">
        <f>AC8</f>
        <v>9422000</v>
      </c>
      <c r="AD129" s="26">
        <f>AD8</f>
        <v>10120000</v>
      </c>
      <c r="AE129" s="26">
        <f>AE8</f>
        <v>10897000</v>
      </c>
      <c r="AF129" s="26">
        <f t="shared" si="52"/>
        <v>47214900</v>
      </c>
      <c r="AG129" s="822"/>
      <c r="AH129" s="822"/>
      <c r="AI129" s="985">
        <f>AF129/W129-1</f>
        <v>0.29353328151883451</v>
      </c>
    </row>
    <row r="130" spans="1:36" x14ac:dyDescent="0.25">
      <c r="A130" s="257"/>
      <c r="B130" s="1096" t="s">
        <v>1173</v>
      </c>
      <c r="C130" s="208"/>
      <c r="D130" s="208"/>
      <c r="E130" s="208"/>
      <c r="F130" s="208"/>
      <c r="G130" s="992"/>
      <c r="H130" s="992">
        <f>H8/G8</f>
        <v>1.0367899740461513</v>
      </c>
      <c r="I130" s="992">
        <f>I8/H8</f>
        <v>1.0792270426384503</v>
      </c>
      <c r="J130" s="992">
        <f>J8/I8</f>
        <v>1.0064977962874779</v>
      </c>
      <c r="K130" s="992">
        <f>K8/J8</f>
        <v>0.96267816161588882</v>
      </c>
      <c r="L130" s="992">
        <f>L8/K8</f>
        <v>1.2413634063010348</v>
      </c>
      <c r="M130" s="992"/>
      <c r="N130" s="998">
        <f>(H130*I130*J130*K130*L130)^(1/5)-1</f>
        <v>6.1205028008409545E-2</v>
      </c>
      <c r="O130" s="992"/>
      <c r="P130" s="992">
        <f>P9/L9</f>
        <v>1.3321136571078873</v>
      </c>
      <c r="Q130" s="992">
        <f>Q9/P9</f>
        <v>1.0343939313663881</v>
      </c>
      <c r="R130" s="992">
        <f>R9/Q9</f>
        <v>1.0146586953378618</v>
      </c>
      <c r="S130" s="992">
        <f>S9/R9</f>
        <v>1.3113079909945025</v>
      </c>
      <c r="T130" s="992"/>
      <c r="U130" s="992">
        <f>(P130*Q130*R130*S130)^(1/4)-1</f>
        <v>0.16362483975188691</v>
      </c>
      <c r="V130" s="992">
        <f>V8/S8</f>
        <v>0.92125566082337162</v>
      </c>
      <c r="W130" s="992"/>
      <c r="X130" s="992">
        <f>(P130*Q130*R130*V130*S130)^(1/5)-1</f>
        <v>0.11052009277379682</v>
      </c>
      <c r="Y130" s="992"/>
      <c r="Z130" s="992"/>
      <c r="AA130" s="992">
        <f>AA8/V8</f>
        <v>1.0090281265695631</v>
      </c>
      <c r="AB130" s="992">
        <f>AB8/AA8</f>
        <v>1.0876193083537624</v>
      </c>
      <c r="AC130" s="992">
        <f>AC8/AB8</f>
        <v>1.0780320366132723</v>
      </c>
      <c r="AD130" s="992">
        <f>AD8/AC8</f>
        <v>1.0740819358947145</v>
      </c>
      <c r="AE130" s="992">
        <f>AE8/AD8</f>
        <v>1.0767786561264823</v>
      </c>
      <c r="AF130" s="992">
        <f t="shared" si="52"/>
        <v>5.3255400635577947</v>
      </c>
      <c r="AG130" s="998">
        <f>(AB130*AC130*AD130*AE130*AA130)^(1/5)-1</f>
        <v>6.4719332806619567E-2</v>
      </c>
      <c r="AH130" s="992"/>
      <c r="AI130" s="992"/>
    </row>
    <row r="131" spans="1:36" s="1" customFormat="1" ht="31.5" x14ac:dyDescent="0.25">
      <c r="A131" s="1097">
        <v>13</v>
      </c>
      <c r="B131" s="823" t="s">
        <v>1174</v>
      </c>
      <c r="C131" s="26"/>
      <c r="D131" s="26"/>
      <c r="E131" s="26"/>
      <c r="F131" s="26"/>
      <c r="G131" s="26"/>
      <c r="H131" s="26">
        <f>H9</f>
        <v>2716706.9705919996</v>
      </c>
      <c r="I131" s="26">
        <f>I9</f>
        <v>2881335.0339119998</v>
      </c>
      <c r="J131" s="26">
        <f>J9</f>
        <v>2871723.7974100001</v>
      </c>
      <c r="K131" s="26">
        <f>K9</f>
        <v>2637997.8620639998</v>
      </c>
      <c r="L131" s="26">
        <f>L9</f>
        <v>3357995</v>
      </c>
      <c r="M131" s="26">
        <f>SUM(H131:L131)</f>
        <v>14465758.663977999</v>
      </c>
      <c r="N131" s="822"/>
      <c r="O131" s="822">
        <f>M131/$M$7</f>
        <v>0.64162460022335932</v>
      </c>
      <c r="P131" s="26">
        <f>P9</f>
        <v>4473231</v>
      </c>
      <c r="Q131" s="26">
        <f>Q9</f>
        <v>4627083</v>
      </c>
      <c r="R131" s="26">
        <f>R9</f>
        <v>4694910</v>
      </c>
      <c r="S131" s="26">
        <f>S9</f>
        <v>6156473</v>
      </c>
      <c r="T131" s="26">
        <f>SUM(P131:S131)</f>
        <v>19951697</v>
      </c>
      <c r="U131" s="26"/>
      <c r="V131" s="26">
        <f>V9</f>
        <v>5414000</v>
      </c>
      <c r="W131" s="26">
        <f>SUM(T131,V131)</f>
        <v>25365697</v>
      </c>
      <c r="X131" s="26"/>
      <c r="Y131" s="822">
        <f>W131/$W$7</f>
        <v>0.68571401615542704</v>
      </c>
      <c r="Z131" s="822"/>
      <c r="AA131" s="26">
        <f>AA9</f>
        <v>5785900</v>
      </c>
      <c r="AB131" s="26">
        <f>AB9</f>
        <v>6390000</v>
      </c>
      <c r="AC131" s="26">
        <f>AC9</f>
        <v>7022000</v>
      </c>
      <c r="AD131" s="26">
        <f>AD9</f>
        <v>7720000</v>
      </c>
      <c r="AE131" s="26">
        <f>AE9</f>
        <v>8497000</v>
      </c>
      <c r="AF131" s="26">
        <f t="shared" si="52"/>
        <v>35414900</v>
      </c>
      <c r="AG131" s="822"/>
      <c r="AH131" s="822"/>
      <c r="AI131" s="822"/>
      <c r="AJ131" s="1">
        <f>23+24</f>
        <v>47</v>
      </c>
    </row>
    <row r="132" spans="1:36" x14ac:dyDescent="0.25">
      <c r="A132" s="257"/>
      <c r="B132" s="1096" t="s">
        <v>1173</v>
      </c>
      <c r="C132" s="208"/>
      <c r="D132" s="208"/>
      <c r="E132" s="208"/>
      <c r="F132" s="208"/>
      <c r="G132" s="992"/>
      <c r="H132" s="992">
        <f>H131/G9</f>
        <v>1.1107089890644151</v>
      </c>
      <c r="I132" s="992">
        <f>I131/H9</f>
        <v>1.0605983880860459</v>
      </c>
      <c r="J132" s="992">
        <f>J131/I9</f>
        <v>0.99666431137341549</v>
      </c>
      <c r="K132" s="992">
        <f>K131/J9</f>
        <v>0.91861127607160653</v>
      </c>
      <c r="L132" s="992">
        <f>L9/K9</f>
        <v>1.2729331771985084</v>
      </c>
      <c r="M132" s="992"/>
      <c r="N132" s="998">
        <f>(H132*I132*J132*K132*L132)^(1/5)-1</f>
        <v>6.5436343162004418E-2</v>
      </c>
      <c r="O132" s="992"/>
      <c r="P132" s="992">
        <f>P9/L9</f>
        <v>1.3321136571078873</v>
      </c>
      <c r="Q132" s="992">
        <f>Q9/P9</f>
        <v>1.0343939313663881</v>
      </c>
      <c r="R132" s="992">
        <f>R9/Q9</f>
        <v>1.0146586953378618</v>
      </c>
      <c r="S132" s="992">
        <f>S9/R9</f>
        <v>1.3113079909945025</v>
      </c>
      <c r="T132" s="992"/>
      <c r="U132" s="992">
        <f>(P132*Q132*R132*S132)^(1/4)-1</f>
        <v>0.16362483975188691</v>
      </c>
      <c r="V132" s="992">
        <f>V9/S9</f>
        <v>0.87939961728086846</v>
      </c>
      <c r="W132" s="992"/>
      <c r="X132" s="992">
        <f>(P132*Q132*R132*V132*S132)^(1/5)-1</f>
        <v>0.10024053524440757</v>
      </c>
      <c r="Y132" s="992"/>
      <c r="Z132" s="992"/>
      <c r="AA132" s="992">
        <f>AA9/V9</f>
        <v>1.0686922792759512</v>
      </c>
      <c r="AB132" s="992">
        <f>AB9/AA9</f>
        <v>1.1044089942791959</v>
      </c>
      <c r="AC132" s="992">
        <f>AC9/AB9</f>
        <v>1.098904538341158</v>
      </c>
      <c r="AD132" s="992">
        <f>AD9/AC9</f>
        <v>1.099401879806323</v>
      </c>
      <c r="AE132" s="992">
        <f>AE9/AD9</f>
        <v>1.1006476683937825</v>
      </c>
      <c r="AF132" s="992">
        <f t="shared" si="52"/>
        <v>5.4720553600964106</v>
      </c>
      <c r="AG132" s="998">
        <f>(AB132*AC132*AD132*AE132*AA132)^(1/5)-1</f>
        <v>9.4332943657184698E-2</v>
      </c>
      <c r="AH132" s="992"/>
      <c r="AI132" s="992"/>
      <c r="AJ132" s="210">
        <f>100-AJ131</f>
        <v>53</v>
      </c>
    </row>
    <row r="133" spans="1:36" s="1" customFormat="1" x14ac:dyDescent="0.25">
      <c r="A133" s="1097">
        <v>14</v>
      </c>
      <c r="B133" s="1098" t="s">
        <v>1096</v>
      </c>
      <c r="C133" s="26"/>
      <c r="D133" s="26"/>
      <c r="E133" s="26"/>
      <c r="F133" s="26"/>
      <c r="G133" s="26"/>
      <c r="H133" s="26">
        <f>H29</f>
        <v>0</v>
      </c>
      <c r="I133" s="26">
        <f>I29</f>
        <v>0</v>
      </c>
      <c r="J133" s="26">
        <f>J29</f>
        <v>0</v>
      </c>
      <c r="K133" s="26">
        <f>K29</f>
        <v>0</v>
      </c>
      <c r="L133" s="26">
        <f>L29</f>
        <v>0</v>
      </c>
      <c r="M133" s="26">
        <f>SUM(H133:L133)</f>
        <v>0</v>
      </c>
      <c r="N133" s="822"/>
      <c r="O133" s="822"/>
      <c r="P133" s="26">
        <f>P29</f>
        <v>0</v>
      </c>
      <c r="Q133" s="26">
        <f>Q29</f>
        <v>0</v>
      </c>
      <c r="R133" s="26">
        <f>R29</f>
        <v>0</v>
      </c>
      <c r="S133" s="26">
        <f>S29</f>
        <v>0</v>
      </c>
      <c r="T133" s="26">
        <f>SUM(P133:S133)</f>
        <v>0</v>
      </c>
      <c r="U133" s="26"/>
      <c r="V133" s="26">
        <f>V29</f>
        <v>0</v>
      </c>
      <c r="W133" s="26">
        <f>SUM(T133,V133)</f>
        <v>0</v>
      </c>
      <c r="X133" s="26"/>
      <c r="Y133" s="822"/>
      <c r="Z133" s="822"/>
      <c r="AA133" s="26">
        <f>AA29</f>
        <v>0</v>
      </c>
      <c r="AB133" s="26">
        <f>AB29</f>
        <v>0</v>
      </c>
      <c r="AC133" s="26">
        <f>AC29</f>
        <v>0</v>
      </c>
      <c r="AD133" s="26">
        <f>AD29</f>
        <v>0</v>
      </c>
      <c r="AE133" s="26">
        <f>AE29</f>
        <v>0</v>
      </c>
      <c r="AF133" s="26">
        <f t="shared" si="52"/>
        <v>0</v>
      </c>
      <c r="AG133" s="822"/>
      <c r="AH133" s="822"/>
      <c r="AI133" s="822"/>
    </row>
    <row r="134" spans="1:36" x14ac:dyDescent="0.25">
      <c r="A134" s="257"/>
      <c r="B134" s="1096" t="s">
        <v>1173</v>
      </c>
      <c r="C134" s="208"/>
      <c r="D134" s="208"/>
      <c r="E134" s="208"/>
      <c r="F134" s="208"/>
      <c r="G134" s="992"/>
      <c r="H134" s="992"/>
      <c r="I134" s="992"/>
      <c r="J134" s="992"/>
      <c r="K134" s="992"/>
      <c r="L134" s="992"/>
      <c r="M134" s="992"/>
      <c r="N134" s="998"/>
      <c r="O134" s="992"/>
      <c r="P134" s="992"/>
      <c r="Q134" s="992"/>
      <c r="R134" s="992"/>
      <c r="S134" s="992"/>
      <c r="T134" s="992"/>
      <c r="U134" s="992"/>
      <c r="V134" s="992"/>
      <c r="W134" s="992"/>
      <c r="X134" s="992"/>
      <c r="Y134" s="992"/>
      <c r="Z134" s="992"/>
      <c r="AA134" s="992"/>
      <c r="AB134" s="992"/>
      <c r="AC134" s="992"/>
      <c r="AD134" s="992"/>
      <c r="AE134" s="992"/>
      <c r="AF134" s="992">
        <f t="shared" si="52"/>
        <v>0</v>
      </c>
      <c r="AG134" s="998"/>
      <c r="AH134" s="992"/>
      <c r="AI134" s="992"/>
    </row>
    <row r="135" spans="1:36" s="1" customFormat="1" x14ac:dyDescent="0.25">
      <c r="A135" s="1097">
        <v>15</v>
      </c>
      <c r="B135" s="1098" t="s">
        <v>1175</v>
      </c>
      <c r="C135" s="26">
        <f t="shared" ref="C135:L135" si="75">C28</f>
        <v>230940</v>
      </c>
      <c r="D135" s="26">
        <f t="shared" si="75"/>
        <v>305720</v>
      </c>
      <c r="E135" s="26">
        <f t="shared" si="75"/>
        <v>329200</v>
      </c>
      <c r="F135" s="26">
        <f t="shared" si="75"/>
        <v>308830</v>
      </c>
      <c r="G135" s="26">
        <f t="shared" si="75"/>
        <v>306565.00754700002</v>
      </c>
      <c r="H135" s="26">
        <f t="shared" si="75"/>
        <v>357566.61864</v>
      </c>
      <c r="I135" s="26">
        <f t="shared" si="75"/>
        <v>418951.84585500002</v>
      </c>
      <c r="J135" s="26">
        <f t="shared" si="75"/>
        <v>456841.14694599999</v>
      </c>
      <c r="K135" s="26">
        <f t="shared" si="75"/>
        <v>140078.797276</v>
      </c>
      <c r="L135" s="26">
        <f t="shared" si="75"/>
        <v>243841</v>
      </c>
      <c r="M135" s="26">
        <f>SUM(H135:L135)</f>
        <v>1617279.4087169999</v>
      </c>
      <c r="N135" s="822"/>
      <c r="O135" s="822">
        <f>M135/$M$7</f>
        <v>7.1733966960994378E-2</v>
      </c>
      <c r="P135" s="26">
        <f>P28</f>
        <v>96965</v>
      </c>
      <c r="Q135" s="26">
        <f>Q28</f>
        <v>107416</v>
      </c>
      <c r="R135" s="26">
        <f>R28</f>
        <v>74262</v>
      </c>
      <c r="S135" s="26">
        <f>S28</f>
        <v>126290</v>
      </c>
      <c r="T135" s="26">
        <f>SUM(P135:S135)</f>
        <v>404933</v>
      </c>
      <c r="U135" s="26"/>
      <c r="V135" s="26">
        <f>V28</f>
        <v>86000</v>
      </c>
      <c r="W135" s="26">
        <f>SUM(T135,V135)</f>
        <v>490933</v>
      </c>
      <c r="X135" s="26"/>
      <c r="Y135" s="822">
        <f>W135/$W$7</f>
        <v>1.3271452351308631E-2</v>
      </c>
      <c r="Z135" s="822">
        <f>W135/M135-1</f>
        <v>-0.69644515514517003</v>
      </c>
      <c r="AA135" s="26">
        <f>AA28</f>
        <v>105000</v>
      </c>
      <c r="AB135" s="26">
        <f>AB28</f>
        <v>117000</v>
      </c>
      <c r="AC135" s="26">
        <f>AC28</f>
        <v>129000</v>
      </c>
      <c r="AD135" s="26">
        <f>AD28</f>
        <v>141000</v>
      </c>
      <c r="AE135" s="26">
        <f>AE28</f>
        <v>153000</v>
      </c>
      <c r="AF135" s="26">
        <f t="shared" si="52"/>
        <v>645000</v>
      </c>
      <c r="AG135" s="822"/>
      <c r="AH135" s="822"/>
      <c r="AI135" s="985">
        <f>AF135/W135-1</f>
        <v>0.31382490075020431</v>
      </c>
    </row>
    <row r="136" spans="1:36" x14ac:dyDescent="0.25">
      <c r="A136" s="257"/>
      <c r="B136" s="1096" t="s">
        <v>1173</v>
      </c>
      <c r="C136" s="208"/>
      <c r="D136" s="208"/>
      <c r="E136" s="208"/>
      <c r="F136" s="208"/>
      <c r="G136" s="992"/>
      <c r="H136" s="992">
        <f>H135/G135</f>
        <v>1.1663647508275414</v>
      </c>
      <c r="I136" s="992">
        <f>I135/H135</f>
        <v>1.1716749383610749</v>
      </c>
      <c r="J136" s="992">
        <f>J135/I135</f>
        <v>1.0904383199784577</v>
      </c>
      <c r="K136" s="992">
        <f>K135/J135</f>
        <v>0.30662473862617662</v>
      </c>
      <c r="L136" s="992">
        <f>L135/K135</f>
        <v>1.7407416735564576</v>
      </c>
      <c r="M136" s="992"/>
      <c r="N136" s="998">
        <f>(H136*I136*J136*K136*L136)^(1/5)-1</f>
        <v>-4.4750476186834587E-2</v>
      </c>
      <c r="O136" s="992"/>
      <c r="P136" s="992">
        <f>P135/L135</f>
        <v>0.39765666971510122</v>
      </c>
      <c r="Q136" s="992">
        <f>Q135/P135</f>
        <v>1.1077811581498478</v>
      </c>
      <c r="R136" s="992">
        <f>R135/Q135</f>
        <v>0.69134951962463698</v>
      </c>
      <c r="S136" s="992">
        <f>S135/R135</f>
        <v>1.7006005763378309</v>
      </c>
      <c r="T136" s="992"/>
      <c r="U136" s="992">
        <f>(P136*Q136*R136*S136)^(1/4)-1</f>
        <v>-0.15166856888643254</v>
      </c>
      <c r="V136" s="992">
        <f>V135/S135</f>
        <v>0.6809723651912265</v>
      </c>
      <c r="W136" s="992"/>
      <c r="X136" s="992">
        <f>(P136*Q136*R136*V136*S136)^(1/5)-1</f>
        <v>-0.18814523483912449</v>
      </c>
      <c r="Y136" s="992"/>
      <c r="Z136" s="992"/>
      <c r="AA136" s="992">
        <f>AA135/V135</f>
        <v>1.2209302325581395</v>
      </c>
      <c r="AB136" s="992">
        <f>AB135/AA135</f>
        <v>1.1142857142857143</v>
      </c>
      <c r="AC136" s="992">
        <f>AC135/AB135</f>
        <v>1.1025641025641026</v>
      </c>
      <c r="AD136" s="992">
        <f>AD135/AC135</f>
        <v>1.0930232558139534</v>
      </c>
      <c r="AE136" s="992">
        <f>AE135/AD135</f>
        <v>1.0851063829787233</v>
      </c>
      <c r="AF136" s="992">
        <f t="shared" ref="AF136:AF161" si="76">SUM(AA136:AE136)</f>
        <v>5.6159096882006327</v>
      </c>
      <c r="AG136" s="998">
        <f>(AB136*AC136*AD136*AE136*AA136)^(1/5)-1</f>
        <v>0.12211817293716432</v>
      </c>
      <c r="AH136" s="992"/>
      <c r="AI136" s="992">
        <f>AG136-X136</f>
        <v>0.3102634077762888</v>
      </c>
    </row>
    <row r="137" spans="1:36" s="1" customFormat="1" x14ac:dyDescent="0.25">
      <c r="A137" s="1097">
        <v>16</v>
      </c>
      <c r="B137" s="1098" t="s">
        <v>1323</v>
      </c>
      <c r="C137" s="26">
        <f>SUM(C139,C142,C147)</f>
        <v>2138770</v>
      </c>
      <c r="D137" s="26">
        <f>SUM(D139,D142,D147)</f>
        <v>3338066.399896</v>
      </c>
      <c r="E137" s="26">
        <f>SUM(E139,E142,E147)</f>
        <v>3203060</v>
      </c>
      <c r="F137" s="26">
        <f>SUM(F139,F142,F147)</f>
        <v>3871950</v>
      </c>
      <c r="G137" s="26">
        <f t="shared" ref="G137:M137" si="77">SUM(G138,G146)</f>
        <v>4688367.1362619996</v>
      </c>
      <c r="H137" s="26">
        <f t="shared" si="77"/>
        <v>5517507.1199670006</v>
      </c>
      <c r="I137" s="26">
        <f t="shared" si="77"/>
        <v>6676916.2436260004</v>
      </c>
      <c r="J137" s="26">
        <f t="shared" si="77"/>
        <v>7325261.5757369995</v>
      </c>
      <c r="K137" s="26">
        <f t="shared" si="77"/>
        <v>8159969.5781439999</v>
      </c>
      <c r="L137" s="26">
        <f t="shared" si="77"/>
        <v>8838258.6639019996</v>
      </c>
      <c r="M137" s="26">
        <f t="shared" si="77"/>
        <v>36517913.181375995</v>
      </c>
      <c r="N137" s="822"/>
      <c r="O137" s="822">
        <f>M137/$M$137</f>
        <v>1</v>
      </c>
      <c r="P137" s="26">
        <f>SUM(P138,P146)</f>
        <v>9435660.1446360014</v>
      </c>
      <c r="Q137" s="26">
        <f>SUM(Q138,Q146)</f>
        <v>10825317.768979</v>
      </c>
      <c r="R137" s="26">
        <f>SUM(R138,R146)</f>
        <v>12245988.776128</v>
      </c>
      <c r="S137" s="26">
        <f>SUM(S138,S146)</f>
        <v>11315739.776128</v>
      </c>
      <c r="T137" s="26">
        <f t="shared" ref="T137:T161" si="78">SUM(P137:S137)</f>
        <v>43822706.465871006</v>
      </c>
      <c r="U137" s="26"/>
      <c r="V137" s="26">
        <f>SUM(V138,V146)</f>
        <v>12806627</v>
      </c>
      <c r="W137" s="26">
        <f t="shared" ref="W137:W161" si="79">SUM(T137,V137)</f>
        <v>56629333.465871006</v>
      </c>
      <c r="X137" s="26"/>
      <c r="Y137" s="822">
        <f t="shared" ref="Y137:Y147" si="80">W137/$W$7</f>
        <v>1.5308677574713336</v>
      </c>
      <c r="Z137" s="822"/>
      <c r="AA137" s="26">
        <f>SUM(AA138,AA146)</f>
        <v>14534870</v>
      </c>
      <c r="AB137" s="26">
        <f>SUM(AB138,AB146)</f>
        <v>14862388</v>
      </c>
      <c r="AC137" s="26">
        <f>SUM(AC138,AC146)</f>
        <v>15832219</v>
      </c>
      <c r="AD137" s="26">
        <f>SUM(AD138,AD146)</f>
        <v>16728409</v>
      </c>
      <c r="AE137" s="26">
        <f>SUM(AE138,AE146)</f>
        <v>17721969</v>
      </c>
      <c r="AF137" s="26">
        <f t="shared" si="76"/>
        <v>79679855</v>
      </c>
      <c r="AG137" s="822"/>
      <c r="AH137" s="822">
        <f>AF137/$AF$137</f>
        <v>1</v>
      </c>
      <c r="AI137" s="822"/>
    </row>
    <row r="138" spans="1:36" s="65" customFormat="1" x14ac:dyDescent="0.25">
      <c r="A138" s="1091"/>
      <c r="B138" s="1092" t="s">
        <v>1324</v>
      </c>
      <c r="C138" s="64"/>
      <c r="D138" s="64"/>
      <c r="E138" s="64"/>
      <c r="F138" s="64"/>
      <c r="G138" s="64">
        <f t="shared" ref="G138:M138" si="81">SUM(G139,G143,G147)</f>
        <v>4308494.1362619996</v>
      </c>
      <c r="H138" s="64">
        <f t="shared" si="81"/>
        <v>5000023.1199670006</v>
      </c>
      <c r="I138" s="64">
        <f t="shared" si="81"/>
        <v>5990804.2436260004</v>
      </c>
      <c r="J138" s="64">
        <f t="shared" si="81"/>
        <v>6551206.5757369995</v>
      </c>
      <c r="K138" s="64">
        <f t="shared" si="81"/>
        <v>7628457.5781439999</v>
      </c>
      <c r="L138" s="64">
        <f t="shared" si="81"/>
        <v>8304426.6639019996</v>
      </c>
      <c r="M138" s="64">
        <f t="shared" si="81"/>
        <v>33474918.181375999</v>
      </c>
      <c r="N138" s="994"/>
      <c r="O138" s="994"/>
      <c r="P138" s="64">
        <f>SUM(P139,P143,P147)</f>
        <v>8674810.1446360014</v>
      </c>
      <c r="Q138" s="64">
        <f>SUM(Q139,Q143,Q147)</f>
        <v>10083458.768979</v>
      </c>
      <c r="R138" s="64">
        <f>SUM(R139,R143,R147)</f>
        <v>10427702.776128</v>
      </c>
      <c r="S138" s="64">
        <f>SUM(S139,S143,S147)</f>
        <v>10427702.776128</v>
      </c>
      <c r="T138" s="64">
        <f t="shared" si="78"/>
        <v>39613674.465871006</v>
      </c>
      <c r="U138" s="64"/>
      <c r="V138" s="64">
        <f>SUM(V139,V143,V147)</f>
        <v>11918590</v>
      </c>
      <c r="W138" s="64">
        <f t="shared" si="79"/>
        <v>51532264.465871006</v>
      </c>
      <c r="X138" s="64"/>
      <c r="Y138" s="994"/>
      <c r="Z138" s="994"/>
      <c r="AA138" s="64">
        <f>SUM(AA139,AA143,AA147)</f>
        <v>13164076</v>
      </c>
      <c r="AB138" s="64">
        <f>SUM(AB139,AB143,AB147)</f>
        <v>13491594</v>
      </c>
      <c r="AC138" s="64">
        <f>SUM(AC139,AC143,AC147)</f>
        <v>14233249</v>
      </c>
      <c r="AD138" s="64">
        <f>SUM(AD139,AD143,AD147)</f>
        <v>14860439</v>
      </c>
      <c r="AE138" s="64">
        <f>SUM(AE139,AE143,AE147)</f>
        <v>15536999</v>
      </c>
      <c r="AF138" s="64">
        <f t="shared" si="76"/>
        <v>71286357</v>
      </c>
      <c r="AG138" s="994"/>
      <c r="AH138" s="994"/>
      <c r="AI138" s="994"/>
    </row>
    <row r="139" spans="1:36" s="1" customFormat="1" x14ac:dyDescent="0.25">
      <c r="A139" s="1097" t="s">
        <v>434</v>
      </c>
      <c r="B139" s="1098" t="s">
        <v>1081</v>
      </c>
      <c r="C139" s="26">
        <v>1315940</v>
      </c>
      <c r="D139" s="26">
        <v>2230026.399896</v>
      </c>
      <c r="E139" s="26">
        <v>2167000</v>
      </c>
      <c r="F139" s="26">
        <v>2617990</v>
      </c>
      <c r="G139" s="26">
        <v>3650184.1362620001</v>
      </c>
      <c r="H139" s="26">
        <v>3769768.1199670001</v>
      </c>
      <c r="I139" s="26">
        <v>4084137.2436260004</v>
      </c>
      <c r="J139" s="26">
        <v>4073220.5757369995</v>
      </c>
      <c r="K139" s="26">
        <v>3875972.5781439999</v>
      </c>
      <c r="L139" s="26">
        <v>4846821.6639019996</v>
      </c>
      <c r="M139" s="26">
        <f>SUM(H139:L139)</f>
        <v>20649920.181375999</v>
      </c>
      <c r="N139" s="822"/>
      <c r="O139" s="822">
        <f t="shared" ref="O139:O147" si="82">M139/$M$137</f>
        <v>0.56547371912553268</v>
      </c>
      <c r="P139" s="26">
        <v>6154918.1446360005</v>
      </c>
      <c r="Q139" s="26">
        <v>5390332.7689789999</v>
      </c>
      <c r="R139" s="26">
        <v>5734576.7761279996</v>
      </c>
      <c r="S139" s="26">
        <v>5734576.7761279996</v>
      </c>
      <c r="T139" s="26">
        <f t="shared" si="78"/>
        <v>23014404.465870999</v>
      </c>
      <c r="U139" s="26"/>
      <c r="V139" s="26">
        <f>'Phụ lục số 3-thu bs'!F8</f>
        <v>6520360</v>
      </c>
      <c r="W139" s="26">
        <f t="shared" si="79"/>
        <v>29534764.465870999</v>
      </c>
      <c r="X139" s="26"/>
      <c r="Y139" s="822">
        <f t="shared" si="80"/>
        <v>0.79841693126339086</v>
      </c>
      <c r="Z139" s="822">
        <f>W139/M139-1</f>
        <v>0.43026046621275427</v>
      </c>
      <c r="AA139" s="26">
        <f>'Phụ lục số 3-thu bs'!I8</f>
        <v>6480440</v>
      </c>
      <c r="AB139" s="26">
        <f>'Phụ lục số 3-thu bs'!L8</f>
        <v>7051000</v>
      </c>
      <c r="AC139" s="26">
        <f>'Phụ lục số 3-thu bs'!O8</f>
        <v>7570000</v>
      </c>
      <c r="AD139" s="26">
        <f>'Phụ lục số 3-thu bs'!R8</f>
        <v>8087000</v>
      </c>
      <c r="AE139" s="26">
        <f>'Phụ lục số 3-thu bs'!U8</f>
        <v>8665500</v>
      </c>
      <c r="AF139" s="26">
        <f t="shared" si="76"/>
        <v>37853940</v>
      </c>
      <c r="AG139" s="822"/>
      <c r="AH139" s="822">
        <f t="shared" ref="AH139:AH147" si="83">AF139/$AF$137</f>
        <v>0.47507541272508591</v>
      </c>
      <c r="AI139" s="985">
        <f>AF139/W139-1</f>
        <v>0.28167400975017953</v>
      </c>
    </row>
    <row r="140" spans="1:36" s="771" customFormat="1" x14ac:dyDescent="0.25">
      <c r="A140" s="257"/>
      <c r="B140" s="1096" t="s">
        <v>1173</v>
      </c>
      <c r="C140" s="208"/>
      <c r="D140" s="208"/>
      <c r="E140" s="208"/>
      <c r="F140" s="208"/>
      <c r="G140" s="992"/>
      <c r="H140" s="992">
        <f>H139/G139</f>
        <v>1.0327610825210207</v>
      </c>
      <c r="I140" s="992">
        <f>I139/H139</f>
        <v>1.0833921646251685</v>
      </c>
      <c r="J140" s="992">
        <f>J139/I139</f>
        <v>0.99732705655128551</v>
      </c>
      <c r="K140" s="992">
        <f>K139/J139</f>
        <v>0.9515744374935281</v>
      </c>
      <c r="L140" s="992">
        <f>L139/K139</f>
        <v>1.2504788323922789</v>
      </c>
      <c r="M140" s="992"/>
      <c r="N140" s="998">
        <f>(H140*I140*J140*K140*L140)^(1/5)-1</f>
        <v>5.8347902472006385E-2</v>
      </c>
      <c r="O140" s="992"/>
      <c r="P140" s="992">
        <f>P139/L139</f>
        <v>1.2698874791446113</v>
      </c>
      <c r="Q140" s="992">
        <f>Q139/P139</f>
        <v>0.87577651600073103</v>
      </c>
      <c r="R140" s="992">
        <f>R139/Q139</f>
        <v>1.0638632199351588</v>
      </c>
      <c r="S140" s="992">
        <f>S139/R139</f>
        <v>1</v>
      </c>
      <c r="T140" s="992"/>
      <c r="U140" s="992">
        <f>(P140*Q140*R140*S140)^(1/4)-1</f>
        <v>4.2944222899871098E-2</v>
      </c>
      <c r="V140" s="992">
        <f>V139/S139</f>
        <v>1.1370254954372698</v>
      </c>
      <c r="W140" s="992">
        <f t="shared" si="79"/>
        <v>1.1370254954372698</v>
      </c>
      <c r="X140" s="992">
        <f>(P140*Q140*R140*V140*S140)^(1/5)-1</f>
        <v>6.1116106888704502E-2</v>
      </c>
      <c r="Y140" s="992"/>
      <c r="Z140" s="992"/>
      <c r="AA140" s="992">
        <f>AA139/V139</f>
        <v>0.99387763865798817</v>
      </c>
      <c r="AB140" s="992">
        <f>AB139/AA139</f>
        <v>1.088043404460191</v>
      </c>
      <c r="AC140" s="992">
        <f>AC139/AB139</f>
        <v>1.0736065806268615</v>
      </c>
      <c r="AD140" s="992">
        <f>AD139/AC139</f>
        <v>1.0682959048877148</v>
      </c>
      <c r="AE140" s="992">
        <f>AE139/AD139</f>
        <v>1.0715345616421417</v>
      </c>
      <c r="AF140" s="992">
        <f t="shared" si="76"/>
        <v>5.2953580902748971</v>
      </c>
      <c r="AG140" s="998">
        <f>(AB140*AC140*AD140*AE140*AA140)^(1/5)-1</f>
        <v>5.8533021016405895E-2</v>
      </c>
      <c r="AH140" s="992"/>
      <c r="AI140" s="992"/>
    </row>
    <row r="141" spans="1:36" s="771" customFormat="1" x14ac:dyDescent="0.25">
      <c r="A141" s="257"/>
      <c r="B141" s="1096" t="s">
        <v>1326</v>
      </c>
      <c r="C141" s="208"/>
      <c r="D141" s="208"/>
      <c r="E141" s="208"/>
      <c r="F141" s="208"/>
      <c r="G141" s="992"/>
      <c r="H141" s="992">
        <f>H139/'Chi NSĐP 2010-2025'!D10</f>
        <v>0.75395017943570752</v>
      </c>
      <c r="I141" s="992">
        <f>I139/'Chi NSĐP 2010-2025'!E10</f>
        <v>0.68173446106187663</v>
      </c>
      <c r="J141" s="992">
        <f>J139/'Chi NSĐP 2010-2025'!F10</f>
        <v>0.62175112300288549</v>
      </c>
      <c r="K141" s="992">
        <f>K139/'Chi NSĐP 2010-2025'!G10</f>
        <v>0.50809387640147996</v>
      </c>
      <c r="L141" s="992">
        <f>L139/'Chi NSĐP 2010-2025'!H10</f>
        <v>0.58364310593534119</v>
      </c>
      <c r="M141" s="992">
        <f>(H141*I141*J141*K141*L141)^(1/5)</f>
        <v>0.62421350307285772</v>
      </c>
      <c r="N141" s="998"/>
      <c r="O141" s="992"/>
      <c r="P141" s="992">
        <f>P139/'Chi NSĐP 2010-2025'!L10</f>
        <v>0.70951621945517296</v>
      </c>
      <c r="Q141" s="992">
        <f>Q139/'Chi NSĐP 2010-2025'!M10</f>
        <v>0.53457177707542691</v>
      </c>
      <c r="R141" s="992">
        <f>R139/'Chi NSĐP 2010-2025'!N10</f>
        <v>0.54993672798003645</v>
      </c>
      <c r="S141" s="992">
        <f>S139/'Chi NSĐP 2010-2025'!O10</f>
        <v>0.55798340289209492</v>
      </c>
      <c r="T141" s="992">
        <f>(P141*Q141*R141*S141)^(1/4)</f>
        <v>0.58408437726525653</v>
      </c>
      <c r="U141" s="992"/>
      <c r="V141" s="992">
        <f>V139/'Chi NSĐP 2010-2025'!O10</f>
        <v>0.634441355119158</v>
      </c>
      <c r="W141" s="992">
        <f>(P141*Q141*R141*S141*V141)^(1/5)</f>
        <v>0.59382539859902217</v>
      </c>
      <c r="X141" s="992"/>
      <c r="Y141" s="992"/>
      <c r="Z141" s="992">
        <f>W141/M141-1</f>
        <v>-4.8682228635301805E-2</v>
      </c>
      <c r="AA141" s="992">
        <f>AA139/'Chi NSĐP 2010-2025'!U10</f>
        <v>0.5105878728643729</v>
      </c>
      <c r="AB141" s="992">
        <f>AB139/'Chi NSĐP 2010-2025'!U10</f>
        <v>0.55554176746743944</v>
      </c>
      <c r="AC141" s="992">
        <f>AC139/'Chi NSĐP 2010-2025'!V10</f>
        <v>0.56109011285100929</v>
      </c>
      <c r="AD141" s="992">
        <f>AD139/'Chi NSĐP 2010-2025'!W10</f>
        <v>0.56817666858775528</v>
      </c>
      <c r="AE141" s="992">
        <f>AE139/'Chi NSĐP 2010-2025'!X10</f>
        <v>0.58312543794971328</v>
      </c>
      <c r="AF141" s="992">
        <f t="shared" si="76"/>
        <v>2.7785218597202901</v>
      </c>
      <c r="AG141" s="998"/>
      <c r="AH141" s="992"/>
      <c r="AI141" s="992"/>
    </row>
    <row r="142" spans="1:36" s="1" customFormat="1" x14ac:dyDescent="0.25">
      <c r="A142" s="1097" t="s">
        <v>435</v>
      </c>
      <c r="B142" s="1098" t="s">
        <v>423</v>
      </c>
      <c r="C142" s="26">
        <f>SUM(C144:C145)</f>
        <v>822830</v>
      </c>
      <c r="D142" s="26">
        <f>SUM(D144:D145)</f>
        <v>1108040</v>
      </c>
      <c r="E142" s="26">
        <f>SUM(E144:E145)</f>
        <v>911070</v>
      </c>
      <c r="F142" s="26">
        <f>SUM(F144:F145)</f>
        <v>1140640</v>
      </c>
      <c r="G142" s="26">
        <f>SUM(G143,G146)</f>
        <v>1038183</v>
      </c>
      <c r="H142" s="26">
        <f t="shared" ref="H142:M142" si="84">SUM(H143,H146)</f>
        <v>1663193</v>
      </c>
      <c r="I142" s="26">
        <f t="shared" si="84"/>
        <v>1860264</v>
      </c>
      <c r="J142" s="26">
        <f t="shared" si="84"/>
        <v>1948207</v>
      </c>
      <c r="K142" s="26">
        <f t="shared" si="84"/>
        <v>1705664</v>
      </c>
      <c r="L142" s="26">
        <f t="shared" si="84"/>
        <v>1707984</v>
      </c>
      <c r="M142" s="26">
        <f t="shared" si="84"/>
        <v>8885312</v>
      </c>
      <c r="N142" s="822"/>
      <c r="O142" s="822">
        <f t="shared" si="82"/>
        <v>0.24331379385970711</v>
      </c>
      <c r="P142" s="26">
        <f>SUM(P144:P145)</f>
        <v>1174152</v>
      </c>
      <c r="Q142" s="26">
        <f>SUM(Q144:Q145)</f>
        <v>4693126</v>
      </c>
      <c r="R142" s="26">
        <f>SUM(R144:R145)</f>
        <v>4693126</v>
      </c>
      <c r="S142" s="26">
        <f>SUM(S144:S145)</f>
        <v>4693126</v>
      </c>
      <c r="T142" s="26">
        <f t="shared" si="78"/>
        <v>15253530</v>
      </c>
      <c r="U142" s="26"/>
      <c r="V142" s="26">
        <f>SUM(V144:V145)</f>
        <v>5044283</v>
      </c>
      <c r="W142" s="26">
        <f t="shared" si="79"/>
        <v>20297813</v>
      </c>
      <c r="X142" s="26"/>
      <c r="Y142" s="822">
        <f t="shared" si="80"/>
        <v>0.54871328280085652</v>
      </c>
      <c r="Z142" s="822"/>
      <c r="AA142" s="26">
        <f>SUM(AA144:AA145)</f>
        <v>6265342</v>
      </c>
      <c r="AB142" s="26">
        <f>SUM(AB144:AB145)</f>
        <v>5192608</v>
      </c>
      <c r="AC142" s="26">
        <f>SUM(AC144:AC145)</f>
        <v>5192608</v>
      </c>
      <c r="AD142" s="26">
        <f>SUM(AD144:AD145)</f>
        <v>5192608</v>
      </c>
      <c r="AE142" s="26">
        <f>SUM(AE144:AE145)</f>
        <v>5192608</v>
      </c>
      <c r="AF142" s="26">
        <f t="shared" si="76"/>
        <v>27035774</v>
      </c>
      <c r="AG142" s="822"/>
      <c r="AH142" s="822">
        <f t="shared" si="83"/>
        <v>0.33930501003045249</v>
      </c>
      <c r="AI142" s="822"/>
    </row>
    <row r="143" spans="1:36" s="1" customFormat="1" x14ac:dyDescent="0.25">
      <c r="A143" s="1097" t="s">
        <v>564</v>
      </c>
      <c r="B143" s="1098" t="s">
        <v>532</v>
      </c>
      <c r="C143" s="26"/>
      <c r="D143" s="26"/>
      <c r="E143" s="26"/>
      <c r="F143" s="26"/>
      <c r="G143" s="26">
        <f>SUM(G144:G145)</f>
        <v>658310</v>
      </c>
      <c r="H143" s="26">
        <f t="shared" ref="H143:M143" si="85">SUM(H144:H145)</f>
        <v>1145709</v>
      </c>
      <c r="I143" s="26">
        <f t="shared" si="85"/>
        <v>1174152</v>
      </c>
      <c r="J143" s="26">
        <f t="shared" si="85"/>
        <v>1174152</v>
      </c>
      <c r="K143" s="26">
        <f t="shared" si="85"/>
        <v>1174152</v>
      </c>
      <c r="L143" s="26">
        <f t="shared" si="85"/>
        <v>1174152</v>
      </c>
      <c r="M143" s="26">
        <f t="shared" si="85"/>
        <v>5842317</v>
      </c>
      <c r="N143" s="822"/>
      <c r="O143" s="822"/>
      <c r="P143" s="26">
        <f>SUM(P144:P145)</f>
        <v>1174152</v>
      </c>
      <c r="Q143" s="26">
        <f>SUM(Q144:Q145)</f>
        <v>4693126</v>
      </c>
      <c r="R143" s="26">
        <f>SUM(R144:R145)</f>
        <v>4693126</v>
      </c>
      <c r="S143" s="26">
        <f>SUM(S144:S145)</f>
        <v>4693126</v>
      </c>
      <c r="T143" s="26">
        <f t="shared" si="78"/>
        <v>15253530</v>
      </c>
      <c r="U143" s="26"/>
      <c r="V143" s="26">
        <f>SUM(V144:V145)</f>
        <v>5044283</v>
      </c>
      <c r="W143" s="26">
        <f t="shared" si="79"/>
        <v>20297813</v>
      </c>
      <c r="X143" s="26"/>
      <c r="Y143" s="822"/>
      <c r="Z143" s="822"/>
      <c r="AA143" s="26">
        <f>SUM(AA144:AA145)</f>
        <v>6265342</v>
      </c>
      <c r="AB143" s="26">
        <f>SUM(AB144:AB145)</f>
        <v>5192608</v>
      </c>
      <c r="AC143" s="26">
        <f>SUM(AC144:AC145)</f>
        <v>5192608</v>
      </c>
      <c r="AD143" s="26">
        <f>SUM(AD144:AD145)</f>
        <v>5192608</v>
      </c>
      <c r="AE143" s="26">
        <f>SUM(AE144:AE145)</f>
        <v>5192608</v>
      </c>
      <c r="AF143" s="26">
        <f t="shared" si="76"/>
        <v>27035774</v>
      </c>
      <c r="AG143" s="822"/>
      <c r="AH143" s="822"/>
      <c r="AI143" s="822"/>
    </row>
    <row r="144" spans="1:36" s="65" customFormat="1" x14ac:dyDescent="0.25">
      <c r="A144" s="1091" t="s">
        <v>852</v>
      </c>
      <c r="B144" s="1092" t="s">
        <v>532</v>
      </c>
      <c r="C144" s="64">
        <v>658310</v>
      </c>
      <c r="D144" s="64">
        <v>658310</v>
      </c>
      <c r="E144" s="64">
        <v>658310</v>
      </c>
      <c r="F144" s="64">
        <v>658310</v>
      </c>
      <c r="G144" s="64">
        <v>658310</v>
      </c>
      <c r="H144" s="64">
        <v>1145709</v>
      </c>
      <c r="I144" s="64">
        <f>1174152</f>
        <v>1174152</v>
      </c>
      <c r="J144" s="64">
        <f>I144</f>
        <v>1174152</v>
      </c>
      <c r="K144" s="64">
        <f>J144</f>
        <v>1174152</v>
      </c>
      <c r="L144" s="64">
        <f>K144</f>
        <v>1174152</v>
      </c>
      <c r="M144" s="64">
        <f>SUM(H144:L144)</f>
        <v>5842317</v>
      </c>
      <c r="N144" s="994"/>
      <c r="O144" s="994">
        <f t="shared" si="82"/>
        <v>0.15998496329685019</v>
      </c>
      <c r="P144" s="64">
        <f>1174152</f>
        <v>1174152</v>
      </c>
      <c r="Q144" s="64">
        <v>4693126</v>
      </c>
      <c r="R144" s="64">
        <v>4693126</v>
      </c>
      <c r="S144" s="64">
        <v>4693126</v>
      </c>
      <c r="T144" s="64">
        <f t="shared" si="78"/>
        <v>15253530</v>
      </c>
      <c r="U144" s="64"/>
      <c r="V144" s="64">
        <f>'Phụ lục số 3-thu bs'!G13</f>
        <v>4883126</v>
      </c>
      <c r="W144" s="64">
        <f t="shared" si="79"/>
        <v>20136656</v>
      </c>
      <c r="X144" s="64"/>
      <c r="Y144" s="994">
        <f t="shared" si="80"/>
        <v>0.54435670573926187</v>
      </c>
      <c r="Z144" s="994"/>
      <c r="AA144" s="64">
        <f>'Phụ lục số 3-thu bs'!J13</f>
        <v>4883126</v>
      </c>
      <c r="AB144" s="64">
        <f>'Phụ lục số 3-thu bs'!M13</f>
        <v>4883126</v>
      </c>
      <c r="AC144" s="64">
        <f>'Phụ lục số 3-thu bs'!P13</f>
        <v>4883126</v>
      </c>
      <c r="AD144" s="64">
        <f>'Phụ lục số 3-thu bs'!S13</f>
        <v>4883126</v>
      </c>
      <c r="AE144" s="64">
        <f>'Phụ lục số 3-thu bs'!V13</f>
        <v>4883126</v>
      </c>
      <c r="AF144" s="64">
        <f t="shared" si="76"/>
        <v>24415630</v>
      </c>
      <c r="AG144" s="994"/>
      <c r="AH144" s="994">
        <f t="shared" si="83"/>
        <v>0.30642161685660696</v>
      </c>
      <c r="AI144" s="994"/>
    </row>
    <row r="145" spans="1:35" s="65" customFormat="1" x14ac:dyDescent="0.25">
      <c r="A145" s="1091" t="s">
        <v>852</v>
      </c>
      <c r="B145" s="64" t="s">
        <v>1186</v>
      </c>
      <c r="C145" s="64">
        <f>822830-658310</f>
        <v>164520</v>
      </c>
      <c r="D145" s="64">
        <f>1108040-658310</f>
        <v>449730</v>
      </c>
      <c r="E145" s="64">
        <f>911070-658310</f>
        <v>252760</v>
      </c>
      <c r="F145" s="64">
        <f>1140640-658310</f>
        <v>482330</v>
      </c>
      <c r="G145" s="64"/>
      <c r="H145" s="64">
        <v>0</v>
      </c>
      <c r="I145" s="64"/>
      <c r="J145" s="64"/>
      <c r="K145" s="64"/>
      <c r="L145" s="64"/>
      <c r="M145" s="64">
        <f>SUM(H145:L145)</f>
        <v>0</v>
      </c>
      <c r="N145" s="994"/>
      <c r="O145" s="994">
        <f t="shared" si="82"/>
        <v>0</v>
      </c>
      <c r="P145" s="64"/>
      <c r="Q145" s="64">
        <v>0</v>
      </c>
      <c r="R145" s="64"/>
      <c r="S145" s="64"/>
      <c r="T145" s="64">
        <f t="shared" si="78"/>
        <v>0</v>
      </c>
      <c r="U145" s="64"/>
      <c r="V145" s="64">
        <f>'Phụ lục số 3-thu bs'!G15</f>
        <v>161157</v>
      </c>
      <c r="W145" s="64"/>
      <c r="X145" s="64"/>
      <c r="Y145" s="994">
        <f t="shared" si="80"/>
        <v>0</v>
      </c>
      <c r="Z145" s="994"/>
      <c r="AA145" s="64">
        <f>'Phụ lục số 3-thu bs'!O15</f>
        <v>1382216</v>
      </c>
      <c r="AB145" s="64">
        <f>'Phụ lục số 3-thu bs'!M15</f>
        <v>309482</v>
      </c>
      <c r="AC145" s="64">
        <f>'Phụ lục số 3-thu bs'!P15</f>
        <v>309482</v>
      </c>
      <c r="AD145" s="64">
        <f>'Phụ lục số 3-thu bs'!S15</f>
        <v>309482</v>
      </c>
      <c r="AE145" s="64">
        <f>'Phụ lục số 3-thu bs'!V15</f>
        <v>309482</v>
      </c>
      <c r="AF145" s="64">
        <f t="shared" si="76"/>
        <v>2620144</v>
      </c>
      <c r="AG145" s="994"/>
      <c r="AH145" s="994">
        <f t="shared" si="83"/>
        <v>3.2883393173845511E-2</v>
      </c>
      <c r="AI145" s="994"/>
    </row>
    <row r="146" spans="1:35" s="1" customFormat="1" x14ac:dyDescent="0.25">
      <c r="A146" s="1097" t="s">
        <v>564</v>
      </c>
      <c r="B146" s="26" t="s">
        <v>533</v>
      </c>
      <c r="C146" s="26"/>
      <c r="D146" s="26"/>
      <c r="E146" s="26"/>
      <c r="F146" s="26"/>
      <c r="G146" s="26">
        <f>'Chi từ NSTW bổ sung 2010-2025'!C8</f>
        <v>379873</v>
      </c>
      <c r="H146" s="26">
        <f>'Chi từ NSTW bổ sung 2010-2025'!D8</f>
        <v>517484</v>
      </c>
      <c r="I146" s="26">
        <f>'Chi từ NSTW bổ sung 2010-2025'!E8</f>
        <v>686112</v>
      </c>
      <c r="J146" s="26">
        <f>'Chi từ NSTW bổ sung 2010-2025'!F8</f>
        <v>774055</v>
      </c>
      <c r="K146" s="26">
        <f>'Chi từ NSTW bổ sung 2010-2025'!G8</f>
        <v>531512</v>
      </c>
      <c r="L146" s="26">
        <f>'Chi từ NSTW bổ sung 2010-2025'!H8</f>
        <v>533832</v>
      </c>
      <c r="M146" s="26">
        <f>'Chi từ NSTW bổ sung 2010-2025'!I8</f>
        <v>3042995</v>
      </c>
      <c r="N146" s="822"/>
      <c r="O146" s="822"/>
      <c r="P146" s="26">
        <f>'Chi từ NSTW bổ sung 2010-2025'!L8</f>
        <v>760850</v>
      </c>
      <c r="Q146" s="26">
        <f>'Chi từ NSTW bổ sung 2010-2025'!M8</f>
        <v>741859</v>
      </c>
      <c r="R146" s="26">
        <f>'Chi từ NSTW bổ sung 2010-2025'!N8</f>
        <v>1818286</v>
      </c>
      <c r="S146" s="26">
        <f>'Chi từ NSTW bổ sung 2010-2025'!O8</f>
        <v>888037</v>
      </c>
      <c r="T146" s="26">
        <f t="shared" si="78"/>
        <v>4209032</v>
      </c>
      <c r="U146" s="26"/>
      <c r="V146" s="26">
        <f>'Chi từ NSTW bổ sung 2010-2025'!O8</f>
        <v>888037</v>
      </c>
      <c r="W146" s="26">
        <f>SUM(T146,V146)</f>
        <v>5097069</v>
      </c>
      <c r="X146" s="26"/>
      <c r="Y146" s="822"/>
      <c r="Z146" s="822"/>
      <c r="AA146" s="26">
        <f>'Chi từ NSTW bổ sung 2010-2025'!U8</f>
        <v>1370794</v>
      </c>
      <c r="AB146" s="26">
        <f>'Chi từ NSTW bổ sung 2010-2025'!U8</f>
        <v>1370794</v>
      </c>
      <c r="AC146" s="26">
        <f>'Chi từ NSTW bổ sung 2010-2025'!V8</f>
        <v>1598970</v>
      </c>
      <c r="AD146" s="26">
        <f>'Chi từ NSTW bổ sung 2010-2025'!W8</f>
        <v>1867970</v>
      </c>
      <c r="AE146" s="26">
        <f>'Chi từ NSTW bổ sung 2010-2025'!X8</f>
        <v>2184970</v>
      </c>
      <c r="AF146" s="26">
        <f t="shared" si="76"/>
        <v>8393498</v>
      </c>
      <c r="AG146" s="822"/>
      <c r="AH146" s="822"/>
      <c r="AI146" s="822"/>
    </row>
    <row r="147" spans="1:35" s="1" customFormat="1" x14ac:dyDescent="0.25">
      <c r="A147" s="1097" t="s">
        <v>426</v>
      </c>
      <c r="B147" s="1098" t="s">
        <v>777</v>
      </c>
      <c r="C147" s="26"/>
      <c r="D147" s="26"/>
      <c r="E147" s="26">
        <v>124990</v>
      </c>
      <c r="F147" s="26">
        <v>113320</v>
      </c>
      <c r="G147" s="26"/>
      <c r="H147" s="26">
        <f>5517507-5432961</f>
        <v>84546</v>
      </c>
      <c r="I147" s="26">
        <f>6676916-5944401</f>
        <v>732515</v>
      </c>
      <c r="J147" s="26">
        <f>7325262-6021428</f>
        <v>1303834</v>
      </c>
      <c r="K147" s="26">
        <f>8159970-5581637</f>
        <v>2578333</v>
      </c>
      <c r="L147" s="26">
        <f>8838259-6554806</f>
        <v>2283453</v>
      </c>
      <c r="M147" s="26">
        <f>SUM(H147:L147)</f>
        <v>6982681</v>
      </c>
      <c r="N147" s="822"/>
      <c r="O147" s="822">
        <f t="shared" si="82"/>
        <v>0.19121248701476026</v>
      </c>
      <c r="P147" s="26">
        <f>9435660-8089920</f>
        <v>1345740</v>
      </c>
      <c r="Q147" s="26"/>
      <c r="R147" s="26"/>
      <c r="S147" s="26"/>
      <c r="T147" s="26">
        <f t="shared" si="78"/>
        <v>1345740</v>
      </c>
      <c r="U147" s="26"/>
      <c r="V147" s="26">
        <f>13322070-12968123</f>
        <v>353947</v>
      </c>
      <c r="W147" s="26">
        <f t="shared" si="79"/>
        <v>1699687</v>
      </c>
      <c r="X147" s="26"/>
      <c r="Y147" s="822">
        <f t="shared" si="80"/>
        <v>4.5947848347205653E-2</v>
      </c>
      <c r="Z147" s="822"/>
      <c r="AA147" s="26">
        <f>13655790-13237496</f>
        <v>418294</v>
      </c>
      <c r="AB147" s="26">
        <f>'Phụ lục số 3-thu bs'!L16</f>
        <v>1247986</v>
      </c>
      <c r="AC147" s="26">
        <f>'Phụ lục số 3-thu bs'!O16</f>
        <v>1470641</v>
      </c>
      <c r="AD147" s="26">
        <f>'Phụ lục số 3-thu bs'!R16</f>
        <v>1580831</v>
      </c>
      <c r="AE147" s="26">
        <f>'Phụ lục số 3-thu bs'!U16</f>
        <v>1678891</v>
      </c>
      <c r="AF147" s="26">
        <f t="shared" si="76"/>
        <v>6396643</v>
      </c>
      <c r="AG147" s="822"/>
      <c r="AH147" s="822">
        <f t="shared" si="83"/>
        <v>8.0279300207059867E-2</v>
      </c>
      <c r="AI147" s="822"/>
    </row>
    <row r="148" spans="1:35" s="1" customFormat="1" ht="31.5" x14ac:dyDescent="0.25">
      <c r="A148" s="1097" t="s">
        <v>464</v>
      </c>
      <c r="B148" s="823" t="s">
        <v>919</v>
      </c>
      <c r="C148" s="26"/>
      <c r="D148" s="26"/>
      <c r="E148" s="26"/>
      <c r="F148" s="26"/>
      <c r="G148" s="26"/>
      <c r="H148" s="26"/>
      <c r="I148" s="26"/>
      <c r="J148" s="26"/>
      <c r="K148" s="26"/>
      <c r="L148" s="26"/>
      <c r="M148" s="26"/>
      <c r="N148" s="822"/>
      <c r="O148" s="822"/>
      <c r="P148" s="26"/>
      <c r="Q148" s="26"/>
      <c r="R148" s="26"/>
      <c r="S148" s="26"/>
      <c r="T148" s="26">
        <f t="shared" si="78"/>
        <v>0</v>
      </c>
      <c r="U148" s="26"/>
      <c r="V148" s="26">
        <f>'Phụ lục số 1'!H63</f>
        <v>30900</v>
      </c>
      <c r="W148" s="26">
        <f t="shared" si="79"/>
        <v>30900</v>
      </c>
      <c r="X148" s="26"/>
      <c r="Y148" s="822"/>
      <c r="Z148" s="822"/>
      <c r="AA148" s="26">
        <f>'Phụ lục số 1'!S63</f>
        <v>0</v>
      </c>
      <c r="AB148" s="26">
        <f>'Phụ lục số 1'!T63</f>
        <v>96096</v>
      </c>
      <c r="AC148" s="26">
        <f>'Phụ lục số 1'!Z63</f>
        <v>0</v>
      </c>
      <c r="AD148" s="26">
        <f>'Phụ lục số 1'!AF63</f>
        <v>0</v>
      </c>
      <c r="AE148" s="26">
        <f>'Phụ lục số 1'!AL63</f>
        <v>0</v>
      </c>
      <c r="AF148" s="26">
        <f t="shared" si="76"/>
        <v>96096</v>
      </c>
      <c r="AG148" s="822"/>
      <c r="AH148" s="822"/>
      <c r="AI148" s="822"/>
    </row>
    <row r="149" spans="1:35" s="1" customFormat="1" x14ac:dyDescent="0.25">
      <c r="A149" s="1097">
        <v>17</v>
      </c>
      <c r="B149" s="1098" t="s">
        <v>1083</v>
      </c>
      <c r="C149" s="26"/>
      <c r="D149" s="26"/>
      <c r="E149" s="26"/>
      <c r="F149" s="26"/>
      <c r="G149" s="26">
        <f>ROUND(('Chi NSĐP 2010-2025'!C11+'Chi NSĐP 2010-2025'!C129)*30%,-3)</f>
        <v>378000</v>
      </c>
      <c r="H149" s="26">
        <f>ROUND(('Chi NSĐP 2010-2025'!D11+'Chi NSĐP 2010-2025'!D129)*30%,-3)</f>
        <v>544000</v>
      </c>
      <c r="I149" s="26">
        <f>ROUND(('Chi NSĐP 2010-2025'!E11+'Chi NSĐP 2010-2025'!E129)*30%,-3)</f>
        <v>591000</v>
      </c>
      <c r="J149" s="26">
        <f>ROUND(('Chi NSĐP 2010-2025'!F11+'Chi NSĐP 2010-2025'!F129)*30%,-3)</f>
        <v>599000</v>
      </c>
      <c r="K149" s="26">
        <f>ROUND(('Chi NSĐP 2010-2025'!G11+'Chi NSĐP 2010-2025'!G129)*30%,-3)</f>
        <v>745000</v>
      </c>
      <c r="L149" s="26">
        <f>ROUND(('Chi NSĐP 2010-2025'!H11+'Chi NSĐP 2010-2025'!H129)*30%,-3)</f>
        <v>721000</v>
      </c>
      <c r="M149" s="26"/>
      <c r="N149" s="822"/>
      <c r="O149" s="822"/>
      <c r="P149" s="26">
        <f>ROUND(('Chi NSĐP 2010-2025'!L11+'Chi NSĐP 2010-2025'!L129)*30%,-3)</f>
        <v>837000</v>
      </c>
      <c r="Q149" s="26">
        <f>ROUND(Q139*20%,-3)</f>
        <v>1078000</v>
      </c>
      <c r="R149" s="26">
        <f>ROUND(R139*20%,-3)</f>
        <v>1147000</v>
      </c>
      <c r="S149" s="26">
        <f>ROUND(S139*20%,-3)</f>
        <v>1147000</v>
      </c>
      <c r="T149" s="26">
        <f t="shared" si="78"/>
        <v>4209000</v>
      </c>
      <c r="U149" s="26"/>
      <c r="V149" s="26">
        <f>ROUND(V139*20%,-3)</f>
        <v>1304000</v>
      </c>
      <c r="W149" s="26">
        <f t="shared" si="79"/>
        <v>5513000</v>
      </c>
      <c r="X149" s="26"/>
      <c r="Y149" s="822"/>
      <c r="Z149" s="822"/>
      <c r="AA149" s="26">
        <f>ROUND(AA139*20%,-3)</f>
        <v>1296000</v>
      </c>
      <c r="AB149" s="26">
        <f>ROUND(AB139*20%,-3)</f>
        <v>1410000</v>
      </c>
      <c r="AC149" s="26">
        <f>ROUND(AC139*20%,-3)</f>
        <v>1514000</v>
      </c>
      <c r="AD149" s="26">
        <f>ROUND(AD139*20%,-3)</f>
        <v>1617000</v>
      </c>
      <c r="AE149" s="26">
        <f>ROUND(AE139*20%,-3)</f>
        <v>1733000</v>
      </c>
      <c r="AF149" s="26">
        <f t="shared" si="76"/>
        <v>7570000</v>
      </c>
      <c r="AG149" s="822"/>
      <c r="AH149" s="822"/>
      <c r="AI149" s="822"/>
    </row>
    <row r="150" spans="1:35" s="1" customFormat="1" x14ac:dyDescent="0.25">
      <c r="A150" s="1097">
        <v>18</v>
      </c>
      <c r="B150" s="1098" t="s">
        <v>1084</v>
      </c>
      <c r="C150" s="26"/>
      <c r="D150" s="26"/>
      <c r="E150" s="26"/>
      <c r="F150" s="26"/>
      <c r="G150" s="26">
        <v>720694.66666666709</v>
      </c>
      <c r="H150" s="26">
        <v>672807.91666666709</v>
      </c>
      <c r="I150" s="26">
        <v>850600.91666666686</v>
      </c>
      <c r="J150" s="26">
        <v>880028.91666666698</v>
      </c>
      <c r="K150" s="26">
        <v>942215.91666666709</v>
      </c>
      <c r="L150" s="26">
        <v>1061382.9166666672</v>
      </c>
      <c r="M150" s="26"/>
      <c r="N150" s="822"/>
      <c r="O150" s="822"/>
      <c r="P150" s="26">
        <v>1019612.7466666669</v>
      </c>
      <c r="Q150" s="26">
        <v>1011904.74666667</v>
      </c>
      <c r="R150" s="26">
        <v>782191.23811367003</v>
      </c>
      <c r="S150" s="26">
        <v>782191.23811367003</v>
      </c>
      <c r="T150" s="26">
        <f t="shared" si="78"/>
        <v>3595899.9695606772</v>
      </c>
      <c r="U150" s="26"/>
      <c r="V150" s="26">
        <v>638715.73911366996</v>
      </c>
      <c r="W150" s="26">
        <f t="shared" si="79"/>
        <v>4234615.708674347</v>
      </c>
      <c r="X150" s="26"/>
      <c r="Y150" s="822"/>
      <c r="Z150" s="822"/>
      <c r="AA150" s="26">
        <v>527199.90711366991</v>
      </c>
      <c r="AB150" s="26">
        <v>232384.00133466991</v>
      </c>
      <c r="AC150" s="26">
        <v>189722.6680026699</v>
      </c>
      <c r="AD150" s="26">
        <v>219407.33467066995</v>
      </c>
      <c r="AE150" s="26">
        <v>154887.00133866994</v>
      </c>
      <c r="AF150" s="26">
        <f t="shared" si="76"/>
        <v>1323600.9124603497</v>
      </c>
      <c r="AG150" s="822"/>
      <c r="AH150" s="822"/>
      <c r="AI150" s="822"/>
    </row>
    <row r="151" spans="1:35" ht="31.5" x14ac:dyDescent="0.25">
      <c r="A151" s="257" t="s">
        <v>564</v>
      </c>
      <c r="B151" s="1103" t="s">
        <v>1085</v>
      </c>
      <c r="C151" s="830" t="e">
        <f t="shared" ref="C151:L151" si="86">C150/C149</f>
        <v>#DIV/0!</v>
      </c>
      <c r="D151" s="830" t="e">
        <f t="shared" si="86"/>
        <v>#DIV/0!</v>
      </c>
      <c r="E151" s="830" t="e">
        <f t="shared" si="86"/>
        <v>#DIV/0!</v>
      </c>
      <c r="F151" s="830" t="e">
        <f t="shared" si="86"/>
        <v>#DIV/0!</v>
      </c>
      <c r="G151" s="992">
        <f>G150/G149</f>
        <v>1.9065996472663151</v>
      </c>
      <c r="H151" s="992">
        <f t="shared" si="86"/>
        <v>1.2367792585784321</v>
      </c>
      <c r="I151" s="992">
        <f t="shared" si="86"/>
        <v>1.4392570501974058</v>
      </c>
      <c r="J151" s="992">
        <f t="shared" si="86"/>
        <v>1.4691634668892604</v>
      </c>
      <c r="K151" s="992">
        <f t="shared" si="86"/>
        <v>1.2647193512304256</v>
      </c>
      <c r="L151" s="992">
        <f t="shared" si="86"/>
        <v>1.4720983587609808</v>
      </c>
      <c r="M151" s="992"/>
      <c r="N151" s="992"/>
      <c r="O151" s="992"/>
      <c r="P151" s="992">
        <f>P150/P149</f>
        <v>1.218175324571884</v>
      </c>
      <c r="Q151" s="992">
        <f>Q150/Q149</f>
        <v>0.9386871490414378</v>
      </c>
      <c r="R151" s="992">
        <f>R150/R149</f>
        <v>0.68194528170328683</v>
      </c>
      <c r="S151" s="992">
        <f>S150/S149</f>
        <v>0.68194528170328683</v>
      </c>
      <c r="T151" s="992">
        <f t="shared" si="78"/>
        <v>3.5207530370198952</v>
      </c>
      <c r="U151" s="992"/>
      <c r="V151" s="992">
        <f>V150/V149</f>
        <v>0.48981268336937878</v>
      </c>
      <c r="W151" s="992">
        <f t="shared" si="79"/>
        <v>4.0105657203892742</v>
      </c>
      <c r="X151" s="992"/>
      <c r="Y151" s="992"/>
      <c r="Z151" s="992"/>
      <c r="AA151" s="992">
        <f>AA150/AA149</f>
        <v>0.40679005178523914</v>
      </c>
      <c r="AB151" s="992">
        <f>AB150/AB149</f>
        <v>0.1648113484643049</v>
      </c>
      <c r="AC151" s="992">
        <f>AC150/AC149</f>
        <v>0.12531219815235792</v>
      </c>
      <c r="AD151" s="992">
        <f>AD150/AD149</f>
        <v>0.1356879002292331</v>
      </c>
      <c r="AE151" s="992">
        <f>AE150/AE149</f>
        <v>8.9375072901713759E-2</v>
      </c>
      <c r="AF151" s="992">
        <f t="shared" si="76"/>
        <v>0.92197657153284873</v>
      </c>
      <c r="AG151" s="992"/>
      <c r="AH151" s="992"/>
      <c r="AI151" s="992"/>
    </row>
    <row r="152" spans="1:35" ht="31.5" x14ac:dyDescent="0.25">
      <c r="A152" s="257" t="s">
        <v>564</v>
      </c>
      <c r="B152" s="1103" t="s">
        <v>1086</v>
      </c>
      <c r="C152" s="830">
        <f>C150/C31</f>
        <v>0</v>
      </c>
      <c r="D152" s="830">
        <f>D150/D31</f>
        <v>0</v>
      </c>
      <c r="E152" s="830">
        <f>E150/E31</f>
        <v>0</v>
      </c>
      <c r="F152" s="830">
        <f>F150/F31</f>
        <v>0</v>
      </c>
      <c r="G152" s="992"/>
      <c r="H152" s="992">
        <f>H150/H31</f>
        <v>1.6133321743439732E-2</v>
      </c>
      <c r="I152" s="992">
        <f>I150/I31</f>
        <v>1.9319983570687687E-2</v>
      </c>
      <c r="J152" s="992">
        <f>J150/J31</f>
        <v>1.8214026754422283E-2</v>
      </c>
      <c r="K152" s="992">
        <f>K150/K31</f>
        <v>1.7620734527727916E-2</v>
      </c>
      <c r="L152" s="992">
        <f>L150/L31</f>
        <v>1.855293348933152E-2</v>
      </c>
      <c r="M152" s="992"/>
      <c r="N152" s="992"/>
      <c r="O152" s="992"/>
      <c r="P152" s="992">
        <f>P150/P31</f>
        <v>1.6386934509230656E-2</v>
      </c>
      <c r="Q152" s="992">
        <f>Q150/Q31</f>
        <v>1.4818068197860889E-2</v>
      </c>
      <c r="R152" s="992">
        <f>R150/R31</f>
        <v>1.0308825915609414E-2</v>
      </c>
      <c r="S152" s="992">
        <f>S150/S31</f>
        <v>9.506109866116573E-3</v>
      </c>
      <c r="T152" s="992">
        <f t="shared" si="78"/>
        <v>5.1019938488817536E-2</v>
      </c>
      <c r="U152" s="992"/>
      <c r="V152" s="992">
        <f>V150/V31</f>
        <v>7.3776002207758583E-3</v>
      </c>
      <c r="W152" s="992">
        <f t="shared" si="79"/>
        <v>5.8397538709593397E-2</v>
      </c>
      <c r="X152" s="992"/>
      <c r="Y152" s="992"/>
      <c r="Z152" s="992"/>
      <c r="AA152" s="992">
        <f>AA150/AA31</f>
        <v>5.6911370899702853E-3</v>
      </c>
      <c r="AB152" s="992">
        <f>AB150/AB31</f>
        <v>2.344478043278018E-3</v>
      </c>
      <c r="AC152" s="992">
        <f>AC150/AC31</f>
        <v>1.7888560333658378E-3</v>
      </c>
      <c r="AD152" s="992">
        <f>AD150/AD31</f>
        <v>1.9334080867266885E-3</v>
      </c>
      <c r="AE152" s="992">
        <f>AE150/AE31</f>
        <v>1.2755679045468103E-3</v>
      </c>
      <c r="AF152" s="992">
        <f t="shared" si="76"/>
        <v>1.3033447157887641E-2</v>
      </c>
      <c r="AG152" s="992"/>
      <c r="AH152" s="992"/>
      <c r="AI152" s="992"/>
    </row>
    <row r="153" spans="1:35" s="1" customFormat="1" x14ac:dyDescent="0.25">
      <c r="A153" s="1097">
        <v>19</v>
      </c>
      <c r="B153" s="1098" t="s">
        <v>1087</v>
      </c>
      <c r="C153" s="26">
        <f t="shared" ref="C153:L153" si="87">SUM(C154:C155)</f>
        <v>0</v>
      </c>
      <c r="D153" s="26">
        <f t="shared" si="87"/>
        <v>0</v>
      </c>
      <c r="E153" s="26">
        <f t="shared" si="87"/>
        <v>0</v>
      </c>
      <c r="F153" s="26">
        <f t="shared" si="87"/>
        <v>0</v>
      </c>
      <c r="G153" s="26">
        <f t="shared" si="87"/>
        <v>77886.75</v>
      </c>
      <c r="H153" s="26">
        <f t="shared" si="87"/>
        <v>22675</v>
      </c>
      <c r="I153" s="26">
        <f t="shared" si="87"/>
        <v>45572</v>
      </c>
      <c r="J153" s="26">
        <f t="shared" si="87"/>
        <v>37813</v>
      </c>
      <c r="K153" s="26">
        <f t="shared" si="87"/>
        <v>50833</v>
      </c>
      <c r="L153" s="26">
        <f t="shared" si="87"/>
        <v>81770.5</v>
      </c>
      <c r="M153" s="26"/>
      <c r="N153" s="822"/>
      <c r="O153" s="822"/>
      <c r="P153" s="26">
        <f>SUM(P154:P155)</f>
        <v>92708</v>
      </c>
      <c r="Q153" s="26">
        <f>SUM(Q154:Q155)</f>
        <v>229713.50855299999</v>
      </c>
      <c r="R153" s="26">
        <f>SUM(R154:R155)</f>
        <v>143475.49900000001</v>
      </c>
      <c r="S153" s="26">
        <f>SUM(S154:S155)</f>
        <v>143475.49900000001</v>
      </c>
      <c r="T153" s="26">
        <f t="shared" si="78"/>
        <v>609372.50655300007</v>
      </c>
      <c r="U153" s="26"/>
      <c r="V153" s="26">
        <f>SUM(V154:V155)</f>
        <v>126515.83200000001</v>
      </c>
      <c r="W153" s="26">
        <f t="shared" si="79"/>
        <v>735888.33855300013</v>
      </c>
      <c r="X153" s="26"/>
      <c r="Y153" s="822"/>
      <c r="Z153" s="822"/>
      <c r="AA153" s="26">
        <f>SUM(AA154:AA155)</f>
        <v>325715.90577900002</v>
      </c>
      <c r="AB153" s="26">
        <f>SUM(AB154:AB155)</f>
        <v>72661.333331999995</v>
      </c>
      <c r="AC153" s="26">
        <f>SUM(AC154:AC155)</f>
        <v>66411.333331999995</v>
      </c>
      <c r="AD153" s="26">
        <f>SUM(AD154:AD155)</f>
        <v>64520.333332000009</v>
      </c>
      <c r="AE153" s="26">
        <f>SUM(AE154:AE155)</f>
        <v>17109</v>
      </c>
      <c r="AF153" s="26">
        <f t="shared" si="76"/>
        <v>546417.90577500011</v>
      </c>
      <c r="AG153" s="822"/>
      <c r="AH153" s="822"/>
      <c r="AI153" s="822"/>
    </row>
    <row r="154" spans="1:35" x14ac:dyDescent="0.25">
      <c r="A154" s="257" t="s">
        <v>564</v>
      </c>
      <c r="B154" s="1103" t="s">
        <v>1088</v>
      </c>
      <c r="C154" s="208"/>
      <c r="D154" s="208"/>
      <c r="E154" s="208"/>
      <c r="F154" s="208"/>
      <c r="G154" s="208"/>
      <c r="H154" s="208"/>
      <c r="I154" s="208"/>
      <c r="J154" s="208"/>
      <c r="K154" s="208"/>
      <c r="L154" s="208"/>
      <c r="M154" s="208"/>
      <c r="N154" s="992"/>
      <c r="O154" s="992"/>
      <c r="P154" s="208"/>
      <c r="Q154" s="208"/>
      <c r="R154" s="208"/>
      <c r="S154" s="208"/>
      <c r="T154" s="208">
        <f t="shared" si="78"/>
        <v>0</v>
      </c>
      <c r="U154" s="208"/>
      <c r="V154" s="208"/>
      <c r="W154" s="208">
        <f t="shared" si="79"/>
        <v>0</v>
      </c>
      <c r="X154" s="208"/>
      <c r="Y154" s="992"/>
      <c r="Z154" s="992"/>
      <c r="AA154" s="208"/>
      <c r="AB154" s="208"/>
      <c r="AC154" s="208"/>
      <c r="AD154" s="208"/>
      <c r="AE154" s="208"/>
      <c r="AF154" s="208">
        <f t="shared" si="76"/>
        <v>0</v>
      </c>
      <c r="AG154" s="992"/>
      <c r="AH154" s="992"/>
      <c r="AI154" s="992"/>
    </row>
    <row r="155" spans="1:35" ht="31.5" x14ac:dyDescent="0.25">
      <c r="A155" s="257" t="s">
        <v>564</v>
      </c>
      <c r="B155" s="1103" t="s">
        <v>1089</v>
      </c>
      <c r="C155" s="208"/>
      <c r="D155" s="208"/>
      <c r="E155" s="208"/>
      <c r="F155" s="208"/>
      <c r="G155" s="208">
        <v>77886.75</v>
      </c>
      <c r="H155" s="208">
        <v>22675</v>
      </c>
      <c r="I155" s="208">
        <v>45572</v>
      </c>
      <c r="J155" s="208">
        <v>37813</v>
      </c>
      <c r="K155" s="208">
        <v>50833</v>
      </c>
      <c r="L155" s="208">
        <v>81770.5</v>
      </c>
      <c r="M155" s="208"/>
      <c r="N155" s="992"/>
      <c r="O155" s="992"/>
      <c r="P155" s="208">
        <v>92708</v>
      </c>
      <c r="Q155" s="208">
        <v>229713.50855299999</v>
      </c>
      <c r="R155" s="208">
        <v>143475.49900000001</v>
      </c>
      <c r="S155" s="208">
        <v>143475.49900000001</v>
      </c>
      <c r="T155" s="208">
        <f t="shared" si="78"/>
        <v>609372.50655300007</v>
      </c>
      <c r="U155" s="208"/>
      <c r="V155" s="208">
        <v>126515.83200000001</v>
      </c>
      <c r="W155" s="208">
        <f t="shared" si="79"/>
        <v>735888.33855300013</v>
      </c>
      <c r="X155" s="208"/>
      <c r="Y155" s="992"/>
      <c r="Z155" s="992"/>
      <c r="AA155" s="208">
        <v>325715.90577900002</v>
      </c>
      <c r="AB155" s="208">
        <v>72661.333331999995</v>
      </c>
      <c r="AC155" s="208">
        <v>66411.333331999995</v>
      </c>
      <c r="AD155" s="208">
        <v>64520.333332000009</v>
      </c>
      <c r="AE155" s="208">
        <v>17109</v>
      </c>
      <c r="AF155" s="208">
        <f t="shared" si="76"/>
        <v>546417.90577500011</v>
      </c>
      <c r="AG155" s="992"/>
      <c r="AH155" s="992"/>
      <c r="AI155" s="992"/>
    </row>
    <row r="156" spans="1:35" s="1" customFormat="1" x14ac:dyDescent="0.25">
      <c r="A156" s="1097">
        <v>20</v>
      </c>
      <c r="B156" s="1104" t="s">
        <v>1090</v>
      </c>
      <c r="C156" s="26"/>
      <c r="D156" s="26"/>
      <c r="E156" s="26"/>
      <c r="F156" s="26"/>
      <c r="G156" s="26">
        <v>30000</v>
      </c>
      <c r="H156" s="26">
        <v>200468</v>
      </c>
      <c r="I156" s="26">
        <v>75000</v>
      </c>
      <c r="J156" s="26">
        <v>100000</v>
      </c>
      <c r="K156" s="26">
        <v>170000</v>
      </c>
      <c r="L156" s="26">
        <v>40000</v>
      </c>
      <c r="M156" s="26"/>
      <c r="N156" s="822"/>
      <c r="O156" s="822"/>
      <c r="P156" s="26">
        <v>85000</v>
      </c>
      <c r="Q156" s="26">
        <v>0</v>
      </c>
      <c r="R156" s="26">
        <v>0</v>
      </c>
      <c r="S156" s="26">
        <v>0</v>
      </c>
      <c r="T156" s="26">
        <f t="shared" si="78"/>
        <v>85000</v>
      </c>
      <c r="U156" s="26"/>
      <c r="V156" s="26">
        <f>V148</f>
        <v>30900</v>
      </c>
      <c r="W156" s="26">
        <f t="shared" si="79"/>
        <v>115900</v>
      </c>
      <c r="X156" s="26"/>
      <c r="Y156" s="822"/>
      <c r="Z156" s="822"/>
      <c r="AA156" s="26">
        <f>AA148</f>
        <v>0</v>
      </c>
      <c r="AB156" s="26">
        <f>AB148</f>
        <v>96096</v>
      </c>
      <c r="AC156" s="26">
        <f>AC148</f>
        <v>0</v>
      </c>
      <c r="AD156" s="26">
        <f>AD148</f>
        <v>0</v>
      </c>
      <c r="AE156" s="26">
        <f>AE148</f>
        <v>0</v>
      </c>
      <c r="AF156" s="26">
        <f t="shared" si="76"/>
        <v>96096</v>
      </c>
      <c r="AG156" s="822"/>
      <c r="AH156" s="822"/>
      <c r="AI156" s="822"/>
    </row>
    <row r="157" spans="1:35" hidden="1" x14ac:dyDescent="0.25">
      <c r="A157" s="257" t="s">
        <v>564</v>
      </c>
      <c r="B157" s="1103" t="s">
        <v>1091</v>
      </c>
      <c r="C157" s="208"/>
      <c r="D157" s="208"/>
      <c r="E157" s="208"/>
      <c r="F157" s="208"/>
      <c r="G157" s="208"/>
      <c r="H157" s="208"/>
      <c r="I157" s="208"/>
      <c r="J157" s="208"/>
      <c r="K157" s="208"/>
      <c r="L157" s="208"/>
      <c r="M157" s="208"/>
      <c r="N157" s="992"/>
      <c r="O157" s="992"/>
      <c r="P157" s="208"/>
      <c r="Q157" s="208"/>
      <c r="R157" s="208"/>
      <c r="S157" s="208"/>
      <c r="T157" s="208">
        <f t="shared" si="78"/>
        <v>0</v>
      </c>
      <c r="U157" s="208"/>
      <c r="V157" s="208"/>
      <c r="W157" s="208">
        <f t="shared" si="79"/>
        <v>0</v>
      </c>
      <c r="X157" s="208"/>
      <c r="Y157" s="992"/>
      <c r="Z157" s="992"/>
      <c r="AA157" s="208"/>
      <c r="AB157" s="208"/>
      <c r="AC157" s="208"/>
      <c r="AD157" s="208"/>
      <c r="AE157" s="208"/>
      <c r="AF157" s="208">
        <f t="shared" si="76"/>
        <v>0</v>
      </c>
      <c r="AG157" s="992"/>
      <c r="AH157" s="992"/>
      <c r="AI157" s="992"/>
    </row>
    <row r="158" spans="1:35" hidden="1" x14ac:dyDescent="0.25">
      <c r="A158" s="257" t="s">
        <v>564</v>
      </c>
      <c r="B158" s="1103" t="s">
        <v>1092</v>
      </c>
      <c r="C158" s="208"/>
      <c r="D158" s="208"/>
      <c r="E158" s="208"/>
      <c r="F158" s="208"/>
      <c r="G158" s="208"/>
      <c r="H158" s="208"/>
      <c r="I158" s="208"/>
      <c r="J158" s="208"/>
      <c r="K158" s="208"/>
      <c r="L158" s="208"/>
      <c r="M158" s="208"/>
      <c r="N158" s="992"/>
      <c r="O158" s="992"/>
      <c r="P158" s="208"/>
      <c r="Q158" s="208"/>
      <c r="R158" s="208"/>
      <c r="S158" s="208"/>
      <c r="T158" s="208">
        <f t="shared" si="78"/>
        <v>0</v>
      </c>
      <c r="U158" s="208"/>
      <c r="V158" s="208"/>
      <c r="W158" s="208">
        <f t="shared" si="79"/>
        <v>0</v>
      </c>
      <c r="X158" s="208"/>
      <c r="Y158" s="992"/>
      <c r="Z158" s="992"/>
      <c r="AA158" s="208"/>
      <c r="AB158" s="208"/>
      <c r="AC158" s="208"/>
      <c r="AD158" s="208"/>
      <c r="AE158" s="208"/>
      <c r="AF158" s="208">
        <f t="shared" si="76"/>
        <v>0</v>
      </c>
      <c r="AG158" s="992"/>
      <c r="AH158" s="992"/>
      <c r="AI158" s="992"/>
    </row>
    <row r="159" spans="1:35" s="1" customFormat="1" x14ac:dyDescent="0.25">
      <c r="A159" s="1097">
        <v>21</v>
      </c>
      <c r="B159" s="1104" t="s">
        <v>1093</v>
      </c>
      <c r="C159" s="26">
        <f t="shared" ref="C159:L159" si="88">C150+C156-C153</f>
        <v>0</v>
      </c>
      <c r="D159" s="26">
        <f t="shared" si="88"/>
        <v>0</v>
      </c>
      <c r="E159" s="26">
        <f t="shared" si="88"/>
        <v>0</v>
      </c>
      <c r="F159" s="26">
        <f t="shared" si="88"/>
        <v>0</v>
      </c>
      <c r="G159" s="26">
        <f t="shared" si="88"/>
        <v>672807.91666666709</v>
      </c>
      <c r="H159" s="26">
        <f t="shared" si="88"/>
        <v>850600.91666666709</v>
      </c>
      <c r="I159" s="26">
        <f t="shared" si="88"/>
        <v>880028.91666666686</v>
      </c>
      <c r="J159" s="26">
        <f t="shared" si="88"/>
        <v>942215.91666666698</v>
      </c>
      <c r="K159" s="26">
        <f t="shared" si="88"/>
        <v>1061382.916666667</v>
      </c>
      <c r="L159" s="26">
        <f t="shared" si="88"/>
        <v>1019612.4166666672</v>
      </c>
      <c r="M159" s="26"/>
      <c r="N159" s="822"/>
      <c r="O159" s="822"/>
      <c r="P159" s="26">
        <f>P150+P156-P153</f>
        <v>1011904.7466666671</v>
      </c>
      <c r="Q159" s="26">
        <f>Q150+Q156-Q153</f>
        <v>782191.23811366991</v>
      </c>
      <c r="R159" s="26">
        <f>R150+R156-R153</f>
        <v>638715.73911367008</v>
      </c>
      <c r="S159" s="26">
        <f>S150+S156-S153</f>
        <v>638715.73911367008</v>
      </c>
      <c r="T159" s="26">
        <f t="shared" si="78"/>
        <v>3071527.4630076773</v>
      </c>
      <c r="U159" s="26"/>
      <c r="V159" s="26">
        <f>V150+V156-V153</f>
        <v>543099.90711366991</v>
      </c>
      <c r="W159" s="26">
        <f t="shared" si="79"/>
        <v>3614627.3701213473</v>
      </c>
      <c r="X159" s="26"/>
      <c r="Y159" s="822"/>
      <c r="Z159" s="822"/>
      <c r="AA159" s="26">
        <f>AA150+AA156-AA153</f>
        <v>201484.00133466988</v>
      </c>
      <c r="AB159" s="26">
        <f>AB150+AB156-AB153</f>
        <v>255818.66800266987</v>
      </c>
      <c r="AC159" s="26">
        <f>AC150+AC156-AC153</f>
        <v>123311.33467066991</v>
      </c>
      <c r="AD159" s="26">
        <f>AD150+AD156-AD153</f>
        <v>154887.00133866994</v>
      </c>
      <c r="AE159" s="26">
        <f>AE150+AE156-AE153</f>
        <v>137778.00133866994</v>
      </c>
      <c r="AF159" s="26">
        <f t="shared" si="76"/>
        <v>873279.00668534951</v>
      </c>
      <c r="AG159" s="822"/>
      <c r="AH159" s="822"/>
      <c r="AI159" s="822"/>
    </row>
    <row r="160" spans="1:35" ht="31.5" x14ac:dyDescent="0.25">
      <c r="A160" s="257" t="s">
        <v>564</v>
      </c>
      <c r="B160" s="1103" t="s">
        <v>1094</v>
      </c>
      <c r="C160" s="830" t="e">
        <f t="shared" ref="C160:L160" si="89">C159/C149</f>
        <v>#DIV/0!</v>
      </c>
      <c r="D160" s="830" t="e">
        <f t="shared" si="89"/>
        <v>#DIV/0!</v>
      </c>
      <c r="E160" s="830" t="e">
        <f t="shared" si="89"/>
        <v>#DIV/0!</v>
      </c>
      <c r="F160" s="830" t="e">
        <f t="shared" si="89"/>
        <v>#DIV/0!</v>
      </c>
      <c r="G160" s="992">
        <f t="shared" si="89"/>
        <v>1.7799151234567911</v>
      </c>
      <c r="H160" s="992">
        <f t="shared" si="89"/>
        <v>1.563604626225491</v>
      </c>
      <c r="I160" s="992">
        <f t="shared" si="89"/>
        <v>1.4890506204173719</v>
      </c>
      <c r="J160" s="992">
        <f t="shared" si="89"/>
        <v>1.5729814969393439</v>
      </c>
      <c r="K160" s="992">
        <f t="shared" si="89"/>
        <v>1.424675055928412</v>
      </c>
      <c r="L160" s="992">
        <f t="shared" si="89"/>
        <v>1.4141642394822014</v>
      </c>
      <c r="M160" s="992"/>
      <c r="N160" s="992"/>
      <c r="O160" s="992"/>
      <c r="P160" s="992">
        <f>P159/P149</f>
        <v>1.2089662445240945</v>
      </c>
      <c r="Q160" s="992">
        <f>Q159/Q149</f>
        <v>0.72559484055071422</v>
      </c>
      <c r="R160" s="992">
        <f>R159/R149</f>
        <v>0.55685766269718406</v>
      </c>
      <c r="S160" s="992">
        <f>S159/S149</f>
        <v>0.55685766269718406</v>
      </c>
      <c r="T160" s="992">
        <f t="shared" si="78"/>
        <v>3.0482764104691769</v>
      </c>
      <c r="U160" s="992"/>
      <c r="V160" s="992">
        <f>V159/V149</f>
        <v>0.41648765882950145</v>
      </c>
      <c r="W160" s="992">
        <f t="shared" si="79"/>
        <v>3.4647640692986785</v>
      </c>
      <c r="X160" s="992"/>
      <c r="Y160" s="992"/>
      <c r="Z160" s="992"/>
      <c r="AA160" s="992">
        <f>AA159/AA149</f>
        <v>0.15546605041255393</v>
      </c>
      <c r="AB160" s="992">
        <f>AB159/AB149</f>
        <v>0.18143167943451763</v>
      </c>
      <c r="AC160" s="992">
        <f>AC159/AC149</f>
        <v>8.1447380892120155E-2</v>
      </c>
      <c r="AD160" s="992">
        <f>AD159/AD149</f>
        <v>9.5786642757371643E-2</v>
      </c>
      <c r="AE160" s="992">
        <f>AE159/AE149</f>
        <v>7.9502597425660668E-2</v>
      </c>
      <c r="AF160" s="992">
        <f t="shared" si="76"/>
        <v>0.59363435092222405</v>
      </c>
      <c r="AG160" s="992"/>
      <c r="AH160" s="992"/>
      <c r="AI160" s="992"/>
    </row>
    <row r="161" spans="1:35" ht="31.5" x14ac:dyDescent="0.25">
      <c r="A161" s="1105" t="s">
        <v>564</v>
      </c>
      <c r="B161" s="1106" t="s">
        <v>1095</v>
      </c>
      <c r="C161" s="1107" t="e">
        <f>C160/C31</f>
        <v>#DIV/0!</v>
      </c>
      <c r="D161" s="1107" t="e">
        <f>D160/D31</f>
        <v>#DIV/0!</v>
      </c>
      <c r="E161" s="1107" t="e">
        <f>E160/E31</f>
        <v>#DIV/0!</v>
      </c>
      <c r="F161" s="1107" t="e">
        <f>F160/F31</f>
        <v>#DIV/0!</v>
      </c>
      <c r="G161" s="1006"/>
      <c r="H161" s="1006">
        <f>H159/H31</f>
        <v>2.039663613329178E-2</v>
      </c>
      <c r="I161" s="1006">
        <f>I159/I31</f>
        <v>1.998839159303761E-2</v>
      </c>
      <c r="J161" s="1006">
        <f>J159/J31</f>
        <v>1.9501115917432466E-2</v>
      </c>
      <c r="K161" s="1006">
        <f>K159/K31</f>
        <v>1.9849321451725521E-2</v>
      </c>
      <c r="L161" s="1006">
        <f>L159/L31</f>
        <v>1.7822786719351516E-2</v>
      </c>
      <c r="M161" s="1006"/>
      <c r="N161" s="1006"/>
      <c r="O161" s="1006"/>
      <c r="P161" s="1006">
        <f>P159/P31</f>
        <v>1.6263053661712729E-2</v>
      </c>
      <c r="Q161" s="1006">
        <f>Q159/Q31</f>
        <v>1.1454203716622783E-2</v>
      </c>
      <c r="R161" s="1006">
        <f>R159/R31</f>
        <v>8.4179022254986715E-3</v>
      </c>
      <c r="S161" s="1006">
        <f>S159/S31</f>
        <v>7.7624264928803045E-3</v>
      </c>
      <c r="T161" s="1006">
        <f t="shared" si="78"/>
        <v>4.3897586096714486E-2</v>
      </c>
      <c r="U161" s="1006"/>
      <c r="V161" s="1006">
        <f>V159/V31</f>
        <v>6.2731724760458551E-3</v>
      </c>
      <c r="W161" s="1006">
        <f t="shared" si="79"/>
        <v>5.0170758572760342E-2</v>
      </c>
      <c r="X161" s="1006"/>
      <c r="Y161" s="1006"/>
      <c r="Z161" s="1006"/>
      <c r="AA161" s="1006">
        <f>AA159/AA31</f>
        <v>2.1750251803138642E-3</v>
      </c>
      <c r="AB161" s="1006">
        <f>AB159/AB31</f>
        <v>2.5809059433878016E-3</v>
      </c>
      <c r="AC161" s="1006">
        <f>AC159/AC31</f>
        <v>1.1626772242361552E-3</v>
      </c>
      <c r="AD161" s="1006">
        <f>AD159/AD31</f>
        <v>1.364857657865087E-3</v>
      </c>
      <c r="AE161" s="1006">
        <f>AE159/AE31</f>
        <v>1.1346671763367486E-3</v>
      </c>
      <c r="AF161" s="1006">
        <f t="shared" si="76"/>
        <v>8.418133182139657E-3</v>
      </c>
      <c r="AG161" s="1006"/>
      <c r="AH161" s="1006"/>
      <c r="AI161" s="1006"/>
    </row>
    <row r="163" spans="1:35" x14ac:dyDescent="0.25">
      <c r="H163" s="852"/>
      <c r="I163" s="854"/>
      <c r="J163" s="854"/>
      <c r="K163" s="854"/>
      <c r="L163" s="210">
        <f>L7-L27</f>
        <v>3985613</v>
      </c>
      <c r="N163" s="852"/>
      <c r="P163" s="210">
        <f>P7-P27</f>
        <v>5024618</v>
      </c>
      <c r="Q163" s="210">
        <f>Q7-Q27</f>
        <v>5374100</v>
      </c>
      <c r="R163" s="210">
        <f>R7-R27</f>
        <v>5612594</v>
      </c>
      <c r="V163" s="210">
        <f>V7-V27</f>
        <v>6250000</v>
      </c>
      <c r="AB163" s="826">
        <f>AB7-AB27</f>
        <v>7307000</v>
      </c>
      <c r="AC163" s="826">
        <f>AC7-AC27</f>
        <v>7951000</v>
      </c>
      <c r="AD163" s="826">
        <f>AD7-AD27</f>
        <v>8661000</v>
      </c>
      <c r="AE163" s="826">
        <f>AE7-AE27</f>
        <v>9450000</v>
      </c>
      <c r="AF163" s="826">
        <f>SUM(AB163:AE163)</f>
        <v>33369000</v>
      </c>
    </row>
    <row r="164" spans="1:35" x14ac:dyDescent="0.25">
      <c r="P164" s="852">
        <f>P163/L163</f>
        <v>1.2606888827389915</v>
      </c>
      <c r="Q164" s="852">
        <f>Q163/P163</f>
        <v>1.0695539442003352</v>
      </c>
      <c r="R164" s="852">
        <f>R163/Q163</f>
        <v>1.0443784075473102</v>
      </c>
      <c r="S164" s="852"/>
      <c r="V164" s="852">
        <f>V163/R163</f>
        <v>1.1135670957136754</v>
      </c>
      <c r="W164" s="852"/>
    </row>
    <row r="165" spans="1:35" x14ac:dyDescent="0.25">
      <c r="R165" s="210">
        <v>202096</v>
      </c>
    </row>
    <row r="166" spans="1:35" x14ac:dyDescent="0.25">
      <c r="G166" s="210">
        <f>G107+G110+G113+G125+G116+G119+G122</f>
        <v>557315.62888800004</v>
      </c>
      <c r="O166" s="229"/>
      <c r="R166" s="210">
        <f>+R165+R163</f>
        <v>5814690</v>
      </c>
    </row>
    <row r="167" spans="1:35" x14ac:dyDescent="0.25">
      <c r="G167" s="210">
        <f>G103-G166</f>
        <v>0</v>
      </c>
      <c r="N167" s="210">
        <f>400*18%</f>
        <v>72</v>
      </c>
      <c r="R167" s="210">
        <v>17385</v>
      </c>
    </row>
    <row r="168" spans="1:35" x14ac:dyDescent="0.25">
      <c r="R168" s="210">
        <f>+R166+R167</f>
        <v>5832075</v>
      </c>
    </row>
    <row r="169" spans="1:35" x14ac:dyDescent="0.25">
      <c r="R169" s="852"/>
      <c r="S169" s="852"/>
      <c r="Z169" s="210">
        <v>91</v>
      </c>
      <c r="AB169" s="210">
        <v>108</v>
      </c>
      <c r="AC169" s="210">
        <f>500-101</f>
        <v>399</v>
      </c>
    </row>
    <row r="170" spans="1:35" x14ac:dyDescent="0.25">
      <c r="R170" s="826">
        <v>200000000</v>
      </c>
      <c r="S170" s="826"/>
      <c r="U170" s="826">
        <f>+R170*R171</f>
        <v>8284000000000</v>
      </c>
      <c r="V170" s="826">
        <f>+R170*T171</f>
        <v>42800000000</v>
      </c>
      <c r="W170" s="826"/>
      <c r="AB170" s="210">
        <f>+AB169+Z169</f>
        <v>199</v>
      </c>
    </row>
    <row r="171" spans="1:35" x14ac:dyDescent="0.25">
      <c r="R171" s="826">
        <v>41420</v>
      </c>
      <c r="S171" s="826"/>
      <c r="T171" s="210">
        <v>214</v>
      </c>
      <c r="U171" s="210">
        <v>7000000</v>
      </c>
      <c r="V171" s="210">
        <v>7000000</v>
      </c>
      <c r="AB171" s="210">
        <v>140</v>
      </c>
    </row>
    <row r="172" spans="1:35" x14ac:dyDescent="0.25">
      <c r="R172" s="917">
        <f>R171*5</f>
        <v>207100</v>
      </c>
      <c r="S172" s="917"/>
      <c r="U172" s="852">
        <f>U171/U170</f>
        <v>8.4500241429261222E-7</v>
      </c>
      <c r="V172" s="852">
        <f>+V171/V170</f>
        <v>1.6355140186915889E-4</v>
      </c>
      <c r="W172" s="852"/>
      <c r="AB172" s="210">
        <f>+AB170+AB171</f>
        <v>339</v>
      </c>
    </row>
    <row r="173" spans="1:35" x14ac:dyDescent="0.25">
      <c r="U173" s="210" t="s">
        <v>1316</v>
      </c>
      <c r="Y173" s="210" t="s">
        <v>1322</v>
      </c>
    </row>
    <row r="174" spans="1:35" x14ac:dyDescent="0.25">
      <c r="U174" s="210" t="s">
        <v>1303</v>
      </c>
      <c r="X174" s="852" t="e">
        <f>#REF!/#REF!</f>
        <v>#REF!</v>
      </c>
      <c r="Y174" s="210">
        <v>1650000</v>
      </c>
      <c r="Z174" s="210">
        <f>RANK(Y174,$Y$174:$Y$186,0)</f>
        <v>1</v>
      </c>
      <c r="AB174" s="924">
        <f>Y174/$Y$187</f>
        <v>0.19219569015725102</v>
      </c>
    </row>
    <row r="175" spans="1:35" x14ac:dyDescent="0.25">
      <c r="U175" s="210" t="s">
        <v>1304</v>
      </c>
      <c r="X175" s="852" t="e">
        <f>#REF!/#REF!</f>
        <v>#REF!</v>
      </c>
      <c r="Y175" s="210">
        <v>770000</v>
      </c>
      <c r="Z175" s="210">
        <f t="shared" ref="Z175:Z186" si="90">RANK(Y175,$Y$174:$Y$186,0)</f>
        <v>4</v>
      </c>
      <c r="AB175" s="924">
        <f t="shared" ref="AB175:AB186" si="91">Y175/$Y$187</f>
        <v>8.9691322073383803E-2</v>
      </c>
    </row>
    <row r="176" spans="1:35" x14ac:dyDescent="0.25">
      <c r="U176" s="210" t="s">
        <v>1305</v>
      </c>
      <c r="X176" s="852" t="e">
        <f>#REF!/#REF!</f>
        <v>#REF!</v>
      </c>
      <c r="Y176" s="210">
        <v>470000</v>
      </c>
      <c r="Z176" s="210">
        <f t="shared" si="90"/>
        <v>7</v>
      </c>
      <c r="AB176" s="924">
        <f t="shared" si="91"/>
        <v>5.4746651135701804E-2</v>
      </c>
    </row>
    <row r="177" spans="21:28" x14ac:dyDescent="0.25">
      <c r="U177" s="210" t="s">
        <v>1306</v>
      </c>
      <c r="X177" s="852" t="e">
        <f>#REF!/#REF!</f>
        <v>#REF!</v>
      </c>
      <c r="Y177" s="210">
        <v>440000</v>
      </c>
      <c r="Z177" s="210">
        <f t="shared" si="90"/>
        <v>9</v>
      </c>
      <c r="AB177" s="924">
        <f t="shared" si="91"/>
        <v>5.1252184041933602E-2</v>
      </c>
    </row>
    <row r="178" spans="21:28" x14ac:dyDescent="0.25">
      <c r="U178" s="210" t="s">
        <v>1307</v>
      </c>
      <c r="X178" s="852" t="e">
        <f>#REF!/#REF!</f>
        <v>#REF!</v>
      </c>
      <c r="Y178" s="210">
        <v>465000</v>
      </c>
      <c r="Z178" s="210">
        <f t="shared" si="90"/>
        <v>8</v>
      </c>
      <c r="AB178" s="924">
        <f t="shared" si="91"/>
        <v>5.4164239953407106E-2</v>
      </c>
    </row>
    <row r="179" spans="21:28" x14ac:dyDescent="0.25">
      <c r="U179" s="210" t="s">
        <v>1308</v>
      </c>
      <c r="X179" s="852" t="e">
        <f>#REF!/#REF!</f>
        <v>#REF!</v>
      </c>
      <c r="Y179" s="210">
        <v>1000000</v>
      </c>
      <c r="Z179" s="210">
        <f t="shared" si="90"/>
        <v>3</v>
      </c>
      <c r="AB179" s="924">
        <f t="shared" si="91"/>
        <v>0.11648223645894001</v>
      </c>
    </row>
    <row r="180" spans="21:28" x14ac:dyDescent="0.25">
      <c r="U180" s="210" t="s">
        <v>1309</v>
      </c>
      <c r="X180" s="852" t="e">
        <f>#REF!/#REF!</f>
        <v>#REF!</v>
      </c>
      <c r="Y180" s="210">
        <v>315000</v>
      </c>
      <c r="Z180" s="210">
        <f t="shared" si="90"/>
        <v>13</v>
      </c>
      <c r="AB180" s="924">
        <f t="shared" si="91"/>
        <v>3.6691904484566107E-2</v>
      </c>
    </row>
    <row r="181" spans="21:28" x14ac:dyDescent="0.25">
      <c r="U181" s="210" t="s">
        <v>1310</v>
      </c>
      <c r="X181" s="852" t="e">
        <f>#REF!/#REF!</f>
        <v>#REF!</v>
      </c>
      <c r="Y181" s="210">
        <v>360000</v>
      </c>
      <c r="Z181" s="210">
        <f t="shared" si="90"/>
        <v>11</v>
      </c>
      <c r="AB181" s="924">
        <f t="shared" si="91"/>
        <v>4.1933605125218404E-2</v>
      </c>
    </row>
    <row r="182" spans="21:28" x14ac:dyDescent="0.25">
      <c r="U182" s="210" t="s">
        <v>1311</v>
      </c>
      <c r="X182" s="852" t="e">
        <f>#REF!/#REF!</f>
        <v>#REF!</v>
      </c>
      <c r="Y182" s="210">
        <v>620000</v>
      </c>
      <c r="Z182" s="210">
        <f t="shared" si="90"/>
        <v>5</v>
      </c>
      <c r="AB182" s="924">
        <f t="shared" si="91"/>
        <v>7.2218986604542804E-2</v>
      </c>
    </row>
    <row r="183" spans="21:28" x14ac:dyDescent="0.25">
      <c r="U183" s="210" t="s">
        <v>1312</v>
      </c>
      <c r="X183" s="924" t="e">
        <f>#REF!/#REF!</f>
        <v>#REF!</v>
      </c>
      <c r="Y183" s="210">
        <v>580000</v>
      </c>
      <c r="Z183" s="210">
        <f t="shared" si="90"/>
        <v>6</v>
      </c>
      <c r="AB183" s="924">
        <f t="shared" si="91"/>
        <v>6.7559697146185205E-2</v>
      </c>
    </row>
    <row r="184" spans="21:28" x14ac:dyDescent="0.25">
      <c r="U184" s="210" t="s">
        <v>1313</v>
      </c>
      <c r="X184" s="852" t="e">
        <f>#REF!/#REF!</f>
        <v>#REF!</v>
      </c>
      <c r="Y184" s="210">
        <v>1200000</v>
      </c>
      <c r="Z184" s="210">
        <f t="shared" si="90"/>
        <v>2</v>
      </c>
      <c r="AB184" s="924">
        <f t="shared" si="91"/>
        <v>0.13977868375072802</v>
      </c>
    </row>
    <row r="185" spans="21:28" x14ac:dyDescent="0.25">
      <c r="U185" s="210" t="s">
        <v>1314</v>
      </c>
      <c r="X185" s="852" t="e">
        <f>#REF!/#REF!</f>
        <v>#REF!</v>
      </c>
      <c r="Y185" s="210">
        <v>335000</v>
      </c>
      <c r="Z185" s="210">
        <f t="shared" si="90"/>
        <v>12</v>
      </c>
      <c r="AB185" s="924">
        <f t="shared" si="91"/>
        <v>3.9021549213744906E-2</v>
      </c>
    </row>
    <row r="186" spans="21:28" x14ac:dyDescent="0.25">
      <c r="U186" s="210" t="s">
        <v>1315</v>
      </c>
      <c r="X186" s="852" t="e">
        <f>#REF!/#REF!</f>
        <v>#REF!</v>
      </c>
      <c r="Y186" s="210">
        <v>380000</v>
      </c>
      <c r="Z186" s="210">
        <f t="shared" si="90"/>
        <v>10</v>
      </c>
      <c r="AB186" s="924">
        <f t="shared" si="91"/>
        <v>4.4263249854397203E-2</v>
      </c>
    </row>
    <row r="187" spans="21:28" x14ac:dyDescent="0.25">
      <c r="Y187" s="210">
        <f>SUM(Y174:Y186)</f>
        <v>8585000</v>
      </c>
      <c r="AB187" s="852">
        <f>SUM(AB174:AB186)</f>
        <v>1</v>
      </c>
    </row>
    <row r="188" spans="21:28" x14ac:dyDescent="0.25">
      <c r="Y188" s="210">
        <v>71856</v>
      </c>
    </row>
    <row r="189" spans="21:28" x14ac:dyDescent="0.25">
      <c r="Y189" s="210">
        <v>18413</v>
      </c>
    </row>
    <row r="190" spans="21:28" x14ac:dyDescent="0.25">
      <c r="Y190" s="210">
        <f>+Y188+Y189</f>
        <v>90269</v>
      </c>
      <c r="Z190" s="210">
        <v>90910</v>
      </c>
    </row>
    <row r="191" spans="21:28" x14ac:dyDescent="0.25">
      <c r="Z191" s="210">
        <v>213</v>
      </c>
    </row>
    <row r="192" spans="21:28" x14ac:dyDescent="0.25">
      <c r="Z192" s="826">
        <f>+Z191*Z190</f>
        <v>19363830</v>
      </c>
      <c r="AA192" s="826"/>
    </row>
    <row r="193" spans="26:27" x14ac:dyDescent="0.25">
      <c r="Z193" s="210">
        <v>7000000</v>
      </c>
    </row>
    <row r="194" spans="26:27" x14ac:dyDescent="0.25">
      <c r="Z194" s="852">
        <f>+Z193/Z192</f>
        <v>0.36149873243051606</v>
      </c>
      <c r="AA194" s="852"/>
    </row>
  </sheetData>
  <customSheetViews>
    <customSheetView guid="{88621519-296E-4458-B04E-813E881018FE}" topLeftCell="A28">
      <selection sqref="A1:K1"/>
      <pageMargins left="0.7" right="0.7" top="0.75" bottom="0.75" header="0.3" footer="0.3"/>
      <pageSetup orientation="portrait" r:id="rId1"/>
    </customSheetView>
  </customSheetViews>
  <mergeCells count="36">
    <mergeCell ref="V3:V5"/>
    <mergeCell ref="K3:K5"/>
    <mergeCell ref="M3:M5"/>
    <mergeCell ref="N3:N5"/>
    <mergeCell ref="O3:O5"/>
    <mergeCell ref="U3:U5"/>
    <mergeCell ref="T3:T5"/>
    <mergeCell ref="S3:S5"/>
    <mergeCell ref="D3:D5"/>
    <mergeCell ref="E3:E5"/>
    <mergeCell ref="F3:F5"/>
    <mergeCell ref="R3:R5"/>
    <mergeCell ref="L3:L5"/>
    <mergeCell ref="G3:G5"/>
    <mergeCell ref="A1:AH1"/>
    <mergeCell ref="P3:P5"/>
    <mergeCell ref="Q3:Q5"/>
    <mergeCell ref="AB3:AB5"/>
    <mergeCell ref="AC3:AC5"/>
    <mergeCell ref="X3:X5"/>
    <mergeCell ref="AG3:AG5"/>
    <mergeCell ref="Y3:Y5"/>
    <mergeCell ref="AH3:AH5"/>
    <mergeCell ref="H3:H5"/>
    <mergeCell ref="I3:I5"/>
    <mergeCell ref="J3:J5"/>
    <mergeCell ref="A3:A5"/>
    <mergeCell ref="B3:B5"/>
    <mergeCell ref="W3:W5"/>
    <mergeCell ref="C3:C5"/>
    <mergeCell ref="AI3:AI5"/>
    <mergeCell ref="Z3:Z5"/>
    <mergeCell ref="AF3:AF5"/>
    <mergeCell ref="AD3:AD5"/>
    <mergeCell ref="AE3:AE5"/>
    <mergeCell ref="AA3:AA5"/>
  </mergeCells>
  <pageMargins left="0" right="0" top="0" bottom="0" header="0" footer="0"/>
  <pageSetup paperSize="9" scale="70" orientation="landscape"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Q65"/>
  <sheetViews>
    <sheetView zoomScale="84" zoomScaleNormal="84" workbookViewId="0">
      <selection activeCell="D51" sqref="D51"/>
    </sheetView>
  </sheetViews>
  <sheetFormatPr defaultRowHeight="17.25" x14ac:dyDescent="0.3"/>
  <cols>
    <col min="1" max="1" width="5.75" style="517" bestFit="1" customWidth="1"/>
    <col min="2" max="2" width="38.125" style="513" customWidth="1"/>
    <col min="3" max="3" width="9.625" style="513" customWidth="1"/>
    <col min="4" max="4" width="11.25" style="513" customWidth="1"/>
    <col min="5" max="5" width="10.625" style="513" customWidth="1"/>
    <col min="6" max="6" width="14.375" style="513" customWidth="1"/>
    <col min="7" max="7" width="11.125" style="513" customWidth="1"/>
    <col min="8" max="8" width="10.75" style="513" customWidth="1"/>
    <col min="9" max="9" width="10" style="513" bestFit="1" customWidth="1"/>
    <col min="10" max="11" width="10" style="513" customWidth="1"/>
    <col min="12" max="12" width="10" style="518" bestFit="1" customWidth="1"/>
    <col min="13" max="258" width="9" style="518"/>
    <col min="259" max="259" width="5.75" style="518" bestFit="1" customWidth="1"/>
    <col min="260" max="260" width="38.125" style="518" customWidth="1"/>
    <col min="261" max="261" width="9.625" style="518" customWidth="1"/>
    <col min="262" max="262" width="11.25" style="518" customWidth="1"/>
    <col min="263" max="263" width="10.625" style="518" customWidth="1"/>
    <col min="264" max="264" width="14.375" style="518" customWidth="1"/>
    <col min="265" max="265" width="11.125" style="518" customWidth="1"/>
    <col min="266" max="266" width="10.75" style="518" customWidth="1"/>
    <col min="267" max="267" width="11" style="518" customWidth="1"/>
    <col min="268" max="514" width="9" style="518"/>
    <col min="515" max="515" width="5.75" style="518" bestFit="1" customWidth="1"/>
    <col min="516" max="516" width="38.125" style="518" customWidth="1"/>
    <col min="517" max="517" width="9.625" style="518" customWidth="1"/>
    <col min="518" max="518" width="11.25" style="518" customWidth="1"/>
    <col min="519" max="519" width="10.625" style="518" customWidth="1"/>
    <col min="520" max="520" width="14.375" style="518" customWidth="1"/>
    <col min="521" max="521" width="11.125" style="518" customWidth="1"/>
    <col min="522" max="522" width="10.75" style="518" customWidth="1"/>
    <col min="523" max="523" width="11" style="518" customWidth="1"/>
    <col min="524" max="770" width="9" style="518"/>
    <col min="771" max="771" width="5.75" style="518" bestFit="1" customWidth="1"/>
    <col min="772" max="772" width="38.125" style="518" customWidth="1"/>
    <col min="773" max="773" width="9.625" style="518" customWidth="1"/>
    <col min="774" max="774" width="11.25" style="518" customWidth="1"/>
    <col min="775" max="775" width="10.625" style="518" customWidth="1"/>
    <col min="776" max="776" width="14.375" style="518" customWidth="1"/>
    <col min="777" max="777" width="11.125" style="518" customWidth="1"/>
    <col min="778" max="778" width="10.75" style="518" customWidth="1"/>
    <col min="779" max="779" width="11" style="518" customWidth="1"/>
    <col min="780" max="1026" width="9" style="518"/>
    <col min="1027" max="1027" width="5.75" style="518" bestFit="1" customWidth="1"/>
    <col min="1028" max="1028" width="38.125" style="518" customWidth="1"/>
    <col min="1029" max="1029" width="9.625" style="518" customWidth="1"/>
    <col min="1030" max="1030" width="11.25" style="518" customWidth="1"/>
    <col min="1031" max="1031" width="10.625" style="518" customWidth="1"/>
    <col min="1032" max="1032" width="14.375" style="518" customWidth="1"/>
    <col min="1033" max="1033" width="11.125" style="518" customWidth="1"/>
    <col min="1034" max="1034" width="10.75" style="518" customWidth="1"/>
    <col min="1035" max="1035" width="11" style="518" customWidth="1"/>
    <col min="1036" max="1282" width="9" style="518"/>
    <col min="1283" max="1283" width="5.75" style="518" bestFit="1" customWidth="1"/>
    <col min="1284" max="1284" width="38.125" style="518" customWidth="1"/>
    <col min="1285" max="1285" width="9.625" style="518" customWidth="1"/>
    <col min="1286" max="1286" width="11.25" style="518" customWidth="1"/>
    <col min="1287" max="1287" width="10.625" style="518" customWidth="1"/>
    <col min="1288" max="1288" width="14.375" style="518" customWidth="1"/>
    <col min="1289" max="1289" width="11.125" style="518" customWidth="1"/>
    <col min="1290" max="1290" width="10.75" style="518" customWidth="1"/>
    <col min="1291" max="1291" width="11" style="518" customWidth="1"/>
    <col min="1292" max="1538" width="9" style="518"/>
    <col min="1539" max="1539" width="5.75" style="518" bestFit="1" customWidth="1"/>
    <col min="1540" max="1540" width="38.125" style="518" customWidth="1"/>
    <col min="1541" max="1541" width="9.625" style="518" customWidth="1"/>
    <col min="1542" max="1542" width="11.25" style="518" customWidth="1"/>
    <col min="1543" max="1543" width="10.625" style="518" customWidth="1"/>
    <col min="1544" max="1544" width="14.375" style="518" customWidth="1"/>
    <col min="1545" max="1545" width="11.125" style="518" customWidth="1"/>
    <col min="1546" max="1546" width="10.75" style="518" customWidth="1"/>
    <col min="1547" max="1547" width="11" style="518" customWidth="1"/>
    <col min="1548" max="1794" width="9" style="518"/>
    <col min="1795" max="1795" width="5.75" style="518" bestFit="1" customWidth="1"/>
    <col min="1796" max="1796" width="38.125" style="518" customWidth="1"/>
    <col min="1797" max="1797" width="9.625" style="518" customWidth="1"/>
    <col min="1798" max="1798" width="11.25" style="518" customWidth="1"/>
    <col min="1799" max="1799" width="10.625" style="518" customWidth="1"/>
    <col min="1800" max="1800" width="14.375" style="518" customWidth="1"/>
    <col min="1801" max="1801" width="11.125" style="518" customWidth="1"/>
    <col min="1802" max="1802" width="10.75" style="518" customWidth="1"/>
    <col min="1803" max="1803" width="11" style="518" customWidth="1"/>
    <col min="1804" max="2050" width="9" style="518"/>
    <col min="2051" max="2051" width="5.75" style="518" bestFit="1" customWidth="1"/>
    <col min="2052" max="2052" width="38.125" style="518" customWidth="1"/>
    <col min="2053" max="2053" width="9.625" style="518" customWidth="1"/>
    <col min="2054" max="2054" width="11.25" style="518" customWidth="1"/>
    <col min="2055" max="2055" width="10.625" style="518" customWidth="1"/>
    <col min="2056" max="2056" width="14.375" style="518" customWidth="1"/>
    <col min="2057" max="2057" width="11.125" style="518" customWidth="1"/>
    <col min="2058" max="2058" width="10.75" style="518" customWidth="1"/>
    <col min="2059" max="2059" width="11" style="518" customWidth="1"/>
    <col min="2060" max="2306" width="9" style="518"/>
    <col min="2307" max="2307" width="5.75" style="518" bestFit="1" customWidth="1"/>
    <col min="2308" max="2308" width="38.125" style="518" customWidth="1"/>
    <col min="2309" max="2309" width="9.625" style="518" customWidth="1"/>
    <col min="2310" max="2310" width="11.25" style="518" customWidth="1"/>
    <col min="2311" max="2311" width="10.625" style="518" customWidth="1"/>
    <col min="2312" max="2312" width="14.375" style="518" customWidth="1"/>
    <col min="2313" max="2313" width="11.125" style="518" customWidth="1"/>
    <col min="2314" max="2314" width="10.75" style="518" customWidth="1"/>
    <col min="2315" max="2315" width="11" style="518" customWidth="1"/>
    <col min="2316" max="2562" width="9" style="518"/>
    <col min="2563" max="2563" width="5.75" style="518" bestFit="1" customWidth="1"/>
    <col min="2564" max="2564" width="38.125" style="518" customWidth="1"/>
    <col min="2565" max="2565" width="9.625" style="518" customWidth="1"/>
    <col min="2566" max="2566" width="11.25" style="518" customWidth="1"/>
    <col min="2567" max="2567" width="10.625" style="518" customWidth="1"/>
    <col min="2568" max="2568" width="14.375" style="518" customWidth="1"/>
    <col min="2569" max="2569" width="11.125" style="518" customWidth="1"/>
    <col min="2570" max="2570" width="10.75" style="518" customWidth="1"/>
    <col min="2571" max="2571" width="11" style="518" customWidth="1"/>
    <col min="2572" max="2818" width="9" style="518"/>
    <col min="2819" max="2819" width="5.75" style="518" bestFit="1" customWidth="1"/>
    <col min="2820" max="2820" width="38.125" style="518" customWidth="1"/>
    <col min="2821" max="2821" width="9.625" style="518" customWidth="1"/>
    <col min="2822" max="2822" width="11.25" style="518" customWidth="1"/>
    <col min="2823" max="2823" width="10.625" style="518" customWidth="1"/>
    <col min="2824" max="2824" width="14.375" style="518" customWidth="1"/>
    <col min="2825" max="2825" width="11.125" style="518" customWidth="1"/>
    <col min="2826" max="2826" width="10.75" style="518" customWidth="1"/>
    <col min="2827" max="2827" width="11" style="518" customWidth="1"/>
    <col min="2828" max="3074" width="9" style="518"/>
    <col min="3075" max="3075" width="5.75" style="518" bestFit="1" customWidth="1"/>
    <col min="3076" max="3076" width="38.125" style="518" customWidth="1"/>
    <col min="3077" max="3077" width="9.625" style="518" customWidth="1"/>
    <col min="3078" max="3078" width="11.25" style="518" customWidth="1"/>
    <col min="3079" max="3079" width="10.625" style="518" customWidth="1"/>
    <col min="3080" max="3080" width="14.375" style="518" customWidth="1"/>
    <col min="3081" max="3081" width="11.125" style="518" customWidth="1"/>
    <col min="3082" max="3082" width="10.75" style="518" customWidth="1"/>
    <col min="3083" max="3083" width="11" style="518" customWidth="1"/>
    <col min="3084" max="3330" width="9" style="518"/>
    <col min="3331" max="3331" width="5.75" style="518" bestFit="1" customWidth="1"/>
    <col min="3332" max="3332" width="38.125" style="518" customWidth="1"/>
    <col min="3333" max="3333" width="9.625" style="518" customWidth="1"/>
    <col min="3334" max="3334" width="11.25" style="518" customWidth="1"/>
    <col min="3335" max="3335" width="10.625" style="518" customWidth="1"/>
    <col min="3336" max="3336" width="14.375" style="518" customWidth="1"/>
    <col min="3337" max="3337" width="11.125" style="518" customWidth="1"/>
    <col min="3338" max="3338" width="10.75" style="518" customWidth="1"/>
    <col min="3339" max="3339" width="11" style="518" customWidth="1"/>
    <col min="3340" max="3586" width="9" style="518"/>
    <col min="3587" max="3587" width="5.75" style="518" bestFit="1" customWidth="1"/>
    <col min="3588" max="3588" width="38.125" style="518" customWidth="1"/>
    <col min="3589" max="3589" width="9.625" style="518" customWidth="1"/>
    <col min="3590" max="3590" width="11.25" style="518" customWidth="1"/>
    <col min="3591" max="3591" width="10.625" style="518" customWidth="1"/>
    <col min="3592" max="3592" width="14.375" style="518" customWidth="1"/>
    <col min="3593" max="3593" width="11.125" style="518" customWidth="1"/>
    <col min="3594" max="3594" width="10.75" style="518" customWidth="1"/>
    <col min="3595" max="3595" width="11" style="518" customWidth="1"/>
    <col min="3596" max="3842" width="9" style="518"/>
    <col min="3843" max="3843" width="5.75" style="518" bestFit="1" customWidth="1"/>
    <col min="3844" max="3844" width="38.125" style="518" customWidth="1"/>
    <col min="3845" max="3845" width="9.625" style="518" customWidth="1"/>
    <col min="3846" max="3846" width="11.25" style="518" customWidth="1"/>
    <col min="3847" max="3847" width="10.625" style="518" customWidth="1"/>
    <col min="3848" max="3848" width="14.375" style="518" customWidth="1"/>
    <col min="3849" max="3849" width="11.125" style="518" customWidth="1"/>
    <col min="3850" max="3850" width="10.75" style="518" customWidth="1"/>
    <col min="3851" max="3851" width="11" style="518" customWidth="1"/>
    <col min="3852" max="4098" width="9" style="518"/>
    <col min="4099" max="4099" width="5.75" style="518" bestFit="1" customWidth="1"/>
    <col min="4100" max="4100" width="38.125" style="518" customWidth="1"/>
    <col min="4101" max="4101" width="9.625" style="518" customWidth="1"/>
    <col min="4102" max="4102" width="11.25" style="518" customWidth="1"/>
    <col min="4103" max="4103" width="10.625" style="518" customWidth="1"/>
    <col min="4104" max="4104" width="14.375" style="518" customWidth="1"/>
    <col min="4105" max="4105" width="11.125" style="518" customWidth="1"/>
    <col min="4106" max="4106" width="10.75" style="518" customWidth="1"/>
    <col min="4107" max="4107" width="11" style="518" customWidth="1"/>
    <col min="4108" max="4354" width="9" style="518"/>
    <col min="4355" max="4355" width="5.75" style="518" bestFit="1" customWidth="1"/>
    <col min="4356" max="4356" width="38.125" style="518" customWidth="1"/>
    <col min="4357" max="4357" width="9.625" style="518" customWidth="1"/>
    <col min="4358" max="4358" width="11.25" style="518" customWidth="1"/>
    <col min="4359" max="4359" width="10.625" style="518" customWidth="1"/>
    <col min="4360" max="4360" width="14.375" style="518" customWidth="1"/>
    <col min="4361" max="4361" width="11.125" style="518" customWidth="1"/>
    <col min="4362" max="4362" width="10.75" style="518" customWidth="1"/>
    <col min="4363" max="4363" width="11" style="518" customWidth="1"/>
    <col min="4364" max="4610" width="9" style="518"/>
    <col min="4611" max="4611" width="5.75" style="518" bestFit="1" customWidth="1"/>
    <col min="4612" max="4612" width="38.125" style="518" customWidth="1"/>
    <col min="4613" max="4613" width="9.625" style="518" customWidth="1"/>
    <col min="4614" max="4614" width="11.25" style="518" customWidth="1"/>
    <col min="4615" max="4615" width="10.625" style="518" customWidth="1"/>
    <col min="4616" max="4616" width="14.375" style="518" customWidth="1"/>
    <col min="4617" max="4617" width="11.125" style="518" customWidth="1"/>
    <col min="4618" max="4618" width="10.75" style="518" customWidth="1"/>
    <col min="4619" max="4619" width="11" style="518" customWidth="1"/>
    <col min="4620" max="4866" width="9" style="518"/>
    <col min="4867" max="4867" width="5.75" style="518" bestFit="1" customWidth="1"/>
    <col min="4868" max="4868" width="38.125" style="518" customWidth="1"/>
    <col min="4869" max="4869" width="9.625" style="518" customWidth="1"/>
    <col min="4870" max="4870" width="11.25" style="518" customWidth="1"/>
    <col min="4871" max="4871" width="10.625" style="518" customWidth="1"/>
    <col min="4872" max="4872" width="14.375" style="518" customWidth="1"/>
    <col min="4873" max="4873" width="11.125" style="518" customWidth="1"/>
    <col min="4874" max="4874" width="10.75" style="518" customWidth="1"/>
    <col min="4875" max="4875" width="11" style="518" customWidth="1"/>
    <col min="4876" max="5122" width="9" style="518"/>
    <col min="5123" max="5123" width="5.75" style="518" bestFit="1" customWidth="1"/>
    <col min="5124" max="5124" width="38.125" style="518" customWidth="1"/>
    <col min="5125" max="5125" width="9.625" style="518" customWidth="1"/>
    <col min="5126" max="5126" width="11.25" style="518" customWidth="1"/>
    <col min="5127" max="5127" width="10.625" style="518" customWidth="1"/>
    <col min="5128" max="5128" width="14.375" style="518" customWidth="1"/>
    <col min="5129" max="5129" width="11.125" style="518" customWidth="1"/>
    <col min="5130" max="5130" width="10.75" style="518" customWidth="1"/>
    <col min="5131" max="5131" width="11" style="518" customWidth="1"/>
    <col min="5132" max="5378" width="9" style="518"/>
    <col min="5379" max="5379" width="5.75" style="518" bestFit="1" customWidth="1"/>
    <col min="5380" max="5380" width="38.125" style="518" customWidth="1"/>
    <col min="5381" max="5381" width="9.625" style="518" customWidth="1"/>
    <col min="5382" max="5382" width="11.25" style="518" customWidth="1"/>
    <col min="5383" max="5383" width="10.625" style="518" customWidth="1"/>
    <col min="5384" max="5384" width="14.375" style="518" customWidth="1"/>
    <col min="5385" max="5385" width="11.125" style="518" customWidth="1"/>
    <col min="5386" max="5386" width="10.75" style="518" customWidth="1"/>
    <col min="5387" max="5387" width="11" style="518" customWidth="1"/>
    <col min="5388" max="5634" width="9" style="518"/>
    <col min="5635" max="5635" width="5.75" style="518" bestFit="1" customWidth="1"/>
    <col min="5636" max="5636" width="38.125" style="518" customWidth="1"/>
    <col min="5637" max="5637" width="9.625" style="518" customWidth="1"/>
    <col min="5638" max="5638" width="11.25" style="518" customWidth="1"/>
    <col min="5639" max="5639" width="10.625" style="518" customWidth="1"/>
    <col min="5640" max="5640" width="14.375" style="518" customWidth="1"/>
    <col min="5641" max="5641" width="11.125" style="518" customWidth="1"/>
    <col min="5642" max="5642" width="10.75" style="518" customWidth="1"/>
    <col min="5643" max="5643" width="11" style="518" customWidth="1"/>
    <col min="5644" max="5890" width="9" style="518"/>
    <col min="5891" max="5891" width="5.75" style="518" bestFit="1" customWidth="1"/>
    <col min="5892" max="5892" width="38.125" style="518" customWidth="1"/>
    <col min="5893" max="5893" width="9.625" style="518" customWidth="1"/>
    <col min="5894" max="5894" width="11.25" style="518" customWidth="1"/>
    <col min="5895" max="5895" width="10.625" style="518" customWidth="1"/>
    <col min="5896" max="5896" width="14.375" style="518" customWidth="1"/>
    <col min="5897" max="5897" width="11.125" style="518" customWidth="1"/>
    <col min="5898" max="5898" width="10.75" style="518" customWidth="1"/>
    <col min="5899" max="5899" width="11" style="518" customWidth="1"/>
    <col min="5900" max="6146" width="9" style="518"/>
    <col min="6147" max="6147" width="5.75" style="518" bestFit="1" customWidth="1"/>
    <col min="6148" max="6148" width="38.125" style="518" customWidth="1"/>
    <col min="6149" max="6149" width="9.625" style="518" customWidth="1"/>
    <col min="6150" max="6150" width="11.25" style="518" customWidth="1"/>
    <col min="6151" max="6151" width="10.625" style="518" customWidth="1"/>
    <col min="6152" max="6152" width="14.375" style="518" customWidth="1"/>
    <col min="6153" max="6153" width="11.125" style="518" customWidth="1"/>
    <col min="6154" max="6154" width="10.75" style="518" customWidth="1"/>
    <col min="6155" max="6155" width="11" style="518" customWidth="1"/>
    <col min="6156" max="6402" width="9" style="518"/>
    <col min="6403" max="6403" width="5.75" style="518" bestFit="1" customWidth="1"/>
    <col min="6404" max="6404" width="38.125" style="518" customWidth="1"/>
    <col min="6405" max="6405" width="9.625" style="518" customWidth="1"/>
    <col min="6406" max="6406" width="11.25" style="518" customWidth="1"/>
    <col min="6407" max="6407" width="10.625" style="518" customWidth="1"/>
    <col min="6408" max="6408" width="14.375" style="518" customWidth="1"/>
    <col min="6409" max="6409" width="11.125" style="518" customWidth="1"/>
    <col min="6410" max="6410" width="10.75" style="518" customWidth="1"/>
    <col min="6411" max="6411" width="11" style="518" customWidth="1"/>
    <col min="6412" max="6658" width="9" style="518"/>
    <col min="6659" max="6659" width="5.75" style="518" bestFit="1" customWidth="1"/>
    <col min="6660" max="6660" width="38.125" style="518" customWidth="1"/>
    <col min="6661" max="6661" width="9.625" style="518" customWidth="1"/>
    <col min="6662" max="6662" width="11.25" style="518" customWidth="1"/>
    <col min="6663" max="6663" width="10.625" style="518" customWidth="1"/>
    <col min="6664" max="6664" width="14.375" style="518" customWidth="1"/>
    <col min="6665" max="6665" width="11.125" style="518" customWidth="1"/>
    <col min="6666" max="6666" width="10.75" style="518" customWidth="1"/>
    <col min="6667" max="6667" width="11" style="518" customWidth="1"/>
    <col min="6668" max="6914" width="9" style="518"/>
    <col min="6915" max="6915" width="5.75" style="518" bestFit="1" customWidth="1"/>
    <col min="6916" max="6916" width="38.125" style="518" customWidth="1"/>
    <col min="6917" max="6917" width="9.625" style="518" customWidth="1"/>
    <col min="6918" max="6918" width="11.25" style="518" customWidth="1"/>
    <col min="6919" max="6919" width="10.625" style="518" customWidth="1"/>
    <col min="6920" max="6920" width="14.375" style="518" customWidth="1"/>
    <col min="6921" max="6921" width="11.125" style="518" customWidth="1"/>
    <col min="6922" max="6922" width="10.75" style="518" customWidth="1"/>
    <col min="6923" max="6923" width="11" style="518" customWidth="1"/>
    <col min="6924" max="7170" width="9" style="518"/>
    <col min="7171" max="7171" width="5.75" style="518" bestFit="1" customWidth="1"/>
    <col min="7172" max="7172" width="38.125" style="518" customWidth="1"/>
    <col min="7173" max="7173" width="9.625" style="518" customWidth="1"/>
    <col min="7174" max="7174" width="11.25" style="518" customWidth="1"/>
    <col min="7175" max="7175" width="10.625" style="518" customWidth="1"/>
    <col min="7176" max="7176" width="14.375" style="518" customWidth="1"/>
    <col min="7177" max="7177" width="11.125" style="518" customWidth="1"/>
    <col min="7178" max="7178" width="10.75" style="518" customWidth="1"/>
    <col min="7179" max="7179" width="11" style="518" customWidth="1"/>
    <col min="7180" max="7426" width="9" style="518"/>
    <col min="7427" max="7427" width="5.75" style="518" bestFit="1" customWidth="1"/>
    <col min="7428" max="7428" width="38.125" style="518" customWidth="1"/>
    <col min="7429" max="7429" width="9.625" style="518" customWidth="1"/>
    <col min="7430" max="7430" width="11.25" style="518" customWidth="1"/>
    <col min="7431" max="7431" width="10.625" style="518" customWidth="1"/>
    <col min="7432" max="7432" width="14.375" style="518" customWidth="1"/>
    <col min="7433" max="7433" width="11.125" style="518" customWidth="1"/>
    <col min="7434" max="7434" width="10.75" style="518" customWidth="1"/>
    <col min="7435" max="7435" width="11" style="518" customWidth="1"/>
    <col min="7436" max="7682" width="9" style="518"/>
    <col min="7683" max="7683" width="5.75" style="518" bestFit="1" customWidth="1"/>
    <col min="7684" max="7684" width="38.125" style="518" customWidth="1"/>
    <col min="7685" max="7685" width="9.625" style="518" customWidth="1"/>
    <col min="7686" max="7686" width="11.25" style="518" customWidth="1"/>
    <col min="7687" max="7687" width="10.625" style="518" customWidth="1"/>
    <col min="7688" max="7688" width="14.375" style="518" customWidth="1"/>
    <col min="7689" max="7689" width="11.125" style="518" customWidth="1"/>
    <col min="7690" max="7690" width="10.75" style="518" customWidth="1"/>
    <col min="7691" max="7691" width="11" style="518" customWidth="1"/>
    <col min="7692" max="7938" width="9" style="518"/>
    <col min="7939" max="7939" width="5.75" style="518" bestFit="1" customWidth="1"/>
    <col min="7940" max="7940" width="38.125" style="518" customWidth="1"/>
    <col min="7941" max="7941" width="9.625" style="518" customWidth="1"/>
    <col min="7942" max="7942" width="11.25" style="518" customWidth="1"/>
    <col min="7943" max="7943" width="10.625" style="518" customWidth="1"/>
    <col min="7944" max="7944" width="14.375" style="518" customWidth="1"/>
    <col min="7945" max="7945" width="11.125" style="518" customWidth="1"/>
    <col min="7946" max="7946" width="10.75" style="518" customWidth="1"/>
    <col min="7947" max="7947" width="11" style="518" customWidth="1"/>
    <col min="7948" max="8194" width="9" style="518"/>
    <col min="8195" max="8195" width="5.75" style="518" bestFit="1" customWidth="1"/>
    <col min="8196" max="8196" width="38.125" style="518" customWidth="1"/>
    <col min="8197" max="8197" width="9.625" style="518" customWidth="1"/>
    <col min="8198" max="8198" width="11.25" style="518" customWidth="1"/>
    <col min="8199" max="8199" width="10.625" style="518" customWidth="1"/>
    <col min="8200" max="8200" width="14.375" style="518" customWidth="1"/>
    <col min="8201" max="8201" width="11.125" style="518" customWidth="1"/>
    <col min="8202" max="8202" width="10.75" style="518" customWidth="1"/>
    <col min="8203" max="8203" width="11" style="518" customWidth="1"/>
    <col min="8204" max="8450" width="9" style="518"/>
    <col min="8451" max="8451" width="5.75" style="518" bestFit="1" customWidth="1"/>
    <col min="8452" max="8452" width="38.125" style="518" customWidth="1"/>
    <col min="8453" max="8453" width="9.625" style="518" customWidth="1"/>
    <col min="8454" max="8454" width="11.25" style="518" customWidth="1"/>
    <col min="8455" max="8455" width="10.625" style="518" customWidth="1"/>
    <col min="8456" max="8456" width="14.375" style="518" customWidth="1"/>
    <col min="8457" max="8457" width="11.125" style="518" customWidth="1"/>
    <col min="8458" max="8458" width="10.75" style="518" customWidth="1"/>
    <col min="8459" max="8459" width="11" style="518" customWidth="1"/>
    <col min="8460" max="8706" width="9" style="518"/>
    <col min="8707" max="8707" width="5.75" style="518" bestFit="1" customWidth="1"/>
    <col min="8708" max="8708" width="38.125" style="518" customWidth="1"/>
    <col min="8709" max="8709" width="9.625" style="518" customWidth="1"/>
    <col min="8710" max="8710" width="11.25" style="518" customWidth="1"/>
    <col min="8711" max="8711" width="10.625" style="518" customWidth="1"/>
    <col min="8712" max="8712" width="14.375" style="518" customWidth="1"/>
    <col min="8713" max="8713" width="11.125" style="518" customWidth="1"/>
    <col min="8714" max="8714" width="10.75" style="518" customWidth="1"/>
    <col min="8715" max="8715" width="11" style="518" customWidth="1"/>
    <col min="8716" max="8962" width="9" style="518"/>
    <col min="8963" max="8963" width="5.75" style="518" bestFit="1" customWidth="1"/>
    <col min="8964" max="8964" width="38.125" style="518" customWidth="1"/>
    <col min="8965" max="8965" width="9.625" style="518" customWidth="1"/>
    <col min="8966" max="8966" width="11.25" style="518" customWidth="1"/>
    <col min="8967" max="8967" width="10.625" style="518" customWidth="1"/>
    <col min="8968" max="8968" width="14.375" style="518" customWidth="1"/>
    <col min="8969" max="8969" width="11.125" style="518" customWidth="1"/>
    <col min="8970" max="8970" width="10.75" style="518" customWidth="1"/>
    <col min="8971" max="8971" width="11" style="518" customWidth="1"/>
    <col min="8972" max="9218" width="9" style="518"/>
    <col min="9219" max="9219" width="5.75" style="518" bestFit="1" customWidth="1"/>
    <col min="9220" max="9220" width="38.125" style="518" customWidth="1"/>
    <col min="9221" max="9221" width="9.625" style="518" customWidth="1"/>
    <col min="9222" max="9222" width="11.25" style="518" customWidth="1"/>
    <col min="9223" max="9223" width="10.625" style="518" customWidth="1"/>
    <col min="9224" max="9224" width="14.375" style="518" customWidth="1"/>
    <col min="9225" max="9225" width="11.125" style="518" customWidth="1"/>
    <col min="9226" max="9226" width="10.75" style="518" customWidth="1"/>
    <col min="9227" max="9227" width="11" style="518" customWidth="1"/>
    <col min="9228" max="9474" width="9" style="518"/>
    <col min="9475" max="9475" width="5.75" style="518" bestFit="1" customWidth="1"/>
    <col min="9476" max="9476" width="38.125" style="518" customWidth="1"/>
    <col min="9477" max="9477" width="9.625" style="518" customWidth="1"/>
    <col min="9478" max="9478" width="11.25" style="518" customWidth="1"/>
    <col min="9479" max="9479" width="10.625" style="518" customWidth="1"/>
    <col min="9480" max="9480" width="14.375" style="518" customWidth="1"/>
    <col min="9481" max="9481" width="11.125" style="518" customWidth="1"/>
    <col min="9482" max="9482" width="10.75" style="518" customWidth="1"/>
    <col min="9483" max="9483" width="11" style="518" customWidth="1"/>
    <col min="9484" max="9730" width="9" style="518"/>
    <col min="9731" max="9731" width="5.75" style="518" bestFit="1" customWidth="1"/>
    <col min="9732" max="9732" width="38.125" style="518" customWidth="1"/>
    <col min="9733" max="9733" width="9.625" style="518" customWidth="1"/>
    <col min="9734" max="9734" width="11.25" style="518" customWidth="1"/>
    <col min="9735" max="9735" width="10.625" style="518" customWidth="1"/>
    <col min="9736" max="9736" width="14.375" style="518" customWidth="1"/>
    <col min="9737" max="9737" width="11.125" style="518" customWidth="1"/>
    <col min="9738" max="9738" width="10.75" style="518" customWidth="1"/>
    <col min="9739" max="9739" width="11" style="518" customWidth="1"/>
    <col min="9740" max="9986" width="9" style="518"/>
    <col min="9987" max="9987" width="5.75" style="518" bestFit="1" customWidth="1"/>
    <col min="9988" max="9988" width="38.125" style="518" customWidth="1"/>
    <col min="9989" max="9989" width="9.625" style="518" customWidth="1"/>
    <col min="9990" max="9990" width="11.25" style="518" customWidth="1"/>
    <col min="9991" max="9991" width="10.625" style="518" customWidth="1"/>
    <col min="9992" max="9992" width="14.375" style="518" customWidth="1"/>
    <col min="9993" max="9993" width="11.125" style="518" customWidth="1"/>
    <col min="9994" max="9994" width="10.75" style="518" customWidth="1"/>
    <col min="9995" max="9995" width="11" style="518" customWidth="1"/>
    <col min="9996" max="10242" width="9" style="518"/>
    <col min="10243" max="10243" width="5.75" style="518" bestFit="1" customWidth="1"/>
    <col min="10244" max="10244" width="38.125" style="518" customWidth="1"/>
    <col min="10245" max="10245" width="9.625" style="518" customWidth="1"/>
    <col min="10246" max="10246" width="11.25" style="518" customWidth="1"/>
    <col min="10247" max="10247" width="10.625" style="518" customWidth="1"/>
    <col min="10248" max="10248" width="14.375" style="518" customWidth="1"/>
    <col min="10249" max="10249" width="11.125" style="518" customWidth="1"/>
    <col min="10250" max="10250" width="10.75" style="518" customWidth="1"/>
    <col min="10251" max="10251" width="11" style="518" customWidth="1"/>
    <col min="10252" max="10498" width="9" style="518"/>
    <col min="10499" max="10499" width="5.75" style="518" bestFit="1" customWidth="1"/>
    <col min="10500" max="10500" width="38.125" style="518" customWidth="1"/>
    <col min="10501" max="10501" width="9.625" style="518" customWidth="1"/>
    <col min="10502" max="10502" width="11.25" style="518" customWidth="1"/>
    <col min="10503" max="10503" width="10.625" style="518" customWidth="1"/>
    <col min="10504" max="10504" width="14.375" style="518" customWidth="1"/>
    <col min="10505" max="10505" width="11.125" style="518" customWidth="1"/>
    <col min="10506" max="10506" width="10.75" style="518" customWidth="1"/>
    <col min="10507" max="10507" width="11" style="518" customWidth="1"/>
    <col min="10508" max="10754" width="9" style="518"/>
    <col min="10755" max="10755" width="5.75" style="518" bestFit="1" customWidth="1"/>
    <col min="10756" max="10756" width="38.125" style="518" customWidth="1"/>
    <col min="10757" max="10757" width="9.625" style="518" customWidth="1"/>
    <col min="10758" max="10758" width="11.25" style="518" customWidth="1"/>
    <col min="10759" max="10759" width="10.625" style="518" customWidth="1"/>
    <col min="10760" max="10760" width="14.375" style="518" customWidth="1"/>
    <col min="10761" max="10761" width="11.125" style="518" customWidth="1"/>
    <col min="10762" max="10762" width="10.75" style="518" customWidth="1"/>
    <col min="10763" max="10763" width="11" style="518" customWidth="1"/>
    <col min="10764" max="11010" width="9" style="518"/>
    <col min="11011" max="11011" width="5.75" style="518" bestFit="1" customWidth="1"/>
    <col min="11012" max="11012" width="38.125" style="518" customWidth="1"/>
    <col min="11013" max="11013" width="9.625" style="518" customWidth="1"/>
    <col min="11014" max="11014" width="11.25" style="518" customWidth="1"/>
    <col min="11015" max="11015" width="10.625" style="518" customWidth="1"/>
    <col min="11016" max="11016" width="14.375" style="518" customWidth="1"/>
    <col min="11017" max="11017" width="11.125" style="518" customWidth="1"/>
    <col min="11018" max="11018" width="10.75" style="518" customWidth="1"/>
    <col min="11019" max="11019" width="11" style="518" customWidth="1"/>
    <col min="11020" max="11266" width="9" style="518"/>
    <col min="11267" max="11267" width="5.75" style="518" bestFit="1" customWidth="1"/>
    <col min="11268" max="11268" width="38.125" style="518" customWidth="1"/>
    <col min="11269" max="11269" width="9.625" style="518" customWidth="1"/>
    <col min="11270" max="11270" width="11.25" style="518" customWidth="1"/>
    <col min="11271" max="11271" width="10.625" style="518" customWidth="1"/>
    <col min="11272" max="11272" width="14.375" style="518" customWidth="1"/>
    <col min="11273" max="11273" width="11.125" style="518" customWidth="1"/>
    <col min="11274" max="11274" width="10.75" style="518" customWidth="1"/>
    <col min="11275" max="11275" width="11" style="518" customWidth="1"/>
    <col min="11276" max="11522" width="9" style="518"/>
    <col min="11523" max="11523" width="5.75" style="518" bestFit="1" customWidth="1"/>
    <col min="11524" max="11524" width="38.125" style="518" customWidth="1"/>
    <col min="11525" max="11525" width="9.625" style="518" customWidth="1"/>
    <col min="11526" max="11526" width="11.25" style="518" customWidth="1"/>
    <col min="11527" max="11527" width="10.625" style="518" customWidth="1"/>
    <col min="11528" max="11528" width="14.375" style="518" customWidth="1"/>
    <col min="11529" max="11529" width="11.125" style="518" customWidth="1"/>
    <col min="11530" max="11530" width="10.75" style="518" customWidth="1"/>
    <col min="11531" max="11531" width="11" style="518" customWidth="1"/>
    <col min="11532" max="11778" width="9" style="518"/>
    <col min="11779" max="11779" width="5.75" style="518" bestFit="1" customWidth="1"/>
    <col min="11780" max="11780" width="38.125" style="518" customWidth="1"/>
    <col min="11781" max="11781" width="9.625" style="518" customWidth="1"/>
    <col min="11782" max="11782" width="11.25" style="518" customWidth="1"/>
    <col min="11783" max="11783" width="10.625" style="518" customWidth="1"/>
    <col min="11784" max="11784" width="14.375" style="518" customWidth="1"/>
    <col min="11785" max="11785" width="11.125" style="518" customWidth="1"/>
    <col min="11786" max="11786" width="10.75" style="518" customWidth="1"/>
    <col min="11787" max="11787" width="11" style="518" customWidth="1"/>
    <col min="11788" max="12034" width="9" style="518"/>
    <col min="12035" max="12035" width="5.75" style="518" bestFit="1" customWidth="1"/>
    <col min="12036" max="12036" width="38.125" style="518" customWidth="1"/>
    <col min="12037" max="12037" width="9.625" style="518" customWidth="1"/>
    <col min="12038" max="12038" width="11.25" style="518" customWidth="1"/>
    <col min="12039" max="12039" width="10.625" style="518" customWidth="1"/>
    <col min="12040" max="12040" width="14.375" style="518" customWidth="1"/>
    <col min="12041" max="12041" width="11.125" style="518" customWidth="1"/>
    <col min="12042" max="12042" width="10.75" style="518" customWidth="1"/>
    <col min="12043" max="12043" width="11" style="518" customWidth="1"/>
    <col min="12044" max="12290" width="9" style="518"/>
    <col min="12291" max="12291" width="5.75" style="518" bestFit="1" customWidth="1"/>
    <col min="12292" max="12292" width="38.125" style="518" customWidth="1"/>
    <col min="12293" max="12293" width="9.625" style="518" customWidth="1"/>
    <col min="12294" max="12294" width="11.25" style="518" customWidth="1"/>
    <col min="12295" max="12295" width="10.625" style="518" customWidth="1"/>
    <col min="12296" max="12296" width="14.375" style="518" customWidth="1"/>
    <col min="12297" max="12297" width="11.125" style="518" customWidth="1"/>
    <col min="12298" max="12298" width="10.75" style="518" customWidth="1"/>
    <col min="12299" max="12299" width="11" style="518" customWidth="1"/>
    <col min="12300" max="12546" width="9" style="518"/>
    <col min="12547" max="12547" width="5.75" style="518" bestFit="1" customWidth="1"/>
    <col min="12548" max="12548" width="38.125" style="518" customWidth="1"/>
    <col min="12549" max="12549" width="9.625" style="518" customWidth="1"/>
    <col min="12550" max="12550" width="11.25" style="518" customWidth="1"/>
    <col min="12551" max="12551" width="10.625" style="518" customWidth="1"/>
    <col min="12552" max="12552" width="14.375" style="518" customWidth="1"/>
    <col min="12553" max="12553" width="11.125" style="518" customWidth="1"/>
    <col min="12554" max="12554" width="10.75" style="518" customWidth="1"/>
    <col min="12555" max="12555" width="11" style="518" customWidth="1"/>
    <col min="12556" max="12802" width="9" style="518"/>
    <col min="12803" max="12803" width="5.75" style="518" bestFit="1" customWidth="1"/>
    <col min="12804" max="12804" width="38.125" style="518" customWidth="1"/>
    <col min="12805" max="12805" width="9.625" style="518" customWidth="1"/>
    <col min="12806" max="12806" width="11.25" style="518" customWidth="1"/>
    <col min="12807" max="12807" width="10.625" style="518" customWidth="1"/>
    <col min="12808" max="12808" width="14.375" style="518" customWidth="1"/>
    <col min="12809" max="12809" width="11.125" style="518" customWidth="1"/>
    <col min="12810" max="12810" width="10.75" style="518" customWidth="1"/>
    <col min="12811" max="12811" width="11" style="518" customWidth="1"/>
    <col min="12812" max="13058" width="9" style="518"/>
    <col min="13059" max="13059" width="5.75" style="518" bestFit="1" customWidth="1"/>
    <col min="13060" max="13060" width="38.125" style="518" customWidth="1"/>
    <col min="13061" max="13061" width="9.625" style="518" customWidth="1"/>
    <col min="13062" max="13062" width="11.25" style="518" customWidth="1"/>
    <col min="13063" max="13063" width="10.625" style="518" customWidth="1"/>
    <col min="13064" max="13064" width="14.375" style="518" customWidth="1"/>
    <col min="13065" max="13065" width="11.125" style="518" customWidth="1"/>
    <col min="13066" max="13066" width="10.75" style="518" customWidth="1"/>
    <col min="13067" max="13067" width="11" style="518" customWidth="1"/>
    <col min="13068" max="13314" width="9" style="518"/>
    <col min="13315" max="13315" width="5.75" style="518" bestFit="1" customWidth="1"/>
    <col min="13316" max="13316" width="38.125" style="518" customWidth="1"/>
    <col min="13317" max="13317" width="9.625" style="518" customWidth="1"/>
    <col min="13318" max="13318" width="11.25" style="518" customWidth="1"/>
    <col min="13319" max="13319" width="10.625" style="518" customWidth="1"/>
    <col min="13320" max="13320" width="14.375" style="518" customWidth="1"/>
    <col min="13321" max="13321" width="11.125" style="518" customWidth="1"/>
    <col min="13322" max="13322" width="10.75" style="518" customWidth="1"/>
    <col min="13323" max="13323" width="11" style="518" customWidth="1"/>
    <col min="13324" max="13570" width="9" style="518"/>
    <col min="13571" max="13571" width="5.75" style="518" bestFit="1" customWidth="1"/>
    <col min="13572" max="13572" width="38.125" style="518" customWidth="1"/>
    <col min="13573" max="13573" width="9.625" style="518" customWidth="1"/>
    <col min="13574" max="13574" width="11.25" style="518" customWidth="1"/>
    <col min="13575" max="13575" width="10.625" style="518" customWidth="1"/>
    <col min="13576" max="13576" width="14.375" style="518" customWidth="1"/>
    <col min="13577" max="13577" width="11.125" style="518" customWidth="1"/>
    <col min="13578" max="13578" width="10.75" style="518" customWidth="1"/>
    <col min="13579" max="13579" width="11" style="518" customWidth="1"/>
    <col min="13580" max="13826" width="9" style="518"/>
    <col min="13827" max="13827" width="5.75" style="518" bestFit="1" customWidth="1"/>
    <col min="13828" max="13828" width="38.125" style="518" customWidth="1"/>
    <col min="13829" max="13829" width="9.625" style="518" customWidth="1"/>
    <col min="13830" max="13830" width="11.25" style="518" customWidth="1"/>
    <col min="13831" max="13831" width="10.625" style="518" customWidth="1"/>
    <col min="13832" max="13832" width="14.375" style="518" customWidth="1"/>
    <col min="13833" max="13833" width="11.125" style="518" customWidth="1"/>
    <col min="13834" max="13834" width="10.75" style="518" customWidth="1"/>
    <col min="13835" max="13835" width="11" style="518" customWidth="1"/>
    <col min="13836" max="14082" width="9" style="518"/>
    <col min="14083" max="14083" width="5.75" style="518" bestFit="1" customWidth="1"/>
    <col min="14084" max="14084" width="38.125" style="518" customWidth="1"/>
    <col min="14085" max="14085" width="9.625" style="518" customWidth="1"/>
    <col min="14086" max="14086" width="11.25" style="518" customWidth="1"/>
    <col min="14087" max="14087" width="10.625" style="518" customWidth="1"/>
    <col min="14088" max="14088" width="14.375" style="518" customWidth="1"/>
    <col min="14089" max="14089" width="11.125" style="518" customWidth="1"/>
    <col min="14090" max="14090" width="10.75" style="518" customWidth="1"/>
    <col min="14091" max="14091" width="11" style="518" customWidth="1"/>
    <col min="14092" max="14338" width="9" style="518"/>
    <col min="14339" max="14339" width="5.75" style="518" bestFit="1" customWidth="1"/>
    <col min="14340" max="14340" width="38.125" style="518" customWidth="1"/>
    <col min="14341" max="14341" width="9.625" style="518" customWidth="1"/>
    <col min="14342" max="14342" width="11.25" style="518" customWidth="1"/>
    <col min="14343" max="14343" width="10.625" style="518" customWidth="1"/>
    <col min="14344" max="14344" width="14.375" style="518" customWidth="1"/>
    <col min="14345" max="14345" width="11.125" style="518" customWidth="1"/>
    <col min="14346" max="14346" width="10.75" style="518" customWidth="1"/>
    <col min="14347" max="14347" width="11" style="518" customWidth="1"/>
    <col min="14348" max="14594" width="9" style="518"/>
    <col min="14595" max="14595" width="5.75" style="518" bestFit="1" customWidth="1"/>
    <col min="14596" max="14596" width="38.125" style="518" customWidth="1"/>
    <col min="14597" max="14597" width="9.625" style="518" customWidth="1"/>
    <col min="14598" max="14598" width="11.25" style="518" customWidth="1"/>
    <col min="14599" max="14599" width="10.625" style="518" customWidth="1"/>
    <col min="14600" max="14600" width="14.375" style="518" customWidth="1"/>
    <col min="14601" max="14601" width="11.125" style="518" customWidth="1"/>
    <col min="14602" max="14602" width="10.75" style="518" customWidth="1"/>
    <col min="14603" max="14603" width="11" style="518" customWidth="1"/>
    <col min="14604" max="14850" width="9" style="518"/>
    <col min="14851" max="14851" width="5.75" style="518" bestFit="1" customWidth="1"/>
    <col min="14852" max="14852" width="38.125" style="518" customWidth="1"/>
    <col min="14853" max="14853" width="9.625" style="518" customWidth="1"/>
    <col min="14854" max="14854" width="11.25" style="518" customWidth="1"/>
    <col min="14855" max="14855" width="10.625" style="518" customWidth="1"/>
    <col min="14856" max="14856" width="14.375" style="518" customWidth="1"/>
    <col min="14857" max="14857" width="11.125" style="518" customWidth="1"/>
    <col min="14858" max="14858" width="10.75" style="518" customWidth="1"/>
    <col min="14859" max="14859" width="11" style="518" customWidth="1"/>
    <col min="14860" max="15106" width="9" style="518"/>
    <col min="15107" max="15107" width="5.75" style="518" bestFit="1" customWidth="1"/>
    <col min="15108" max="15108" width="38.125" style="518" customWidth="1"/>
    <col min="15109" max="15109" width="9.625" style="518" customWidth="1"/>
    <col min="15110" max="15110" width="11.25" style="518" customWidth="1"/>
    <col min="15111" max="15111" width="10.625" style="518" customWidth="1"/>
    <col min="15112" max="15112" width="14.375" style="518" customWidth="1"/>
    <col min="15113" max="15113" width="11.125" style="518" customWidth="1"/>
    <col min="15114" max="15114" width="10.75" style="518" customWidth="1"/>
    <col min="15115" max="15115" width="11" style="518" customWidth="1"/>
    <col min="15116" max="15362" width="9" style="518"/>
    <col min="15363" max="15363" width="5.75" style="518" bestFit="1" customWidth="1"/>
    <col min="15364" max="15364" width="38.125" style="518" customWidth="1"/>
    <col min="15365" max="15365" width="9.625" style="518" customWidth="1"/>
    <col min="15366" max="15366" width="11.25" style="518" customWidth="1"/>
    <col min="15367" max="15367" width="10.625" style="518" customWidth="1"/>
    <col min="15368" max="15368" width="14.375" style="518" customWidth="1"/>
    <col min="15369" max="15369" width="11.125" style="518" customWidth="1"/>
    <col min="15370" max="15370" width="10.75" style="518" customWidth="1"/>
    <col min="15371" max="15371" width="11" style="518" customWidth="1"/>
    <col min="15372" max="15618" width="9" style="518"/>
    <col min="15619" max="15619" width="5.75" style="518" bestFit="1" customWidth="1"/>
    <col min="15620" max="15620" width="38.125" style="518" customWidth="1"/>
    <col min="15621" max="15621" width="9.625" style="518" customWidth="1"/>
    <col min="15622" max="15622" width="11.25" style="518" customWidth="1"/>
    <col min="15623" max="15623" width="10.625" style="518" customWidth="1"/>
    <col min="15624" max="15624" width="14.375" style="518" customWidth="1"/>
    <col min="15625" max="15625" width="11.125" style="518" customWidth="1"/>
    <col min="15626" max="15626" width="10.75" style="518" customWidth="1"/>
    <col min="15627" max="15627" width="11" style="518" customWidth="1"/>
    <col min="15628" max="15874" width="9" style="518"/>
    <col min="15875" max="15875" width="5.75" style="518" bestFit="1" customWidth="1"/>
    <col min="15876" max="15876" width="38.125" style="518" customWidth="1"/>
    <col min="15877" max="15877" width="9.625" style="518" customWidth="1"/>
    <col min="15878" max="15878" width="11.25" style="518" customWidth="1"/>
    <col min="15879" max="15879" width="10.625" style="518" customWidth="1"/>
    <col min="15880" max="15880" width="14.375" style="518" customWidth="1"/>
    <col min="15881" max="15881" width="11.125" style="518" customWidth="1"/>
    <col min="15882" max="15882" width="10.75" style="518" customWidth="1"/>
    <col min="15883" max="15883" width="11" style="518" customWidth="1"/>
    <col min="15884" max="16130" width="9" style="518"/>
    <col min="16131" max="16131" width="5.75" style="518" bestFit="1" customWidth="1"/>
    <col min="16132" max="16132" width="38.125" style="518" customWidth="1"/>
    <col min="16133" max="16133" width="9.625" style="518" customWidth="1"/>
    <col min="16134" max="16134" width="11.25" style="518" customWidth="1"/>
    <col min="16135" max="16135" width="10.625" style="518" customWidth="1"/>
    <col min="16136" max="16136" width="14.375" style="518" customWidth="1"/>
    <col min="16137" max="16137" width="11.125" style="518" customWidth="1"/>
    <col min="16138" max="16138" width="10.75" style="518" customWidth="1"/>
    <col min="16139" max="16139" width="11" style="518" customWidth="1"/>
    <col min="16140" max="16384" width="9" style="518"/>
  </cols>
  <sheetData>
    <row r="1" spans="1:17" x14ac:dyDescent="0.3">
      <c r="A1" s="755"/>
      <c r="B1" s="518"/>
      <c r="C1" s="518"/>
      <c r="D1" s="518"/>
      <c r="E1" s="518"/>
      <c r="F1" s="518"/>
      <c r="G1" s="518"/>
      <c r="H1" s="518"/>
      <c r="I1" s="518"/>
      <c r="J1" s="518"/>
      <c r="K1" s="518"/>
    </row>
    <row r="2" spans="1:17" x14ac:dyDescent="0.3">
      <c r="A2" s="1387" t="s">
        <v>1433</v>
      </c>
      <c r="B2" s="1387"/>
      <c r="C2" s="1387"/>
      <c r="D2" s="1387"/>
      <c r="E2" s="1387"/>
      <c r="F2" s="1387"/>
      <c r="G2" s="1387"/>
      <c r="H2" s="1387"/>
      <c r="I2" s="1387"/>
      <c r="J2" s="1387"/>
      <c r="K2" s="1387"/>
      <c r="L2" s="1387"/>
      <c r="M2" s="1387"/>
      <c r="N2" s="1387"/>
      <c r="O2" s="1387"/>
      <c r="P2" s="1387"/>
      <c r="Q2" s="1387"/>
    </row>
    <row r="3" spans="1:17" x14ac:dyDescent="0.3">
      <c r="A3" s="727"/>
      <c r="B3" s="728"/>
      <c r="C3" s="728"/>
      <c r="D3" s="728"/>
      <c r="E3" s="728"/>
      <c r="F3" s="728"/>
      <c r="G3" s="728"/>
      <c r="H3" s="727"/>
      <c r="I3" s="727"/>
      <c r="J3" s="727"/>
      <c r="K3" s="727"/>
      <c r="Q3" s="757" t="s">
        <v>1122</v>
      </c>
    </row>
    <row r="4" spans="1:17" ht="17.25" customHeight="1" x14ac:dyDescent="0.3">
      <c r="A4" s="1391" t="s">
        <v>519</v>
      </c>
      <c r="B4" s="1394" t="s">
        <v>1575</v>
      </c>
      <c r="C4" s="1391" t="s">
        <v>1161</v>
      </c>
      <c r="D4" s="1388" t="s">
        <v>966</v>
      </c>
      <c r="E4" s="1388"/>
      <c r="F4" s="1388"/>
      <c r="G4" s="1388"/>
      <c r="H4" s="1390" t="s">
        <v>1410</v>
      </c>
      <c r="I4" s="1390"/>
      <c r="J4" s="1391"/>
      <c r="K4" s="1391"/>
      <c r="L4" s="1388" t="s">
        <v>1167</v>
      </c>
      <c r="M4" s="1388" t="s">
        <v>1434</v>
      </c>
      <c r="N4" s="1388"/>
      <c r="O4" s="1388"/>
      <c r="P4" s="1388"/>
      <c r="Q4" s="1388" t="s">
        <v>1435</v>
      </c>
    </row>
    <row r="5" spans="1:17" ht="71.25" customHeight="1" x14ac:dyDescent="0.3">
      <c r="A5" s="1392"/>
      <c r="B5" s="1395"/>
      <c r="C5" s="1392"/>
      <c r="D5" s="1397" t="s">
        <v>1158</v>
      </c>
      <c r="E5" s="1398"/>
      <c r="F5" s="1389" t="s">
        <v>1159</v>
      </c>
      <c r="G5" s="1389" t="s">
        <v>1160</v>
      </c>
      <c r="H5" s="1399" t="s">
        <v>1158</v>
      </c>
      <c r="I5" s="1399"/>
      <c r="J5" s="1389" t="s">
        <v>1159</v>
      </c>
      <c r="K5" s="1389" t="s">
        <v>1160</v>
      </c>
      <c r="L5" s="1388"/>
      <c r="M5" s="1399" t="s">
        <v>1158</v>
      </c>
      <c r="N5" s="1399"/>
      <c r="O5" s="1389" t="s">
        <v>1159</v>
      </c>
      <c r="P5" s="1389" t="s">
        <v>1160</v>
      </c>
      <c r="Q5" s="1388"/>
    </row>
    <row r="6" spans="1:17" ht="74.25" customHeight="1" x14ac:dyDescent="0.3">
      <c r="A6" s="1393"/>
      <c r="B6" s="1396"/>
      <c r="C6" s="1393"/>
      <c r="D6" s="756" t="s">
        <v>404</v>
      </c>
      <c r="E6" s="758" t="s">
        <v>1163</v>
      </c>
      <c r="F6" s="1389"/>
      <c r="G6" s="1389"/>
      <c r="H6" s="759" t="s">
        <v>404</v>
      </c>
      <c r="I6" s="758" t="s">
        <v>1163</v>
      </c>
      <c r="J6" s="1389"/>
      <c r="K6" s="1389"/>
      <c r="L6" s="1388"/>
      <c r="M6" s="759" t="s">
        <v>404</v>
      </c>
      <c r="N6" s="758" t="s">
        <v>1163</v>
      </c>
      <c r="O6" s="1389"/>
      <c r="P6" s="1389"/>
      <c r="Q6" s="1388"/>
    </row>
    <row r="7" spans="1:17" s="719" customFormat="1" x14ac:dyDescent="0.3">
      <c r="A7" s="718" t="s">
        <v>407</v>
      </c>
      <c r="B7" s="718" t="s">
        <v>422</v>
      </c>
      <c r="C7" s="718">
        <v>1</v>
      </c>
      <c r="D7" s="718">
        <v>2</v>
      </c>
      <c r="E7" s="718">
        <v>3</v>
      </c>
      <c r="F7" s="718">
        <v>4</v>
      </c>
      <c r="G7" s="718" t="s">
        <v>1164</v>
      </c>
      <c r="H7" s="718">
        <v>6</v>
      </c>
      <c r="I7" s="718">
        <v>7</v>
      </c>
      <c r="J7" s="718">
        <v>8</v>
      </c>
      <c r="K7" s="718" t="s">
        <v>1165</v>
      </c>
      <c r="L7" s="718" t="s">
        <v>1166</v>
      </c>
      <c r="M7" s="718">
        <v>11</v>
      </c>
      <c r="N7" s="718">
        <v>12</v>
      </c>
      <c r="O7" s="718">
        <v>13</v>
      </c>
      <c r="P7" s="718" t="s">
        <v>1168</v>
      </c>
      <c r="Q7" s="718" t="s">
        <v>1169</v>
      </c>
    </row>
    <row r="8" spans="1:17" s="719" customFormat="1" x14ac:dyDescent="0.3">
      <c r="A8" s="520">
        <v>1</v>
      </c>
      <c r="B8" s="730" t="s">
        <v>1162</v>
      </c>
      <c r="C8" s="744"/>
      <c r="D8" s="744"/>
      <c r="E8" s="731"/>
      <c r="F8" s="731"/>
      <c r="G8" s="731">
        <f>C8+D8-F8</f>
        <v>0</v>
      </c>
      <c r="H8" s="731"/>
      <c r="I8" s="731"/>
      <c r="J8" s="731"/>
      <c r="K8" s="731">
        <f>H8-J8</f>
        <v>0</v>
      </c>
      <c r="L8" s="731">
        <f>C8+H8-J8</f>
        <v>0</v>
      </c>
      <c r="M8" s="731"/>
      <c r="N8" s="731"/>
      <c r="O8" s="731"/>
      <c r="P8" s="731">
        <f>L8+M8-O8</f>
        <v>0</v>
      </c>
      <c r="Q8" s="731">
        <f>L8+M8-O8</f>
        <v>0</v>
      </c>
    </row>
    <row r="9" spans="1:17" s="719" customFormat="1" x14ac:dyDescent="0.3">
      <c r="A9" s="520">
        <v>2</v>
      </c>
      <c r="B9" s="730" t="s">
        <v>1162</v>
      </c>
      <c r="C9" s="744"/>
      <c r="D9" s="744"/>
      <c r="E9" s="731"/>
      <c r="F9" s="731"/>
      <c r="G9" s="731"/>
      <c r="H9" s="731"/>
      <c r="I9" s="731"/>
      <c r="J9" s="731"/>
      <c r="K9" s="731"/>
      <c r="L9" s="731"/>
      <c r="M9" s="731"/>
      <c r="N9" s="731"/>
      <c r="O9" s="731"/>
      <c r="P9" s="731"/>
      <c r="Q9" s="731"/>
    </row>
    <row r="10" spans="1:17" x14ac:dyDescent="0.3">
      <c r="A10" s="520">
        <v>3</v>
      </c>
      <c r="B10" s="521" t="s">
        <v>1162</v>
      </c>
      <c r="C10" s="745"/>
      <c r="D10" s="745"/>
      <c r="E10" s="720"/>
      <c r="F10" s="720"/>
      <c r="G10" s="720"/>
      <c r="H10" s="720"/>
      <c r="I10" s="720"/>
      <c r="J10" s="720"/>
      <c r="K10" s="720"/>
      <c r="L10" s="720"/>
      <c r="M10" s="720"/>
      <c r="N10" s="720"/>
      <c r="O10" s="720"/>
      <c r="P10" s="720"/>
      <c r="Q10" s="720"/>
    </row>
    <row r="11" spans="1:17" s="726" customFormat="1" x14ac:dyDescent="0.3">
      <c r="A11" s="520"/>
      <c r="B11" s="521"/>
      <c r="C11" s="745"/>
      <c r="D11" s="745"/>
      <c r="E11" s="720"/>
      <c r="F11" s="720"/>
      <c r="G11" s="720"/>
      <c r="H11" s="720"/>
      <c r="I11" s="720"/>
      <c r="J11" s="720"/>
      <c r="K11" s="720"/>
      <c r="L11" s="720"/>
      <c r="M11" s="720"/>
      <c r="N11" s="720"/>
      <c r="O11" s="720"/>
      <c r="P11" s="720"/>
      <c r="Q11" s="720"/>
    </row>
    <row r="12" spans="1:17" s="726" customFormat="1" x14ac:dyDescent="0.3">
      <c r="A12" s="520"/>
      <c r="B12" s="521"/>
      <c r="C12" s="745"/>
      <c r="D12" s="745"/>
      <c r="E12" s="720"/>
      <c r="F12" s="720"/>
      <c r="G12" s="720"/>
      <c r="H12" s="720"/>
      <c r="I12" s="720"/>
      <c r="J12" s="720"/>
      <c r="K12" s="720"/>
      <c r="L12" s="720"/>
      <c r="M12" s="720"/>
      <c r="N12" s="720"/>
      <c r="O12" s="720"/>
      <c r="P12" s="720"/>
      <c r="Q12" s="720"/>
    </row>
    <row r="13" spans="1:17" s="732" customFormat="1" x14ac:dyDescent="0.3">
      <c r="A13" s="520"/>
      <c r="B13" s="730"/>
      <c r="C13" s="744"/>
      <c r="D13" s="744"/>
      <c r="E13" s="731"/>
      <c r="F13" s="731"/>
      <c r="G13" s="731"/>
      <c r="H13" s="731"/>
      <c r="I13" s="731"/>
      <c r="J13" s="731"/>
      <c r="K13" s="731"/>
      <c r="L13" s="731"/>
      <c r="M13" s="731"/>
      <c r="N13" s="731"/>
      <c r="O13" s="731"/>
      <c r="P13" s="731"/>
      <c r="Q13" s="731"/>
    </row>
    <row r="14" spans="1:17" x14ac:dyDescent="0.3">
      <c r="A14" s="520"/>
      <c r="B14" s="521"/>
      <c r="C14" s="745"/>
      <c r="D14" s="745"/>
      <c r="E14" s="720"/>
      <c r="F14" s="720"/>
      <c r="G14" s="720"/>
      <c r="H14" s="720"/>
      <c r="I14" s="720"/>
      <c r="J14" s="720"/>
      <c r="K14" s="720"/>
      <c r="L14" s="720"/>
      <c r="M14" s="720"/>
      <c r="N14" s="720"/>
      <c r="O14" s="720"/>
      <c r="P14" s="720"/>
      <c r="Q14" s="720"/>
    </row>
    <row r="15" spans="1:17" x14ac:dyDescent="0.3">
      <c r="A15" s="520"/>
      <c r="B15" s="521"/>
      <c r="C15" s="745"/>
      <c r="D15" s="745"/>
      <c r="E15" s="720"/>
      <c r="F15" s="720"/>
      <c r="G15" s="720"/>
      <c r="H15" s="720"/>
      <c r="I15" s="720"/>
      <c r="J15" s="720"/>
      <c r="K15" s="720"/>
      <c r="L15" s="720"/>
      <c r="M15" s="720"/>
      <c r="N15" s="720"/>
      <c r="O15" s="720"/>
      <c r="P15" s="720"/>
      <c r="Q15" s="720"/>
    </row>
    <row r="16" spans="1:17" s="726" customFormat="1" x14ac:dyDescent="0.3">
      <c r="A16" s="741"/>
      <c r="B16" s="742"/>
      <c r="C16" s="746"/>
      <c r="D16" s="746"/>
      <c r="E16" s="743"/>
      <c r="F16" s="743"/>
      <c r="G16" s="743"/>
      <c r="H16" s="743"/>
      <c r="I16" s="743"/>
      <c r="J16" s="743"/>
      <c r="K16" s="743"/>
      <c r="L16" s="743"/>
      <c r="M16" s="743"/>
      <c r="N16" s="743"/>
      <c r="O16" s="743"/>
      <c r="P16" s="743"/>
      <c r="Q16" s="743"/>
    </row>
    <row r="17" spans="1:17" s="726" customFormat="1" x14ac:dyDescent="0.3">
      <c r="A17" s="741"/>
      <c r="B17" s="742"/>
      <c r="C17" s="746"/>
      <c r="D17" s="746"/>
      <c r="E17" s="743"/>
      <c r="F17" s="743"/>
      <c r="G17" s="743"/>
      <c r="H17" s="743"/>
      <c r="I17" s="743"/>
      <c r="J17" s="743"/>
      <c r="K17" s="743"/>
      <c r="L17" s="743"/>
      <c r="M17" s="743"/>
      <c r="N17" s="743"/>
      <c r="O17" s="743"/>
      <c r="P17" s="743"/>
      <c r="Q17" s="743"/>
    </row>
    <row r="18" spans="1:17" s="732" customFormat="1" x14ac:dyDescent="0.3">
      <c r="A18" s="520"/>
      <c r="B18" s="730"/>
      <c r="C18" s="744"/>
      <c r="D18" s="744"/>
      <c r="E18" s="731"/>
      <c r="F18" s="731"/>
      <c r="G18" s="731"/>
      <c r="H18" s="731"/>
      <c r="I18" s="731"/>
      <c r="J18" s="731"/>
      <c r="K18" s="731"/>
      <c r="L18" s="731"/>
      <c r="M18" s="731"/>
      <c r="N18" s="731"/>
      <c r="O18" s="731"/>
      <c r="P18" s="731"/>
      <c r="Q18" s="731"/>
    </row>
    <row r="19" spans="1:17" s="726" customFormat="1" x14ac:dyDescent="0.3">
      <c r="A19" s="520"/>
      <c r="B19" s="521"/>
      <c r="C19" s="745"/>
      <c r="D19" s="745"/>
      <c r="E19" s="720"/>
      <c r="F19" s="720"/>
      <c r="G19" s="720"/>
      <c r="H19" s="720"/>
      <c r="I19" s="720"/>
      <c r="J19" s="720"/>
      <c r="K19" s="720"/>
      <c r="L19" s="720"/>
      <c r="M19" s="720"/>
      <c r="N19" s="720"/>
      <c r="O19" s="720"/>
      <c r="P19" s="720"/>
      <c r="Q19" s="720"/>
    </row>
    <row r="20" spans="1:17" s="726" customFormat="1" x14ac:dyDescent="0.3">
      <c r="A20" s="520"/>
      <c r="B20" s="521"/>
      <c r="C20" s="745"/>
      <c r="D20" s="745"/>
      <c r="E20" s="720"/>
      <c r="F20" s="720"/>
      <c r="G20" s="720"/>
      <c r="H20" s="720"/>
      <c r="I20" s="720"/>
      <c r="J20" s="720"/>
      <c r="K20" s="720"/>
      <c r="L20" s="720"/>
      <c r="M20" s="720"/>
      <c r="N20" s="720"/>
      <c r="O20" s="720"/>
      <c r="P20" s="720"/>
      <c r="Q20" s="720"/>
    </row>
    <row r="21" spans="1:17" s="719" customFormat="1" x14ac:dyDescent="0.3">
      <c r="A21" s="520"/>
      <c r="B21" s="730"/>
      <c r="C21" s="744"/>
      <c r="D21" s="744"/>
      <c r="E21" s="731"/>
      <c r="F21" s="731"/>
      <c r="G21" s="731"/>
      <c r="H21" s="731"/>
      <c r="I21" s="731"/>
      <c r="J21" s="731"/>
      <c r="K21" s="731"/>
      <c r="L21" s="731"/>
      <c r="M21" s="731"/>
      <c r="N21" s="731"/>
      <c r="O21" s="731"/>
      <c r="P21" s="731"/>
      <c r="Q21" s="731"/>
    </row>
    <row r="22" spans="1:17" s="726" customFormat="1" x14ac:dyDescent="0.3">
      <c r="A22" s="520"/>
      <c r="B22" s="521"/>
      <c r="C22" s="745"/>
      <c r="D22" s="745"/>
      <c r="E22" s="720"/>
      <c r="F22" s="720"/>
      <c r="G22" s="720"/>
      <c r="H22" s="720"/>
      <c r="I22" s="720"/>
      <c r="J22" s="720"/>
      <c r="K22" s="720"/>
      <c r="L22" s="720"/>
      <c r="M22" s="720"/>
      <c r="N22" s="720"/>
      <c r="O22" s="720"/>
      <c r="P22" s="720"/>
      <c r="Q22" s="720"/>
    </row>
    <row r="23" spans="1:17" x14ac:dyDescent="0.3">
      <c r="A23" s="520"/>
      <c r="B23" s="521"/>
      <c r="C23" s="745"/>
      <c r="D23" s="745"/>
      <c r="E23" s="720"/>
      <c r="F23" s="720"/>
      <c r="G23" s="720"/>
      <c r="H23" s="720"/>
      <c r="I23" s="720"/>
      <c r="J23" s="720"/>
      <c r="K23" s="720"/>
      <c r="L23" s="720"/>
      <c r="M23" s="720"/>
      <c r="N23" s="720"/>
      <c r="O23" s="720"/>
      <c r="P23" s="720"/>
      <c r="Q23" s="720"/>
    </row>
    <row r="24" spans="1:17" s="732" customFormat="1" x14ac:dyDescent="0.3">
      <c r="A24" s="520"/>
      <c r="B24" s="730"/>
      <c r="C24" s="744"/>
      <c r="D24" s="744"/>
      <c r="E24" s="731"/>
      <c r="F24" s="731"/>
      <c r="G24" s="731"/>
      <c r="H24" s="731"/>
      <c r="I24" s="731"/>
      <c r="J24" s="731"/>
      <c r="K24" s="731"/>
      <c r="L24" s="731"/>
      <c r="M24" s="731"/>
      <c r="N24" s="731"/>
      <c r="O24" s="731"/>
      <c r="P24" s="731"/>
      <c r="Q24" s="731"/>
    </row>
    <row r="25" spans="1:17" x14ac:dyDescent="0.3">
      <c r="A25" s="520"/>
      <c r="B25" s="521"/>
      <c r="C25" s="745"/>
      <c r="D25" s="745"/>
      <c r="E25" s="720"/>
      <c r="F25" s="720"/>
      <c r="G25" s="720"/>
      <c r="H25" s="720"/>
      <c r="I25" s="720"/>
      <c r="J25" s="720"/>
      <c r="K25" s="720"/>
      <c r="L25" s="720"/>
      <c r="M25" s="720"/>
      <c r="N25" s="720"/>
      <c r="O25" s="720"/>
      <c r="P25" s="720"/>
      <c r="Q25" s="720"/>
    </row>
    <row r="26" spans="1:17" x14ac:dyDescent="0.3">
      <c r="A26" s="520"/>
      <c r="B26" s="521"/>
      <c r="C26" s="745"/>
      <c r="D26" s="745"/>
      <c r="E26" s="720"/>
      <c r="F26" s="720"/>
      <c r="G26" s="720"/>
      <c r="H26" s="720"/>
      <c r="I26" s="720"/>
      <c r="J26" s="720"/>
      <c r="K26" s="720"/>
      <c r="L26" s="720"/>
      <c r="M26" s="720"/>
      <c r="N26" s="720"/>
      <c r="O26" s="720"/>
      <c r="P26" s="720"/>
      <c r="Q26" s="720"/>
    </row>
    <row r="27" spans="1:17" s="719" customFormat="1" x14ac:dyDescent="0.3">
      <c r="A27" s="520"/>
      <c r="B27" s="730"/>
      <c r="C27" s="744"/>
      <c r="D27" s="744"/>
      <c r="E27" s="731"/>
      <c r="F27" s="731"/>
      <c r="G27" s="731"/>
      <c r="H27" s="731"/>
      <c r="I27" s="731"/>
      <c r="J27" s="731"/>
      <c r="K27" s="731"/>
      <c r="L27" s="731"/>
      <c r="M27" s="731"/>
      <c r="N27" s="731"/>
      <c r="O27" s="731"/>
      <c r="P27" s="731"/>
      <c r="Q27" s="731"/>
    </row>
    <row r="28" spans="1:17" x14ac:dyDescent="0.3">
      <c r="A28" s="520"/>
      <c r="B28" s="521"/>
      <c r="C28" s="745"/>
      <c r="D28" s="745"/>
      <c r="E28" s="720"/>
      <c r="F28" s="720"/>
      <c r="G28" s="720"/>
      <c r="H28" s="720"/>
      <c r="I28" s="720"/>
      <c r="J28" s="720"/>
      <c r="K28" s="720"/>
      <c r="L28" s="720"/>
      <c r="M28" s="720"/>
      <c r="N28" s="720"/>
      <c r="O28" s="720"/>
      <c r="P28" s="720"/>
      <c r="Q28" s="720"/>
    </row>
    <row r="29" spans="1:17" x14ac:dyDescent="0.3">
      <c r="A29" s="520"/>
      <c r="B29" s="521"/>
      <c r="C29" s="745"/>
      <c r="D29" s="745"/>
      <c r="E29" s="720"/>
      <c r="F29" s="720"/>
      <c r="G29" s="720"/>
      <c r="H29" s="720"/>
      <c r="I29" s="720"/>
      <c r="J29" s="720"/>
      <c r="K29" s="720"/>
      <c r="L29" s="720"/>
      <c r="M29" s="720"/>
      <c r="N29" s="720"/>
      <c r="O29" s="720"/>
      <c r="P29" s="720"/>
      <c r="Q29" s="720"/>
    </row>
    <row r="30" spans="1:17" s="719" customFormat="1" x14ac:dyDescent="0.3">
      <c r="A30" s="520"/>
      <c r="B30" s="730"/>
      <c r="C30" s="744"/>
      <c r="D30" s="744"/>
      <c r="E30" s="731"/>
      <c r="F30" s="731"/>
      <c r="G30" s="731"/>
      <c r="H30" s="731"/>
      <c r="I30" s="731"/>
      <c r="J30" s="731"/>
      <c r="K30" s="731"/>
      <c r="L30" s="731"/>
      <c r="M30" s="731"/>
      <c r="N30" s="731"/>
      <c r="O30" s="731"/>
      <c r="P30" s="731"/>
      <c r="Q30" s="731"/>
    </row>
    <row r="31" spans="1:17" x14ac:dyDescent="0.3">
      <c r="A31" s="520"/>
      <c r="B31" s="521"/>
      <c r="C31" s="745"/>
      <c r="D31" s="745"/>
      <c r="E31" s="720"/>
      <c r="F31" s="720"/>
      <c r="G31" s="720"/>
      <c r="H31" s="720"/>
      <c r="I31" s="720"/>
      <c r="J31" s="720"/>
      <c r="K31" s="720"/>
      <c r="L31" s="720"/>
      <c r="M31" s="720"/>
      <c r="N31" s="720"/>
      <c r="O31" s="720"/>
      <c r="P31" s="720"/>
      <c r="Q31" s="720"/>
    </row>
    <row r="32" spans="1:17" x14ac:dyDescent="0.3">
      <c r="A32" s="520"/>
      <c r="B32" s="521"/>
      <c r="C32" s="745"/>
      <c r="D32" s="745"/>
      <c r="E32" s="720"/>
      <c r="F32" s="720"/>
      <c r="G32" s="720"/>
      <c r="H32" s="720"/>
      <c r="I32" s="720"/>
      <c r="J32" s="720"/>
      <c r="K32" s="720"/>
      <c r="L32" s="720"/>
      <c r="M32" s="720"/>
      <c r="N32" s="720"/>
      <c r="O32" s="720"/>
      <c r="P32" s="720"/>
      <c r="Q32" s="720"/>
    </row>
    <row r="33" spans="1:17" s="719" customFormat="1" x14ac:dyDescent="0.3">
      <c r="A33" s="520"/>
      <c r="B33" s="730"/>
      <c r="C33" s="744"/>
      <c r="D33" s="744"/>
      <c r="E33" s="731"/>
      <c r="F33" s="731"/>
      <c r="G33" s="731"/>
      <c r="H33" s="731"/>
      <c r="I33" s="731"/>
      <c r="J33" s="731"/>
      <c r="K33" s="731"/>
      <c r="L33" s="731"/>
      <c r="M33" s="731"/>
      <c r="N33" s="731"/>
      <c r="O33" s="731"/>
      <c r="P33" s="731"/>
      <c r="Q33" s="731"/>
    </row>
    <row r="34" spans="1:17" x14ac:dyDescent="0.3">
      <c r="A34" s="520"/>
      <c r="B34" s="521"/>
      <c r="C34" s="745"/>
      <c r="D34" s="745"/>
      <c r="E34" s="720"/>
      <c r="F34" s="720"/>
      <c r="G34" s="720"/>
      <c r="H34" s="720"/>
      <c r="I34" s="720"/>
      <c r="J34" s="720"/>
      <c r="K34" s="720"/>
      <c r="L34" s="720"/>
      <c r="M34" s="720"/>
      <c r="N34" s="720"/>
      <c r="O34" s="720"/>
      <c r="P34" s="720"/>
      <c r="Q34" s="720"/>
    </row>
    <row r="35" spans="1:17" x14ac:dyDescent="0.3">
      <c r="A35" s="520"/>
      <c r="B35" s="521"/>
      <c r="C35" s="745"/>
      <c r="D35" s="745"/>
      <c r="E35" s="720"/>
      <c r="F35" s="720"/>
      <c r="G35" s="720"/>
      <c r="H35" s="720"/>
      <c r="I35" s="720"/>
      <c r="J35" s="720"/>
      <c r="K35" s="720"/>
      <c r="L35" s="720"/>
      <c r="M35" s="720"/>
      <c r="N35" s="720"/>
      <c r="O35" s="720"/>
      <c r="P35" s="720"/>
      <c r="Q35" s="720"/>
    </row>
    <row r="36" spans="1:17" x14ac:dyDescent="0.3">
      <c r="A36" s="520"/>
      <c r="B36" s="521"/>
      <c r="C36" s="745"/>
      <c r="D36" s="745"/>
      <c r="E36" s="720"/>
      <c r="F36" s="720"/>
      <c r="G36" s="720"/>
      <c r="H36" s="720"/>
      <c r="I36" s="720"/>
      <c r="J36" s="720"/>
      <c r="K36" s="720"/>
      <c r="L36" s="720"/>
      <c r="M36" s="720"/>
      <c r="N36" s="720"/>
      <c r="O36" s="720"/>
      <c r="P36" s="720"/>
      <c r="Q36" s="720"/>
    </row>
    <row r="37" spans="1:17" s="524" customFormat="1" x14ac:dyDescent="0.3">
      <c r="A37" s="520"/>
      <c r="B37" s="521"/>
      <c r="C37" s="745"/>
      <c r="D37" s="745"/>
      <c r="E37" s="720"/>
      <c r="F37" s="720"/>
      <c r="G37" s="720"/>
      <c r="H37" s="720"/>
      <c r="I37" s="720"/>
      <c r="J37" s="720"/>
      <c r="K37" s="720"/>
      <c r="L37" s="720"/>
      <c r="M37" s="720"/>
      <c r="N37" s="720"/>
      <c r="O37" s="720"/>
      <c r="P37" s="720"/>
      <c r="Q37" s="720"/>
    </row>
    <row r="38" spans="1:17" s="733" customFormat="1" x14ac:dyDescent="0.3">
      <c r="A38" s="520"/>
      <c r="B38" s="730"/>
      <c r="C38" s="744"/>
      <c r="D38" s="744"/>
      <c r="E38" s="731"/>
      <c r="F38" s="731"/>
      <c r="G38" s="731"/>
      <c r="H38" s="731"/>
      <c r="I38" s="731"/>
      <c r="J38" s="731"/>
      <c r="K38" s="731"/>
      <c r="L38" s="731"/>
      <c r="M38" s="731"/>
      <c r="N38" s="731"/>
      <c r="O38" s="731"/>
      <c r="P38" s="731"/>
      <c r="Q38" s="731"/>
    </row>
    <row r="39" spans="1:17" s="524" customFormat="1" x14ac:dyDescent="0.3">
      <c r="A39" s="520"/>
      <c r="B39" s="521"/>
      <c r="C39" s="745"/>
      <c r="D39" s="745"/>
      <c r="E39" s="720"/>
      <c r="F39" s="720"/>
      <c r="G39" s="720"/>
      <c r="H39" s="720"/>
      <c r="I39" s="720"/>
      <c r="J39" s="720"/>
      <c r="K39" s="720"/>
      <c r="L39" s="720"/>
      <c r="M39" s="720"/>
      <c r="N39" s="720"/>
      <c r="O39" s="720"/>
      <c r="P39" s="720"/>
      <c r="Q39" s="720"/>
    </row>
    <row r="40" spans="1:17" s="524" customFormat="1" x14ac:dyDescent="0.3">
      <c r="A40" s="520"/>
      <c r="B40" s="521"/>
      <c r="C40" s="745"/>
      <c r="D40" s="745"/>
      <c r="E40" s="720"/>
      <c r="F40" s="720"/>
      <c r="G40" s="720"/>
      <c r="H40" s="720"/>
      <c r="I40" s="720"/>
      <c r="J40" s="720"/>
      <c r="K40" s="720"/>
      <c r="L40" s="720"/>
      <c r="M40" s="720"/>
      <c r="N40" s="720"/>
      <c r="O40" s="720"/>
      <c r="P40" s="720"/>
      <c r="Q40" s="720"/>
    </row>
    <row r="41" spans="1:17" s="719" customFormat="1" x14ac:dyDescent="0.3">
      <c r="A41" s="520"/>
      <c r="B41" s="730"/>
      <c r="C41" s="744"/>
      <c r="D41" s="744"/>
      <c r="E41" s="731"/>
      <c r="F41" s="731"/>
      <c r="G41" s="731"/>
      <c r="H41" s="731"/>
      <c r="I41" s="731"/>
      <c r="J41" s="731"/>
      <c r="K41" s="731"/>
      <c r="L41" s="731"/>
      <c r="M41" s="731"/>
      <c r="N41" s="731"/>
      <c r="O41" s="731"/>
      <c r="P41" s="731"/>
      <c r="Q41" s="731"/>
    </row>
    <row r="42" spans="1:17" x14ac:dyDescent="0.3">
      <c r="A42" s="520"/>
      <c r="B42" s="521"/>
      <c r="C42" s="745"/>
      <c r="D42" s="745"/>
      <c r="E42" s="720"/>
      <c r="F42" s="720"/>
      <c r="G42" s="720"/>
      <c r="H42" s="720"/>
      <c r="I42" s="720"/>
      <c r="J42" s="720"/>
      <c r="K42" s="720"/>
      <c r="L42" s="720"/>
      <c r="M42" s="720"/>
      <c r="N42" s="720"/>
      <c r="O42" s="720"/>
      <c r="P42" s="720"/>
      <c r="Q42" s="720"/>
    </row>
    <row r="43" spans="1:17" x14ac:dyDescent="0.3">
      <c r="A43" s="520"/>
      <c r="B43" s="521"/>
      <c r="C43" s="745"/>
      <c r="D43" s="745"/>
      <c r="E43" s="720"/>
      <c r="F43" s="720"/>
      <c r="G43" s="720"/>
      <c r="H43" s="720"/>
      <c r="I43" s="720"/>
      <c r="J43" s="720"/>
      <c r="K43" s="720"/>
      <c r="L43" s="720"/>
      <c r="M43" s="720"/>
      <c r="N43" s="720"/>
      <c r="O43" s="720"/>
      <c r="P43" s="720"/>
      <c r="Q43" s="720"/>
    </row>
    <row r="44" spans="1:17" s="719" customFormat="1" x14ac:dyDescent="0.3">
      <c r="A44" s="520"/>
      <c r="B44" s="730"/>
      <c r="C44" s="744"/>
      <c r="D44" s="744"/>
      <c r="E44" s="731"/>
      <c r="F44" s="731"/>
      <c r="G44" s="731"/>
      <c r="H44" s="731"/>
      <c r="I44" s="731"/>
      <c r="J44" s="731"/>
      <c r="K44" s="731"/>
      <c r="L44" s="731"/>
      <c r="M44" s="731"/>
      <c r="N44" s="731"/>
      <c r="O44" s="731"/>
      <c r="P44" s="731"/>
      <c r="Q44" s="731"/>
    </row>
    <row r="45" spans="1:17" x14ac:dyDescent="0.3">
      <c r="A45" s="520"/>
      <c r="B45" s="521"/>
      <c r="C45" s="745"/>
      <c r="D45" s="745"/>
      <c r="E45" s="720"/>
      <c r="F45" s="720"/>
      <c r="G45" s="720"/>
      <c r="H45" s="720"/>
      <c r="I45" s="720"/>
      <c r="J45" s="720"/>
      <c r="K45" s="720"/>
      <c r="L45" s="720"/>
      <c r="M45" s="720"/>
      <c r="N45" s="720"/>
      <c r="O45" s="720"/>
      <c r="P45" s="720"/>
      <c r="Q45" s="720"/>
    </row>
    <row r="46" spans="1:17" x14ac:dyDescent="0.3">
      <c r="A46" s="520"/>
      <c r="B46" s="521"/>
      <c r="C46" s="745"/>
      <c r="D46" s="745"/>
      <c r="E46" s="720"/>
      <c r="F46" s="720"/>
      <c r="G46" s="720"/>
      <c r="H46" s="720"/>
      <c r="I46" s="720"/>
      <c r="J46" s="720"/>
      <c r="K46" s="720"/>
      <c r="L46" s="720"/>
      <c r="M46" s="720"/>
      <c r="N46" s="720"/>
      <c r="O46" s="720"/>
      <c r="P46" s="720"/>
      <c r="Q46" s="720"/>
    </row>
    <row r="47" spans="1:17" s="719" customFormat="1" x14ac:dyDescent="0.3">
      <c r="A47" s="520"/>
      <c r="B47" s="730"/>
      <c r="C47" s="744"/>
      <c r="D47" s="744"/>
      <c r="E47" s="731"/>
      <c r="F47" s="731"/>
      <c r="G47" s="731"/>
      <c r="H47" s="731"/>
      <c r="I47" s="731"/>
      <c r="J47" s="731"/>
      <c r="K47" s="731"/>
      <c r="L47" s="731"/>
      <c r="M47" s="731"/>
      <c r="N47" s="731"/>
      <c r="O47" s="731"/>
      <c r="P47" s="731"/>
      <c r="Q47" s="731"/>
    </row>
    <row r="48" spans="1:17" x14ac:dyDescent="0.3">
      <c r="A48" s="520"/>
      <c r="B48" s="521"/>
      <c r="C48" s="745"/>
      <c r="D48" s="745"/>
      <c r="E48" s="720"/>
      <c r="F48" s="720"/>
      <c r="G48" s="720"/>
      <c r="H48" s="720"/>
      <c r="I48" s="720"/>
      <c r="J48" s="720"/>
      <c r="K48" s="720"/>
      <c r="L48" s="720"/>
      <c r="M48" s="720"/>
      <c r="N48" s="720"/>
      <c r="O48" s="720"/>
      <c r="P48" s="720"/>
      <c r="Q48" s="720"/>
    </row>
    <row r="49" spans="1:17" x14ac:dyDescent="0.3">
      <c r="A49" s="520"/>
      <c r="B49" s="521"/>
      <c r="C49" s="745"/>
      <c r="D49" s="745"/>
      <c r="E49" s="720"/>
      <c r="F49" s="720"/>
      <c r="G49" s="720"/>
      <c r="H49" s="720"/>
      <c r="I49" s="720"/>
      <c r="J49" s="720"/>
      <c r="K49" s="720"/>
      <c r="L49" s="720"/>
      <c r="M49" s="720"/>
      <c r="N49" s="720"/>
      <c r="O49" s="720"/>
      <c r="P49" s="720"/>
      <c r="Q49" s="720"/>
    </row>
    <row r="50" spans="1:17" s="734" customFormat="1" x14ac:dyDescent="0.3">
      <c r="A50" s="520"/>
      <c r="B50" s="730"/>
      <c r="C50" s="744"/>
      <c r="D50" s="744"/>
      <c r="E50" s="731"/>
      <c r="F50" s="731"/>
      <c r="G50" s="731"/>
      <c r="H50" s="731"/>
      <c r="I50" s="731"/>
      <c r="J50" s="731"/>
      <c r="K50" s="731"/>
      <c r="L50" s="731"/>
      <c r="M50" s="731"/>
      <c r="N50" s="731"/>
      <c r="O50" s="731"/>
      <c r="P50" s="731"/>
      <c r="Q50" s="731"/>
    </row>
    <row r="51" spans="1:17" s="719" customFormat="1" x14ac:dyDescent="0.3">
      <c r="A51" s="520"/>
      <c r="B51" s="730"/>
      <c r="C51" s="744"/>
      <c r="D51" s="744"/>
      <c r="E51" s="731"/>
      <c r="F51" s="731"/>
      <c r="G51" s="731"/>
      <c r="H51" s="731"/>
      <c r="I51" s="731"/>
      <c r="J51" s="731"/>
      <c r="K51" s="731"/>
      <c r="L51" s="731"/>
      <c r="M51" s="731"/>
      <c r="N51" s="731"/>
      <c r="O51" s="731"/>
      <c r="P51" s="731"/>
      <c r="Q51" s="731"/>
    </row>
    <row r="52" spans="1:17" s="719" customFormat="1" x14ac:dyDescent="0.3">
      <c r="A52" s="520"/>
      <c r="B52" s="730"/>
      <c r="C52" s="744"/>
      <c r="D52" s="744"/>
      <c r="E52" s="731"/>
      <c r="F52" s="731"/>
      <c r="G52" s="731"/>
      <c r="H52" s="731"/>
      <c r="I52" s="731"/>
      <c r="J52" s="731"/>
      <c r="K52" s="731"/>
      <c r="L52" s="731"/>
      <c r="M52" s="731"/>
      <c r="N52" s="731"/>
      <c r="O52" s="731"/>
      <c r="P52" s="731"/>
      <c r="Q52" s="731"/>
    </row>
    <row r="53" spans="1:17" s="719" customFormat="1" x14ac:dyDescent="0.3">
      <c r="A53" s="520"/>
      <c r="B53" s="730"/>
      <c r="C53" s="744"/>
      <c r="D53" s="744"/>
      <c r="E53" s="731"/>
      <c r="F53" s="731"/>
      <c r="G53" s="731"/>
      <c r="H53" s="731"/>
      <c r="I53" s="731"/>
      <c r="J53" s="731"/>
      <c r="K53" s="731"/>
      <c r="L53" s="731"/>
      <c r="M53" s="731"/>
      <c r="N53" s="731"/>
      <c r="O53" s="731"/>
      <c r="P53" s="731"/>
      <c r="Q53" s="731"/>
    </row>
    <row r="54" spans="1:17" s="719" customFormat="1" x14ac:dyDescent="0.3">
      <c r="A54" s="520"/>
      <c r="B54" s="730"/>
      <c r="C54" s="744"/>
      <c r="D54" s="744"/>
      <c r="E54" s="731"/>
      <c r="F54" s="731"/>
      <c r="G54" s="731"/>
      <c r="H54" s="731"/>
      <c r="I54" s="731"/>
      <c r="J54" s="731"/>
      <c r="K54" s="731"/>
      <c r="L54" s="731"/>
      <c r="M54" s="731"/>
      <c r="N54" s="731"/>
      <c r="O54" s="731"/>
      <c r="P54" s="731"/>
      <c r="Q54" s="731"/>
    </row>
    <row r="55" spans="1:17" x14ac:dyDescent="0.3">
      <c r="A55" s="520"/>
      <c r="B55" s="521"/>
      <c r="C55" s="745"/>
      <c r="D55" s="745"/>
      <c r="E55" s="720"/>
      <c r="F55" s="720"/>
      <c r="G55" s="720"/>
      <c r="H55" s="720"/>
      <c r="I55" s="720"/>
      <c r="J55" s="720"/>
      <c r="K55" s="720"/>
      <c r="L55" s="720"/>
      <c r="M55" s="720"/>
      <c r="N55" s="720"/>
      <c r="O55" s="720"/>
      <c r="P55" s="720"/>
      <c r="Q55" s="720"/>
    </row>
    <row r="56" spans="1:17" x14ac:dyDescent="0.3">
      <c r="A56" s="520"/>
      <c r="B56" s="521"/>
      <c r="C56" s="745"/>
      <c r="D56" s="745"/>
      <c r="E56" s="720"/>
      <c r="F56" s="720"/>
      <c r="G56" s="720"/>
      <c r="H56" s="720"/>
      <c r="I56" s="720"/>
      <c r="J56" s="720"/>
      <c r="K56" s="720"/>
      <c r="L56" s="720"/>
      <c r="M56" s="720"/>
      <c r="N56" s="720"/>
      <c r="O56" s="720"/>
      <c r="P56" s="720"/>
      <c r="Q56" s="720"/>
    </row>
    <row r="57" spans="1:17" s="719" customFormat="1" x14ac:dyDescent="0.3">
      <c r="A57" s="520"/>
      <c r="B57" s="730"/>
      <c r="C57" s="744"/>
      <c r="D57" s="744"/>
      <c r="E57" s="731"/>
      <c r="F57" s="731"/>
      <c r="G57" s="731"/>
      <c r="H57" s="731"/>
      <c r="I57" s="731"/>
      <c r="J57" s="731"/>
      <c r="K57" s="731"/>
      <c r="L57" s="731"/>
      <c r="M57" s="731"/>
      <c r="N57" s="731"/>
      <c r="O57" s="731"/>
      <c r="P57" s="731"/>
      <c r="Q57" s="731"/>
    </row>
    <row r="58" spans="1:17" x14ac:dyDescent="0.3">
      <c r="A58" s="520"/>
      <c r="B58" s="521"/>
      <c r="C58" s="745"/>
      <c r="D58" s="745"/>
      <c r="E58" s="720"/>
      <c r="F58" s="720"/>
      <c r="G58" s="720"/>
      <c r="H58" s="720"/>
      <c r="I58" s="720"/>
      <c r="J58" s="720"/>
      <c r="K58" s="720"/>
      <c r="L58" s="720"/>
      <c r="M58" s="720"/>
      <c r="N58" s="720"/>
      <c r="O58" s="720"/>
      <c r="P58" s="720"/>
      <c r="Q58" s="720"/>
    </row>
    <row r="59" spans="1:17" x14ac:dyDescent="0.3">
      <c r="A59" s="520"/>
      <c r="B59" s="521"/>
      <c r="C59" s="745"/>
      <c r="D59" s="745"/>
      <c r="E59" s="720"/>
      <c r="F59" s="720"/>
      <c r="G59" s="720"/>
      <c r="H59" s="720"/>
      <c r="I59" s="720"/>
      <c r="J59" s="720"/>
      <c r="K59" s="720"/>
      <c r="L59" s="720"/>
      <c r="M59" s="720"/>
      <c r="N59" s="720"/>
      <c r="O59" s="720"/>
      <c r="P59" s="720"/>
      <c r="Q59" s="720"/>
    </row>
    <row r="60" spans="1:17" s="517" customFormat="1" x14ac:dyDescent="0.3">
      <c r="A60" s="520"/>
      <c r="B60" s="730"/>
      <c r="C60" s="744"/>
      <c r="D60" s="744"/>
      <c r="E60" s="731"/>
      <c r="F60" s="731"/>
      <c r="G60" s="731"/>
      <c r="H60" s="731"/>
      <c r="I60" s="731"/>
      <c r="J60" s="731"/>
      <c r="K60" s="731"/>
      <c r="L60" s="731"/>
      <c r="M60" s="731"/>
      <c r="N60" s="731"/>
      <c r="O60" s="731"/>
      <c r="P60" s="731"/>
      <c r="Q60" s="731"/>
    </row>
    <row r="61" spans="1:17" x14ac:dyDescent="0.3">
      <c r="A61" s="520"/>
      <c r="B61" s="521"/>
      <c r="C61" s="745"/>
      <c r="D61" s="745"/>
      <c r="E61" s="720"/>
      <c r="F61" s="720"/>
      <c r="G61" s="720"/>
      <c r="H61" s="720"/>
      <c r="I61" s="720"/>
      <c r="J61" s="720"/>
      <c r="K61" s="720"/>
      <c r="L61" s="720"/>
      <c r="M61" s="720"/>
      <c r="N61" s="720"/>
      <c r="O61" s="720"/>
      <c r="P61" s="720"/>
      <c r="Q61" s="720"/>
    </row>
    <row r="62" spans="1:17" x14ac:dyDescent="0.3">
      <c r="A62" s="520"/>
      <c r="B62" s="521"/>
      <c r="C62" s="745"/>
      <c r="D62" s="745"/>
      <c r="E62" s="720"/>
      <c r="F62" s="720"/>
      <c r="G62" s="720"/>
      <c r="H62" s="720"/>
      <c r="I62" s="720"/>
      <c r="J62" s="720"/>
      <c r="K62" s="720"/>
      <c r="L62" s="720"/>
      <c r="M62" s="720"/>
      <c r="N62" s="720"/>
      <c r="O62" s="720"/>
      <c r="P62" s="720"/>
      <c r="Q62" s="720"/>
    </row>
    <row r="63" spans="1:17" s="719" customFormat="1" x14ac:dyDescent="0.3">
      <c r="A63" s="520"/>
      <c r="B63" s="730"/>
      <c r="C63" s="744"/>
      <c r="D63" s="744"/>
      <c r="E63" s="731"/>
      <c r="F63" s="731"/>
      <c r="G63" s="731"/>
      <c r="H63" s="731"/>
      <c r="I63" s="731"/>
      <c r="J63" s="731"/>
      <c r="K63" s="731"/>
      <c r="L63" s="731"/>
      <c r="M63" s="731"/>
      <c r="N63" s="731"/>
      <c r="O63" s="731"/>
      <c r="P63" s="731"/>
      <c r="Q63" s="731"/>
    </row>
    <row r="64" spans="1:17" x14ac:dyDescent="0.3">
      <c r="A64" s="735"/>
      <c r="B64" s="736"/>
      <c r="C64" s="747"/>
      <c r="D64" s="747"/>
      <c r="E64" s="737"/>
      <c r="F64" s="737"/>
      <c r="G64" s="737"/>
      <c r="H64" s="737"/>
      <c r="I64" s="737"/>
      <c r="J64" s="737"/>
      <c r="K64" s="737"/>
      <c r="L64" s="737"/>
      <c r="M64" s="737"/>
      <c r="N64" s="737"/>
      <c r="O64" s="737"/>
      <c r="P64" s="737"/>
      <c r="Q64" s="737"/>
    </row>
    <row r="65" spans="1:17" x14ac:dyDescent="0.3">
      <c r="A65" s="738"/>
      <c r="B65" s="739"/>
      <c r="C65" s="748"/>
      <c r="D65" s="748"/>
      <c r="E65" s="740"/>
      <c r="F65" s="740"/>
      <c r="G65" s="740"/>
      <c r="H65" s="740"/>
      <c r="I65" s="740"/>
      <c r="J65" s="740"/>
      <c r="K65" s="740"/>
      <c r="L65" s="740"/>
      <c r="M65" s="740"/>
      <c r="N65" s="740"/>
      <c r="O65" s="740"/>
      <c r="P65" s="740"/>
      <c r="Q65" s="740"/>
    </row>
  </sheetData>
  <mergeCells count="18">
    <mergeCell ref="O5:O6"/>
    <mergeCell ref="P5:P6"/>
    <mergeCell ref="A2:Q2"/>
    <mergeCell ref="L4:L6"/>
    <mergeCell ref="F5:F6"/>
    <mergeCell ref="G5:G6"/>
    <mergeCell ref="J5:J6"/>
    <mergeCell ref="K5:K6"/>
    <mergeCell ref="M4:P4"/>
    <mergeCell ref="D4:G4"/>
    <mergeCell ref="H4:K4"/>
    <mergeCell ref="C4:C6"/>
    <mergeCell ref="B4:B6"/>
    <mergeCell ref="A4:A6"/>
    <mergeCell ref="D5:E5"/>
    <mergeCell ref="H5:I5"/>
    <mergeCell ref="Q4:Q6"/>
    <mergeCell ref="M5:N5"/>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2"/>
  <sheetViews>
    <sheetView topLeftCell="A5" zoomScale="91" zoomScaleNormal="91" workbookViewId="0">
      <pane xSplit="2" ySplit="8" topLeftCell="D13" activePane="bottomRight" state="frozen"/>
      <selection activeCell="D13" sqref="D13"/>
      <selection pane="topRight" activeCell="D13" sqref="D13"/>
      <selection pane="bottomLeft" activeCell="D13" sqref="D13"/>
      <selection pane="bottomRight" activeCell="D13" sqref="D13"/>
    </sheetView>
  </sheetViews>
  <sheetFormatPr defaultColWidth="7.75" defaultRowHeight="18.75" x14ac:dyDescent="0.3"/>
  <cols>
    <col min="1" max="1" width="57.875" style="675" customWidth="1"/>
    <col min="2" max="2" width="12.5" style="675" customWidth="1"/>
    <col min="3" max="3" width="12.5" style="675" hidden="1" customWidth="1"/>
    <col min="4" max="4" width="12.5" style="675" customWidth="1"/>
    <col min="5" max="6" width="12.5" style="675" hidden="1" customWidth="1"/>
    <col min="7" max="8" width="12.5" style="675" customWidth="1"/>
    <col min="9" max="9" width="12.875" style="675" customWidth="1"/>
    <col min="10" max="16384" width="7.75" style="675"/>
  </cols>
  <sheetData>
    <row r="1" spans="1:99" x14ac:dyDescent="0.3">
      <c r="A1" s="1401" t="s">
        <v>1461</v>
      </c>
      <c r="B1" s="1401"/>
      <c r="C1" s="1401"/>
      <c r="D1" s="1401"/>
      <c r="E1" s="1401"/>
      <c r="F1" s="1401"/>
      <c r="G1" s="1401"/>
      <c r="H1" s="1401"/>
      <c r="AD1" s="675" t="s">
        <v>1537</v>
      </c>
      <c r="AI1" s="1268"/>
      <c r="AQ1" s="1268"/>
      <c r="AY1" s="1268"/>
      <c r="BG1" s="1268"/>
      <c r="BO1" s="1268"/>
      <c r="BW1" s="1268"/>
      <c r="CE1" s="1268"/>
      <c r="CM1" s="1268"/>
      <c r="CU1" s="1268"/>
    </row>
    <row r="2" spans="1:99" x14ac:dyDescent="0.3">
      <c r="A2" s="1402" t="s">
        <v>846</v>
      </c>
      <c r="B2" s="1402"/>
      <c r="C2" s="1402"/>
      <c r="D2" s="1402"/>
      <c r="E2" s="1402"/>
      <c r="F2" s="1402"/>
      <c r="G2" s="1402"/>
      <c r="H2" s="1402"/>
    </row>
    <row r="3" spans="1:99" x14ac:dyDescent="0.3">
      <c r="A3" s="676"/>
      <c r="B3" s="677"/>
      <c r="C3" s="676"/>
      <c r="D3" s="678"/>
      <c r="E3" s="678"/>
      <c r="F3" s="676"/>
      <c r="G3" s="676"/>
    </row>
    <row r="4" spans="1:99" ht="67.5" customHeight="1" x14ac:dyDescent="0.3">
      <c r="A4" s="1403" t="s">
        <v>1542</v>
      </c>
      <c r="B4" s="1404" t="s">
        <v>1531</v>
      </c>
      <c r="C4" s="1404"/>
      <c r="D4" s="1404" t="s">
        <v>1023</v>
      </c>
      <c r="E4" s="1404"/>
      <c r="F4" s="1404"/>
      <c r="G4" s="1405" t="s">
        <v>1462</v>
      </c>
      <c r="H4" s="1405"/>
    </row>
    <row r="5" spans="1:99" ht="56.25" x14ac:dyDescent="0.3">
      <c r="A5" s="1403"/>
      <c r="B5" s="1160" t="s">
        <v>1457</v>
      </c>
      <c r="C5" s="1160" t="s">
        <v>1463</v>
      </c>
      <c r="D5" s="1160" t="s">
        <v>1216</v>
      </c>
      <c r="E5" s="1160" t="s">
        <v>997</v>
      </c>
      <c r="F5" s="1160" t="s">
        <v>998</v>
      </c>
      <c r="G5" s="1161" t="s">
        <v>999</v>
      </c>
      <c r="H5" s="1161" t="s">
        <v>1000</v>
      </c>
    </row>
    <row r="6" spans="1:99" x14ac:dyDescent="0.3">
      <c r="A6" s="686">
        <v>1</v>
      </c>
      <c r="B6" s="679">
        <f>A6+1</f>
        <v>2</v>
      </c>
      <c r="C6" s="679">
        <f>B6+1</f>
        <v>3</v>
      </c>
      <c r="D6" s="679">
        <v>3</v>
      </c>
      <c r="E6" s="679">
        <f>D6+1</f>
        <v>4</v>
      </c>
      <c r="F6" s="679">
        <f>E6+1</f>
        <v>5</v>
      </c>
      <c r="G6" s="679" t="s">
        <v>1466</v>
      </c>
      <c r="H6" s="679" t="s">
        <v>1467</v>
      </c>
    </row>
    <row r="7" spans="1:99" ht="24" customHeight="1" x14ac:dyDescent="0.3">
      <c r="A7" s="687" t="s">
        <v>1021</v>
      </c>
      <c r="B7" s="1162">
        <f t="shared" ref="B7:G7" si="0">SUM(B8,B12,B13,B16,B17)</f>
        <v>12356552</v>
      </c>
      <c r="C7" s="1162" t="e">
        <f t="shared" si="0"/>
        <v>#REF!</v>
      </c>
      <c r="D7" s="1162">
        <f t="shared" si="0"/>
        <v>12692115</v>
      </c>
      <c r="E7" s="1162">
        <f t="shared" si="0"/>
        <v>0</v>
      </c>
      <c r="F7" s="1162">
        <f t="shared" si="0"/>
        <v>11388606</v>
      </c>
      <c r="G7" s="1162">
        <f t="shared" si="0"/>
        <v>335563</v>
      </c>
      <c r="H7" s="1163">
        <f>D7/B7%</f>
        <v>102.71566857809525</v>
      </c>
    </row>
    <row r="8" spans="1:99" ht="24" customHeight="1" x14ac:dyDescent="0.3">
      <c r="A8" s="688" t="s">
        <v>1001</v>
      </c>
      <c r="B8" s="1164">
        <f>'Phụ lục số 3-thu bs'!C8</f>
        <v>6718700</v>
      </c>
      <c r="C8" s="1164" t="e">
        <f>#REF!</f>
        <v>#REF!</v>
      </c>
      <c r="D8" s="1164">
        <f>'Phụ lục số 3-thu bs'!I8</f>
        <v>6480440</v>
      </c>
      <c r="E8" s="1164"/>
      <c r="F8" s="1164">
        <f>D8</f>
        <v>6480440</v>
      </c>
      <c r="G8" s="1165">
        <f>D8-B8</f>
        <v>-238260</v>
      </c>
      <c r="H8" s="1164">
        <f>D8/B8%</f>
        <v>96.453778260675435</v>
      </c>
    </row>
    <row r="9" spans="1:99" ht="24" customHeight="1" x14ac:dyDescent="0.3">
      <c r="A9" s="218" t="s">
        <v>1465</v>
      </c>
      <c r="B9" s="1164">
        <f>'Phụ lục số 3-thu bs'!C9</f>
        <v>600000</v>
      </c>
      <c r="C9" s="1164"/>
      <c r="D9" s="1164">
        <f>'Phụ lục số 3-thu bs'!I9</f>
        <v>750000</v>
      </c>
      <c r="E9" s="1164"/>
      <c r="F9" s="1164"/>
      <c r="G9" s="1165">
        <f>D9-B9</f>
        <v>150000</v>
      </c>
      <c r="H9" s="1164"/>
    </row>
    <row r="10" spans="1:99" ht="24" customHeight="1" x14ac:dyDescent="0.3">
      <c r="A10" s="218" t="s">
        <v>644</v>
      </c>
      <c r="B10" s="1164">
        <f>'Phụ lục số 3-thu bs'!C10</f>
        <v>1460000</v>
      </c>
      <c r="C10" s="1164"/>
      <c r="D10" s="1164">
        <f>'Phụ lục số 3-thu bs'!I10</f>
        <v>1500000</v>
      </c>
      <c r="E10" s="1164"/>
      <c r="F10" s="1164"/>
      <c r="G10" s="1165">
        <f>D10-B10</f>
        <v>40000</v>
      </c>
      <c r="H10" s="1164"/>
    </row>
    <row r="11" spans="1:99" ht="24" customHeight="1" x14ac:dyDescent="0.3">
      <c r="A11" s="218" t="s">
        <v>643</v>
      </c>
      <c r="B11" s="1164">
        <f>B8-B9-B10</f>
        <v>4658700</v>
      </c>
      <c r="C11" s="1164"/>
      <c r="D11" s="1164">
        <f>D8-D9-D10</f>
        <v>4230440</v>
      </c>
      <c r="E11" s="1164"/>
      <c r="F11" s="1164"/>
      <c r="G11" s="1165">
        <f>D11-B11</f>
        <v>-428260</v>
      </c>
      <c r="H11" s="1164"/>
    </row>
    <row r="12" spans="1:99" ht="24" customHeight="1" x14ac:dyDescent="0.3">
      <c r="A12" s="688" t="s">
        <v>1002</v>
      </c>
      <c r="B12" s="1164">
        <f>'Phụ lục số 3'!C13</f>
        <v>4883126</v>
      </c>
      <c r="C12" s="1164">
        <f>B12</f>
        <v>4883126</v>
      </c>
      <c r="D12" s="1164">
        <f>B12</f>
        <v>4883126</v>
      </c>
      <c r="E12" s="1164"/>
      <c r="F12" s="1164">
        <f>D12</f>
        <v>4883126</v>
      </c>
      <c r="G12" s="1165">
        <f>D12-B12</f>
        <v>0</v>
      </c>
      <c r="H12" s="1164">
        <f>D12/B12%</f>
        <v>100</v>
      </c>
    </row>
    <row r="13" spans="1:99" ht="38.25" customHeight="1" x14ac:dyDescent="0.3">
      <c r="A13" s="689" t="s">
        <v>1459</v>
      </c>
      <c r="B13" s="1164">
        <f t="shared" ref="B13:G13" si="1">SUM(B14:B15)</f>
        <v>336432</v>
      </c>
      <c r="C13" s="1164">
        <f t="shared" si="1"/>
        <v>336432</v>
      </c>
      <c r="D13" s="1164">
        <f t="shared" si="1"/>
        <v>511676</v>
      </c>
      <c r="E13" s="1164">
        <f t="shared" si="1"/>
        <v>0</v>
      </c>
      <c r="F13" s="1164">
        <f t="shared" si="1"/>
        <v>0</v>
      </c>
      <c r="G13" s="1164">
        <f t="shared" si="1"/>
        <v>175244</v>
      </c>
      <c r="H13" s="1164"/>
    </row>
    <row r="14" spans="1:99" s="698" customFormat="1" ht="24" customHeight="1" x14ac:dyDescent="0.3">
      <c r="A14" s="697" t="s">
        <v>1458</v>
      </c>
      <c r="B14" s="1166">
        <f>'Phụ lục số 1'!C61</f>
        <v>26950</v>
      </c>
      <c r="C14" s="1166">
        <f>B14</f>
        <v>26950</v>
      </c>
      <c r="D14" s="1166">
        <f>'Phụ lục số 1'!N61</f>
        <v>202194</v>
      </c>
      <c r="E14" s="1166"/>
      <c r="F14" s="1166"/>
      <c r="G14" s="1167">
        <f>D14-B14</f>
        <v>175244</v>
      </c>
      <c r="H14" s="1166">
        <v>0</v>
      </c>
    </row>
    <row r="15" spans="1:99" s="698" customFormat="1" ht="24" customHeight="1" x14ac:dyDescent="0.3">
      <c r="A15" s="695" t="s">
        <v>1020</v>
      </c>
      <c r="B15" s="1166">
        <f>'Phụ lục số 8'!E20</f>
        <v>309482</v>
      </c>
      <c r="C15" s="1166">
        <f>B15</f>
        <v>309482</v>
      </c>
      <c r="D15" s="1166">
        <f>B15</f>
        <v>309482</v>
      </c>
      <c r="E15" s="1166"/>
      <c r="F15" s="1166">
        <v>0</v>
      </c>
      <c r="G15" s="1167">
        <f>D15-B15</f>
        <v>0</v>
      </c>
      <c r="H15" s="1166"/>
    </row>
    <row r="16" spans="1:99" ht="39.75" customHeight="1" x14ac:dyDescent="0.3">
      <c r="A16" s="689" t="s">
        <v>1460</v>
      </c>
      <c r="B16" s="1164"/>
      <c r="C16" s="1164"/>
      <c r="D16" s="1164"/>
      <c r="E16" s="1164"/>
      <c r="F16" s="1164">
        <v>25040</v>
      </c>
      <c r="G16" s="1167">
        <f>D16-B16</f>
        <v>0</v>
      </c>
      <c r="H16" s="1164"/>
    </row>
    <row r="17" spans="1:9" ht="24" customHeight="1" x14ac:dyDescent="0.3">
      <c r="A17" s="689" t="s">
        <v>1019</v>
      </c>
      <c r="B17" s="1164">
        <f>'Phụ lục số 3-thu bs'!C16</f>
        <v>418294</v>
      </c>
      <c r="C17" s="1164">
        <f>B17</f>
        <v>418294</v>
      </c>
      <c r="D17" s="1164">
        <f>'Phụ lục số 3-thu bs'!I16</f>
        <v>816873</v>
      </c>
      <c r="E17" s="1164"/>
      <c r="F17" s="1164"/>
      <c r="G17" s="1167">
        <f>D17-B17</f>
        <v>398579</v>
      </c>
      <c r="H17" s="1164">
        <f t="shared" ref="H17:H23" si="2">D17/B17%</f>
        <v>195.28680784328728</v>
      </c>
    </row>
    <row r="18" spans="1:9" ht="24" customHeight="1" x14ac:dyDescent="0.3">
      <c r="A18" s="691" t="s">
        <v>1003</v>
      </c>
      <c r="B18" s="1168">
        <f t="shared" ref="B18:G18" si="3">SUM(B19,B20,B21,B27,B32,B33,B34)</f>
        <v>10720277</v>
      </c>
      <c r="C18" s="1168">
        <f t="shared" si="3"/>
        <v>11385829</v>
      </c>
      <c r="D18" s="1168">
        <f t="shared" si="3"/>
        <v>12692115</v>
      </c>
      <c r="E18" s="1168">
        <f t="shared" si="3"/>
        <v>335747</v>
      </c>
      <c r="F18" s="1168">
        <f t="shared" si="3"/>
        <v>11530866</v>
      </c>
      <c r="G18" s="1168">
        <f t="shared" si="3"/>
        <v>1971838</v>
      </c>
      <c r="H18" s="1168">
        <f t="shared" si="2"/>
        <v>118.39353591329775</v>
      </c>
      <c r="I18" s="680">
        <f>+G18-G7</f>
        <v>1636275</v>
      </c>
    </row>
    <row r="19" spans="1:9" s="1174" customFormat="1" ht="24" customHeight="1" x14ac:dyDescent="0.3">
      <c r="A19" s="692" t="s">
        <v>1004</v>
      </c>
      <c r="B19" s="1169">
        <f>'Phụ lục số 3-thu bs'!C31</f>
        <v>378989</v>
      </c>
      <c r="C19" s="1168"/>
      <c r="D19" s="1169">
        <f>'Phụ lục số 3-thu bs'!I31</f>
        <v>606749</v>
      </c>
      <c r="E19" s="1168"/>
      <c r="F19" s="1169"/>
      <c r="G19" s="1170">
        <f>D19-B19</f>
        <v>227760</v>
      </c>
      <c r="H19" s="1169">
        <f t="shared" si="2"/>
        <v>160.09673103968717</v>
      </c>
    </row>
    <row r="20" spans="1:9" ht="24" customHeight="1" x14ac:dyDescent="0.3">
      <c r="A20" s="693" t="s">
        <v>1005</v>
      </c>
      <c r="B20" s="1169"/>
      <c r="C20" s="1169">
        <f>'Phụ lục số 3-thu bs'!F34</f>
        <v>1000</v>
      </c>
      <c r="D20" s="1169">
        <f>'Phụ lục số 3'!I34</f>
        <v>2100</v>
      </c>
      <c r="E20" s="1169"/>
      <c r="F20" s="1169">
        <v>3850</v>
      </c>
      <c r="G20" s="1170">
        <f>D20-B20</f>
        <v>2100</v>
      </c>
      <c r="H20" s="1169" t="e">
        <f t="shared" si="2"/>
        <v>#DIV/0!</v>
      </c>
    </row>
    <row r="21" spans="1:9" x14ac:dyDescent="0.3">
      <c r="A21" s="692" t="s">
        <v>1006</v>
      </c>
      <c r="B21" s="1169">
        <f>SUM(B22,B25,B26)</f>
        <v>1731485</v>
      </c>
      <c r="C21" s="1169">
        <v>3077087.75</v>
      </c>
      <c r="D21" s="1169">
        <f>SUM(D22,D25,D26)</f>
        <v>3381485</v>
      </c>
      <c r="E21" s="1169">
        <f>SUM(E22,E25,E26)</f>
        <v>0</v>
      </c>
      <c r="F21" s="1169">
        <f>SUM(F22,F25,F26)</f>
        <v>3142144.5</v>
      </c>
      <c r="G21" s="1169">
        <f>SUM(G22,G25,G26)</f>
        <v>1650000</v>
      </c>
      <c r="H21" s="1169">
        <f t="shared" si="2"/>
        <v>195.29392400165179</v>
      </c>
    </row>
    <row r="22" spans="1:9" x14ac:dyDescent="0.3">
      <c r="A22" s="690" t="s">
        <v>1007</v>
      </c>
      <c r="B22" s="1164">
        <f>'Phụ lục số 3-thu bs'!C21</f>
        <v>1131485</v>
      </c>
      <c r="C22" s="1164">
        <v>1077087.75</v>
      </c>
      <c r="D22" s="1164">
        <f>'Phụ lục số 3'!I21</f>
        <v>1131485</v>
      </c>
      <c r="E22" s="1164"/>
      <c r="F22" s="1164">
        <v>1082144.5</v>
      </c>
      <c r="G22" s="1165">
        <f t="shared" ref="G22:G27" si="4">D22-B22</f>
        <v>0</v>
      </c>
      <c r="H22" s="1164">
        <f t="shared" si="2"/>
        <v>100</v>
      </c>
    </row>
    <row r="23" spans="1:9" s="698" customFormat="1" x14ac:dyDescent="0.3">
      <c r="A23" s="694" t="s">
        <v>1008</v>
      </c>
      <c r="B23" s="1166"/>
      <c r="C23" s="1166"/>
      <c r="D23" s="1166">
        <v>72661</v>
      </c>
      <c r="E23" s="1166"/>
      <c r="F23" s="1166"/>
      <c r="G23" s="1167">
        <f t="shared" si="4"/>
        <v>72661</v>
      </c>
      <c r="H23" s="1166" t="e">
        <f t="shared" si="2"/>
        <v>#DIV/0!</v>
      </c>
    </row>
    <row r="24" spans="1:9" ht="37.5" x14ac:dyDescent="0.3">
      <c r="A24" s="695" t="s">
        <v>1468</v>
      </c>
      <c r="B24" s="1164"/>
      <c r="C24" s="1166"/>
      <c r="D24" s="1166">
        <v>0</v>
      </c>
      <c r="E24" s="1166"/>
      <c r="F24" s="1164"/>
      <c r="G24" s="1165">
        <f t="shared" si="4"/>
        <v>0</v>
      </c>
      <c r="H24" s="1164">
        <v>0</v>
      </c>
    </row>
    <row r="25" spans="1:9" x14ac:dyDescent="0.3">
      <c r="A25" s="690" t="s">
        <v>361</v>
      </c>
      <c r="B25" s="1164">
        <f>'Phụ lục số 3-thu bs'!C22</f>
        <v>600000</v>
      </c>
      <c r="C25" s="1164">
        <v>600000</v>
      </c>
      <c r="D25" s="1164">
        <f>'Phụ lục số 3-thu bs'!I22</f>
        <v>750000</v>
      </c>
      <c r="E25" s="1164"/>
      <c r="F25" s="1164">
        <v>600000</v>
      </c>
      <c r="G25" s="1165">
        <f t="shared" si="4"/>
        <v>150000</v>
      </c>
      <c r="H25" s="1164">
        <f t="shared" ref="H25:H33" si="5">D25/B25%</f>
        <v>125</v>
      </c>
    </row>
    <row r="26" spans="1:9" x14ac:dyDescent="0.3">
      <c r="A26" s="690" t="s">
        <v>1009</v>
      </c>
      <c r="B26" s="1164"/>
      <c r="C26" s="1164">
        <v>1400000</v>
      </c>
      <c r="D26" s="1164">
        <f>'Phụ lục số 3-thu bs'!I23</f>
        <v>1500000</v>
      </c>
      <c r="E26" s="1169"/>
      <c r="F26" s="1164">
        <v>1460000</v>
      </c>
      <c r="G26" s="1165">
        <f t="shared" si="4"/>
        <v>1500000</v>
      </c>
      <c r="H26" s="1164" t="e">
        <f t="shared" si="5"/>
        <v>#DIV/0!</v>
      </c>
    </row>
    <row r="27" spans="1:9" x14ac:dyDescent="0.3">
      <c r="A27" s="692" t="s">
        <v>1010</v>
      </c>
      <c r="B27" s="1169">
        <f>'Phụ lục số 3-thu bs'!C25</f>
        <v>8373843</v>
      </c>
      <c r="C27" s="1169">
        <v>7924031.25</v>
      </c>
      <c r="D27" s="1169">
        <f>'Phụ lục số 3'!I25</f>
        <v>8465821</v>
      </c>
      <c r="E27" s="1169">
        <v>335747</v>
      </c>
      <c r="F27" s="1169">
        <v>8152854.1799999997</v>
      </c>
      <c r="G27" s="1170">
        <f t="shared" si="4"/>
        <v>91978</v>
      </c>
      <c r="H27" s="1169">
        <f t="shared" si="5"/>
        <v>101.09839651877878</v>
      </c>
    </row>
    <row r="28" spans="1:9" x14ac:dyDescent="0.3">
      <c r="A28" s="690" t="s">
        <v>1011</v>
      </c>
      <c r="B28" s="1164">
        <f>'Phụ lục số 3-thu bs'!C26</f>
        <v>3653123</v>
      </c>
      <c r="C28" s="1164">
        <v>3488552.239303261</v>
      </c>
      <c r="D28" s="1164">
        <f>'Phụ lục số 3'!I26</f>
        <v>3653191</v>
      </c>
      <c r="E28" s="1164">
        <v>179758.94380000001</v>
      </c>
      <c r="F28" s="1164">
        <v>3701535.4901442449</v>
      </c>
      <c r="G28" s="1165">
        <f t="shared" ref="G28:G33" si="6">D28-B28</f>
        <v>68</v>
      </c>
      <c r="H28" s="1164">
        <f t="shared" si="5"/>
        <v>100.00186142103618</v>
      </c>
    </row>
    <row r="29" spans="1:9" x14ac:dyDescent="0.3">
      <c r="A29" s="690" t="s">
        <v>1012</v>
      </c>
      <c r="B29" s="1164">
        <f>'Phụ lục số 3-thu bs'!C27</f>
        <v>31000</v>
      </c>
      <c r="C29" s="1164">
        <v>25596.764994279518</v>
      </c>
      <c r="D29" s="1164">
        <f>'Phụ lục số 3'!I27</f>
        <v>31000</v>
      </c>
      <c r="E29" s="1164">
        <v>369.32170000000002</v>
      </c>
      <c r="F29" s="1164">
        <v>27848.201767388306</v>
      </c>
      <c r="G29" s="1165">
        <f t="shared" si="6"/>
        <v>0</v>
      </c>
      <c r="H29" s="1164">
        <f t="shared" si="5"/>
        <v>100</v>
      </c>
    </row>
    <row r="30" spans="1:9" x14ac:dyDescent="0.3">
      <c r="A30" s="688" t="s">
        <v>1013</v>
      </c>
      <c r="B30" s="1164"/>
      <c r="C30" s="1164">
        <v>71922.48609763867</v>
      </c>
      <c r="D30" s="1164">
        <f>'Phụ lục số 3'!I28</f>
        <v>143470</v>
      </c>
      <c r="E30" s="1164">
        <v>134.2988</v>
      </c>
      <c r="F30" s="1164">
        <v>76992.641786692315</v>
      </c>
      <c r="G30" s="1165">
        <f t="shared" si="6"/>
        <v>143470</v>
      </c>
      <c r="H30" s="1164" t="e">
        <f t="shared" si="5"/>
        <v>#DIV/0!</v>
      </c>
    </row>
    <row r="31" spans="1:9" x14ac:dyDescent="0.3">
      <c r="A31" s="690" t="s">
        <v>1014</v>
      </c>
      <c r="B31" s="1164">
        <f>B27-B28-B29-B30</f>
        <v>4689720</v>
      </c>
      <c r="C31" s="1164">
        <v>4337959.759604821</v>
      </c>
      <c r="D31" s="1164">
        <f>D27-D28-D29-D30</f>
        <v>4638160</v>
      </c>
      <c r="E31" s="1164">
        <v>155484.4357</v>
      </c>
      <c r="F31" s="1164">
        <v>4346477.8463016739</v>
      </c>
      <c r="G31" s="1165">
        <f t="shared" si="6"/>
        <v>-51560</v>
      </c>
      <c r="H31" s="1164">
        <f t="shared" si="5"/>
        <v>98.900574021476771</v>
      </c>
    </row>
    <row r="32" spans="1:9" x14ac:dyDescent="0.3">
      <c r="A32" s="692" t="s">
        <v>1015</v>
      </c>
      <c r="B32" s="1169">
        <f>'Phụ lục số 3-thu bs'!C33</f>
        <v>233960</v>
      </c>
      <c r="C32" s="1169"/>
      <c r="D32" s="1169">
        <f>'Phụ lục số 3'!I33</f>
        <v>233960</v>
      </c>
      <c r="E32" s="1169"/>
      <c r="F32" s="1169">
        <v>230617.32</v>
      </c>
      <c r="G32" s="1170">
        <f t="shared" si="6"/>
        <v>0</v>
      </c>
      <c r="H32" s="1169">
        <f t="shared" si="5"/>
        <v>100</v>
      </c>
    </row>
    <row r="33" spans="1:8" x14ac:dyDescent="0.3">
      <c r="A33" s="692" t="s">
        <v>1016</v>
      </c>
      <c r="B33" s="1169">
        <f>'Phụ lục số 3-thu bs'!C32</f>
        <v>2000</v>
      </c>
      <c r="C33" s="1169">
        <v>1400</v>
      </c>
      <c r="D33" s="1169">
        <f>'Phụ lục số 3'!I32</f>
        <v>2000</v>
      </c>
      <c r="E33" s="1169"/>
      <c r="F33" s="1169">
        <v>1400</v>
      </c>
      <c r="G33" s="1170">
        <f t="shared" si="6"/>
        <v>0</v>
      </c>
      <c r="H33" s="1169">
        <f t="shared" si="5"/>
        <v>100</v>
      </c>
    </row>
    <row r="34" spans="1:8" x14ac:dyDescent="0.3">
      <c r="A34" s="692" t="s">
        <v>1017</v>
      </c>
      <c r="B34" s="1169"/>
      <c r="C34" s="1169">
        <v>382310</v>
      </c>
      <c r="D34" s="1168"/>
      <c r="E34" s="1168"/>
      <c r="F34" s="1164"/>
      <c r="G34" s="1170">
        <v>0</v>
      </c>
      <c r="H34" s="1169"/>
    </row>
    <row r="35" spans="1:8" x14ac:dyDescent="0.3">
      <c r="A35" s="692" t="s">
        <v>1018</v>
      </c>
      <c r="B35" s="1168">
        <v>0</v>
      </c>
      <c r="C35" s="1168"/>
      <c r="D35" s="1168"/>
      <c r="E35" s="1168"/>
      <c r="F35" s="1168"/>
      <c r="G35" s="1170"/>
      <c r="H35" s="1169"/>
    </row>
    <row r="36" spans="1:8" x14ac:dyDescent="0.3">
      <c r="A36" s="696"/>
      <c r="B36" s="1171"/>
      <c r="C36" s="1171"/>
      <c r="D36" s="1171"/>
      <c r="E36" s="1171"/>
      <c r="F36" s="1172"/>
      <c r="G36" s="1173"/>
      <c r="H36" s="1172"/>
    </row>
    <row r="37" spans="1:8" x14ac:dyDescent="0.3">
      <c r="A37" s="681"/>
      <c r="B37" s="682"/>
      <c r="C37" s="683"/>
      <c r="D37" s="683"/>
      <c r="E37" s="683"/>
      <c r="F37" s="683"/>
      <c r="G37" s="683"/>
      <c r="H37" s="683"/>
    </row>
    <row r="38" spans="1:8" x14ac:dyDescent="0.3">
      <c r="A38" s="1400"/>
      <c r="B38" s="1400"/>
      <c r="C38" s="1400"/>
      <c r="D38" s="1400"/>
      <c r="E38" s="1400"/>
      <c r="F38" s="1400"/>
      <c r="G38" s="1400"/>
      <c r="H38" s="1400"/>
    </row>
    <row r="39" spans="1:8" x14ac:dyDescent="0.3">
      <c r="A39" s="1400"/>
      <c r="B39" s="1400"/>
      <c r="C39" s="1400"/>
      <c r="D39" s="1400"/>
      <c r="E39" s="1400"/>
      <c r="F39" s="1400"/>
      <c r="G39" s="1400"/>
      <c r="H39" s="1400"/>
    </row>
    <row r="40" spans="1:8" x14ac:dyDescent="0.3">
      <c r="A40" s="684"/>
      <c r="B40" s="684"/>
      <c r="C40" s="684"/>
      <c r="D40" s="684"/>
      <c r="E40" s="684"/>
      <c r="F40" s="684"/>
      <c r="G40" s="684"/>
      <c r="H40" s="684"/>
    </row>
    <row r="41" spans="1:8" x14ac:dyDescent="0.3">
      <c r="B41" s="680"/>
      <c r="D41" s="680"/>
      <c r="E41" s="685"/>
    </row>
    <row r="42" spans="1:8" x14ac:dyDescent="0.3">
      <c r="B42" s="680">
        <f>B18-B7</f>
        <v>-1636275</v>
      </c>
    </row>
  </sheetData>
  <sortState ref="A11:P12">
    <sortCondition descending="1" ref="A11"/>
  </sortState>
  <mergeCells count="8">
    <mergeCell ref="A38:H38"/>
    <mergeCell ref="A39:H39"/>
    <mergeCell ref="A1:H1"/>
    <mergeCell ref="A2:H2"/>
    <mergeCell ref="A4:A5"/>
    <mergeCell ref="B4:C4"/>
    <mergeCell ref="D4:F4"/>
    <mergeCell ref="G4:H4"/>
  </mergeCells>
  <printOptions horizontalCentered="1"/>
  <pageMargins left="0" right="0" top="0.19685039370078741" bottom="0.19685039370078741" header="0" footer="0"/>
  <pageSetup paperSize="9" orientation="portrait" verticalDpi="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7"/>
  <sheetViews>
    <sheetView workbookViewId="0">
      <selection activeCell="D51" sqref="D51"/>
    </sheetView>
  </sheetViews>
  <sheetFormatPr defaultRowHeight="15.75" x14ac:dyDescent="0.25"/>
  <cols>
    <col min="1" max="1" width="5.25" style="377" customWidth="1"/>
    <col min="2" max="2" width="36.625" style="209" customWidth="1"/>
    <col min="3" max="3" width="10" style="209" customWidth="1"/>
    <col min="4" max="4" width="8.75" style="209" customWidth="1"/>
    <col min="5" max="5" width="10.25" style="209" customWidth="1"/>
    <col min="6" max="6" width="9" style="209" customWidth="1"/>
    <col min="7" max="7" width="9.25" style="209" customWidth="1"/>
    <col min="8" max="8" width="9.125" style="209" customWidth="1"/>
    <col min="9" max="16384" width="9" style="209"/>
  </cols>
  <sheetData>
    <row r="1" spans="1:11" x14ac:dyDescent="0.25">
      <c r="A1" s="1409" t="s">
        <v>1453</v>
      </c>
      <c r="B1" s="1409"/>
      <c r="C1" s="1409"/>
      <c r="D1" s="1409"/>
      <c r="E1" s="1409"/>
      <c r="F1" s="1409"/>
      <c r="G1" s="1409"/>
    </row>
    <row r="4" spans="1:11" ht="15.75" customHeight="1" x14ac:dyDescent="0.25">
      <c r="A4" s="1406" t="s">
        <v>519</v>
      </c>
      <c r="B4" s="1406" t="s">
        <v>517</v>
      </c>
      <c r="C4" s="1406" t="s">
        <v>718</v>
      </c>
      <c r="D4" s="1406"/>
      <c r="E4" s="1406"/>
      <c r="F4" s="1406"/>
      <c r="G4" s="1406" t="s">
        <v>1415</v>
      </c>
      <c r="H4" s="1406"/>
      <c r="I4" s="1406"/>
      <c r="J4" s="1406" t="s">
        <v>1416</v>
      </c>
      <c r="K4" s="1406" t="s">
        <v>707</v>
      </c>
    </row>
    <row r="5" spans="1:11" ht="68.25" customHeight="1" x14ac:dyDescent="0.25">
      <c r="A5" s="1406"/>
      <c r="B5" s="1406"/>
      <c r="C5" s="798" t="s">
        <v>719</v>
      </c>
      <c r="D5" s="798" t="s">
        <v>720</v>
      </c>
      <c r="E5" s="798" t="s">
        <v>1227</v>
      </c>
      <c r="F5" s="798" t="s">
        <v>1228</v>
      </c>
      <c r="G5" s="798" t="s">
        <v>721</v>
      </c>
      <c r="H5" s="798" t="s">
        <v>1227</v>
      </c>
      <c r="I5" s="798" t="s">
        <v>722</v>
      </c>
      <c r="J5" s="1406"/>
      <c r="K5" s="1406"/>
    </row>
    <row r="6" spans="1:11" x14ac:dyDescent="0.25">
      <c r="A6" s="798">
        <v>1</v>
      </c>
      <c r="B6" s="798">
        <v>2</v>
      </c>
      <c r="C6" s="798">
        <v>3</v>
      </c>
      <c r="D6" s="798"/>
      <c r="E6" s="798"/>
      <c r="F6" s="798">
        <v>4</v>
      </c>
      <c r="G6" s="798">
        <v>5</v>
      </c>
      <c r="H6" s="798"/>
      <c r="I6" s="798">
        <v>6</v>
      </c>
      <c r="J6" s="798">
        <v>7</v>
      </c>
      <c r="K6" s="798">
        <v>8</v>
      </c>
    </row>
    <row r="7" spans="1:11" ht="47.25" x14ac:dyDescent="0.25">
      <c r="A7" s="427">
        <v>1</v>
      </c>
      <c r="B7" s="809" t="s">
        <v>663</v>
      </c>
      <c r="C7" s="1156">
        <v>17203.289000000004</v>
      </c>
      <c r="D7" s="1156"/>
      <c r="E7" s="1156">
        <v>34795</v>
      </c>
      <c r="F7" s="1156">
        <v>6944</v>
      </c>
      <c r="G7" s="1156"/>
      <c r="H7" s="1156">
        <v>11361</v>
      </c>
      <c r="I7" s="1156">
        <v>5247.8249999999998</v>
      </c>
      <c r="J7" s="1156">
        <f>+C7+E7+F7-H7-I7</f>
        <v>42333.464000000007</v>
      </c>
      <c r="K7" s="372"/>
    </row>
    <row r="8" spans="1:11" ht="126" x14ac:dyDescent="0.25">
      <c r="A8" s="234">
        <v>2</v>
      </c>
      <c r="B8" s="810" t="s">
        <v>697</v>
      </c>
      <c r="C8" s="1157">
        <v>64550</v>
      </c>
      <c r="D8" s="1157">
        <v>220096</v>
      </c>
      <c r="E8" s="1157">
        <v>36121</v>
      </c>
      <c r="F8" s="1157">
        <v>99696</v>
      </c>
      <c r="G8" s="1157">
        <v>185647</v>
      </c>
      <c r="H8" s="1157">
        <v>72878</v>
      </c>
      <c r="I8" s="1157">
        <v>24865</v>
      </c>
      <c r="J8" s="1157">
        <f>+C8+D8+E8+F8-G8-H8-I8</f>
        <v>137073</v>
      </c>
      <c r="K8" s="373" t="s">
        <v>967</v>
      </c>
    </row>
    <row r="9" spans="1:11" x14ac:dyDescent="0.25">
      <c r="A9" s="234">
        <v>3</v>
      </c>
      <c r="B9" s="811" t="s">
        <v>664</v>
      </c>
      <c r="C9" s="1157"/>
      <c r="D9" s="1157"/>
      <c r="E9" s="1157"/>
      <c r="F9" s="1157"/>
      <c r="G9" s="1157"/>
      <c r="H9" s="1157"/>
      <c r="I9" s="1157"/>
      <c r="J9" s="1157"/>
      <c r="K9" s="373"/>
    </row>
    <row r="10" spans="1:11" ht="31.5" x14ac:dyDescent="0.25">
      <c r="A10" s="234">
        <v>4</v>
      </c>
      <c r="B10" s="811" t="s">
        <v>665</v>
      </c>
      <c r="C10" s="1157">
        <v>1719.92</v>
      </c>
      <c r="D10" s="1157"/>
      <c r="E10" s="1157"/>
      <c r="F10" s="1157"/>
      <c r="G10" s="1157">
        <v>922</v>
      </c>
      <c r="H10" s="1157"/>
      <c r="I10" s="1157"/>
      <c r="J10" s="1157">
        <f>+C10+F10-G10-I10</f>
        <v>797.92000000000007</v>
      </c>
      <c r="K10" s="373"/>
    </row>
    <row r="11" spans="1:11" ht="47.25" x14ac:dyDescent="0.25">
      <c r="A11" s="234">
        <v>5</v>
      </c>
      <c r="B11" s="811" t="s">
        <v>666</v>
      </c>
      <c r="C11" s="1157">
        <v>14306</v>
      </c>
      <c r="D11" s="1157">
        <v>14187</v>
      </c>
      <c r="E11" s="1157"/>
      <c r="F11" s="1157"/>
      <c r="G11" s="1157">
        <v>7503</v>
      </c>
      <c r="H11" s="1157"/>
      <c r="I11" s="1157">
        <v>156</v>
      </c>
      <c r="J11" s="1157">
        <f>+C11+D11-G11-I11</f>
        <v>20834</v>
      </c>
      <c r="K11" s="373"/>
    </row>
    <row r="12" spans="1:11" ht="47.25" x14ac:dyDescent="0.25">
      <c r="A12" s="234">
        <v>6</v>
      </c>
      <c r="B12" s="812" t="s">
        <v>667</v>
      </c>
      <c r="C12" s="1157">
        <v>-1618</v>
      </c>
      <c r="D12" s="1157">
        <v>1144</v>
      </c>
      <c r="E12" s="1157">
        <v>2037</v>
      </c>
      <c r="F12" s="1157">
        <v>2200</v>
      </c>
      <c r="G12" s="1157">
        <v>1175</v>
      </c>
      <c r="H12" s="1157">
        <v>298</v>
      </c>
      <c r="I12" s="1157">
        <v>500</v>
      </c>
      <c r="J12" s="1157">
        <f>+C12+D12+E12+F12-G12-H12-I12</f>
        <v>1790</v>
      </c>
      <c r="K12" s="373"/>
    </row>
    <row r="13" spans="1:11" ht="75" x14ac:dyDescent="0.25">
      <c r="A13" s="234">
        <v>7</v>
      </c>
      <c r="B13" s="813" t="s">
        <v>1229</v>
      </c>
      <c r="C13" s="1157">
        <v>-19927</v>
      </c>
      <c r="D13" s="1157"/>
      <c r="E13" s="1157"/>
      <c r="F13" s="1157">
        <v>21454</v>
      </c>
      <c r="G13" s="1157"/>
      <c r="H13" s="1157"/>
      <c r="I13" s="1157"/>
      <c r="J13" s="1157">
        <f>+C13+D13+E13+F13-G13-H13-I13</f>
        <v>1527</v>
      </c>
      <c r="K13" s="373"/>
    </row>
    <row r="14" spans="1:11" ht="131.25" x14ac:dyDescent="0.25">
      <c r="A14" s="234">
        <v>8</v>
      </c>
      <c r="B14" s="813" t="s">
        <v>1230</v>
      </c>
      <c r="C14" s="1157">
        <v>-3729.03</v>
      </c>
      <c r="D14" s="1157"/>
      <c r="E14" s="1157"/>
      <c r="F14" s="1157">
        <v>14915</v>
      </c>
      <c r="G14" s="1157"/>
      <c r="H14" s="1157"/>
      <c r="I14" s="1157">
        <v>1832.01</v>
      </c>
      <c r="J14" s="1157">
        <f>+C14+D14+E14+F14-G14-H14-I14</f>
        <v>9353.9599999999991</v>
      </c>
      <c r="K14" s="373"/>
    </row>
    <row r="15" spans="1:11" x14ac:dyDescent="0.25">
      <c r="A15" s="1407" t="s">
        <v>723</v>
      </c>
      <c r="B15" s="1407"/>
      <c r="C15" s="1158">
        <f>+C7+C8+C9+C10+C11+C12+C13+C14</f>
        <v>72505.179000000004</v>
      </c>
      <c r="D15" s="1158">
        <f t="shared" ref="D15:J15" si="0">+D7+D8+D9+D10+D11+D12+D13+D14</f>
        <v>235427</v>
      </c>
      <c r="E15" s="1158">
        <f t="shared" si="0"/>
        <v>72953</v>
      </c>
      <c r="F15" s="1158">
        <f t="shared" si="0"/>
        <v>145209</v>
      </c>
      <c r="G15" s="1158">
        <f t="shared" si="0"/>
        <v>195247</v>
      </c>
      <c r="H15" s="1158">
        <f t="shared" si="0"/>
        <v>84537</v>
      </c>
      <c r="I15" s="1158">
        <f t="shared" si="0"/>
        <v>32600.834999999999</v>
      </c>
      <c r="J15" s="1158">
        <f t="shared" si="0"/>
        <v>213709.34400000001</v>
      </c>
      <c r="K15" s="814"/>
    </row>
    <row r="16" spans="1:11" x14ac:dyDescent="0.25">
      <c r="A16" s="795"/>
    </row>
    <row r="17" spans="1:10" x14ac:dyDescent="0.25">
      <c r="A17" s="209"/>
      <c r="B17" s="1408" t="s">
        <v>1231</v>
      </c>
      <c r="C17" s="1408"/>
      <c r="D17" s="1408"/>
      <c r="E17" s="1408"/>
      <c r="F17" s="1408"/>
      <c r="G17" s="1408"/>
      <c r="H17" s="1408"/>
      <c r="I17" s="1408"/>
      <c r="J17" s="1408"/>
    </row>
  </sheetData>
  <customSheetViews>
    <customSheetView guid="{88621519-296E-4458-B04E-813E881018FE}" state="hidden">
      <selection activeCell="C7" sqref="C7"/>
      <pageMargins left="0.7" right="0.7" top="0.75" bottom="0.75" header="0.3" footer="0.3"/>
    </customSheetView>
  </customSheetViews>
  <mergeCells count="9">
    <mergeCell ref="J4:J5"/>
    <mergeCell ref="K4:K5"/>
    <mergeCell ref="A15:B15"/>
    <mergeCell ref="B17:J17"/>
    <mergeCell ref="A1:G1"/>
    <mergeCell ref="A4:A5"/>
    <mergeCell ref="B4:B5"/>
    <mergeCell ref="C4:F4"/>
    <mergeCell ref="G4:I4"/>
  </mergeCells>
  <printOptions horizontalCentered="1"/>
  <pageMargins left="0" right="0" top="0.19685039370078741" bottom="0.19685039370078741" header="0" footer="0"/>
  <pageSetup paperSize="9" scale="75" orientation="portrait" verticalDpi="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65"/>
  <sheetViews>
    <sheetView zoomScale="84" zoomScaleNormal="84" workbookViewId="0">
      <selection activeCell="D51" sqref="D51"/>
    </sheetView>
  </sheetViews>
  <sheetFormatPr defaultRowHeight="17.25" x14ac:dyDescent="0.3"/>
  <cols>
    <col min="1" max="1" width="5.75" style="517" bestFit="1" customWidth="1"/>
    <col min="2" max="2" width="38.125" style="513" customWidth="1"/>
    <col min="3" max="3" width="9.625" style="513" customWidth="1"/>
    <col min="4" max="4" width="11.25" style="513" customWidth="1"/>
    <col min="5" max="5" width="10.625" style="513" customWidth="1"/>
    <col min="6" max="6" width="14.375" style="513" customWidth="1"/>
    <col min="7" max="7" width="11.125" style="513" customWidth="1"/>
    <col min="8" max="8" width="10.75" style="513" customWidth="1"/>
    <col min="9" max="9" width="10" style="513" bestFit="1" customWidth="1"/>
    <col min="10" max="10" width="10" style="518" bestFit="1" customWidth="1"/>
    <col min="11" max="256" width="9" style="518"/>
    <col min="257" max="257" width="5.75" style="518" bestFit="1" customWidth="1"/>
    <col min="258" max="258" width="38.125" style="518" customWidth="1"/>
    <col min="259" max="259" width="9.625" style="518" customWidth="1"/>
    <col min="260" max="260" width="11.25" style="518" customWidth="1"/>
    <col min="261" max="261" width="10.625" style="518" customWidth="1"/>
    <col min="262" max="262" width="14.375" style="518" customWidth="1"/>
    <col min="263" max="263" width="11.125" style="518" customWidth="1"/>
    <col min="264" max="264" width="10.75" style="518" customWidth="1"/>
    <col min="265" max="265" width="11" style="518" customWidth="1"/>
    <col min="266" max="512" width="9" style="518"/>
    <col min="513" max="513" width="5.75" style="518" bestFit="1" customWidth="1"/>
    <col min="514" max="514" width="38.125" style="518" customWidth="1"/>
    <col min="515" max="515" width="9.625" style="518" customWidth="1"/>
    <col min="516" max="516" width="11.25" style="518" customWidth="1"/>
    <col min="517" max="517" width="10.625" style="518" customWidth="1"/>
    <col min="518" max="518" width="14.375" style="518" customWidth="1"/>
    <col min="519" max="519" width="11.125" style="518" customWidth="1"/>
    <col min="520" max="520" width="10.75" style="518" customWidth="1"/>
    <col min="521" max="521" width="11" style="518" customWidth="1"/>
    <col min="522" max="768" width="9" style="518"/>
    <col min="769" max="769" width="5.75" style="518" bestFit="1" customWidth="1"/>
    <col min="770" max="770" width="38.125" style="518" customWidth="1"/>
    <col min="771" max="771" width="9.625" style="518" customWidth="1"/>
    <col min="772" max="772" width="11.25" style="518" customWidth="1"/>
    <col min="773" max="773" width="10.625" style="518" customWidth="1"/>
    <col min="774" max="774" width="14.375" style="518" customWidth="1"/>
    <col min="775" max="775" width="11.125" style="518" customWidth="1"/>
    <col min="776" max="776" width="10.75" style="518" customWidth="1"/>
    <col min="777" max="777" width="11" style="518" customWidth="1"/>
    <col min="778" max="1024" width="9" style="518"/>
    <col min="1025" max="1025" width="5.75" style="518" bestFit="1" customWidth="1"/>
    <col min="1026" max="1026" width="38.125" style="518" customWidth="1"/>
    <col min="1027" max="1027" width="9.625" style="518" customWidth="1"/>
    <col min="1028" max="1028" width="11.25" style="518" customWidth="1"/>
    <col min="1029" max="1029" width="10.625" style="518" customWidth="1"/>
    <col min="1030" max="1030" width="14.375" style="518" customWidth="1"/>
    <col min="1031" max="1031" width="11.125" style="518" customWidth="1"/>
    <col min="1032" max="1032" width="10.75" style="518" customWidth="1"/>
    <col min="1033" max="1033" width="11" style="518" customWidth="1"/>
    <col min="1034" max="1280" width="9" style="518"/>
    <col min="1281" max="1281" width="5.75" style="518" bestFit="1" customWidth="1"/>
    <col min="1282" max="1282" width="38.125" style="518" customWidth="1"/>
    <col min="1283" max="1283" width="9.625" style="518" customWidth="1"/>
    <col min="1284" max="1284" width="11.25" style="518" customWidth="1"/>
    <col min="1285" max="1285" width="10.625" style="518" customWidth="1"/>
    <col min="1286" max="1286" width="14.375" style="518" customWidth="1"/>
    <col min="1287" max="1287" width="11.125" style="518" customWidth="1"/>
    <col min="1288" max="1288" width="10.75" style="518" customWidth="1"/>
    <col min="1289" max="1289" width="11" style="518" customWidth="1"/>
    <col min="1290" max="1536" width="9" style="518"/>
    <col min="1537" max="1537" width="5.75" style="518" bestFit="1" customWidth="1"/>
    <col min="1538" max="1538" width="38.125" style="518" customWidth="1"/>
    <col min="1539" max="1539" width="9.625" style="518" customWidth="1"/>
    <col min="1540" max="1540" width="11.25" style="518" customWidth="1"/>
    <col min="1541" max="1541" width="10.625" style="518" customWidth="1"/>
    <col min="1542" max="1542" width="14.375" style="518" customWidth="1"/>
    <col min="1543" max="1543" width="11.125" style="518" customWidth="1"/>
    <col min="1544" max="1544" width="10.75" style="518" customWidth="1"/>
    <col min="1545" max="1545" width="11" style="518" customWidth="1"/>
    <col min="1546" max="1792" width="9" style="518"/>
    <col min="1793" max="1793" width="5.75" style="518" bestFit="1" customWidth="1"/>
    <col min="1794" max="1794" width="38.125" style="518" customWidth="1"/>
    <col min="1795" max="1795" width="9.625" style="518" customWidth="1"/>
    <col min="1796" max="1796" width="11.25" style="518" customWidth="1"/>
    <col min="1797" max="1797" width="10.625" style="518" customWidth="1"/>
    <col min="1798" max="1798" width="14.375" style="518" customWidth="1"/>
    <col min="1799" max="1799" width="11.125" style="518" customWidth="1"/>
    <col min="1800" max="1800" width="10.75" style="518" customWidth="1"/>
    <col min="1801" max="1801" width="11" style="518" customWidth="1"/>
    <col min="1802" max="2048" width="9" style="518"/>
    <col min="2049" max="2049" width="5.75" style="518" bestFit="1" customWidth="1"/>
    <col min="2050" max="2050" width="38.125" style="518" customWidth="1"/>
    <col min="2051" max="2051" width="9.625" style="518" customWidth="1"/>
    <col min="2052" max="2052" width="11.25" style="518" customWidth="1"/>
    <col min="2053" max="2053" width="10.625" style="518" customWidth="1"/>
    <col min="2054" max="2054" width="14.375" style="518" customWidth="1"/>
    <col min="2055" max="2055" width="11.125" style="518" customWidth="1"/>
    <col min="2056" max="2056" width="10.75" style="518" customWidth="1"/>
    <col min="2057" max="2057" width="11" style="518" customWidth="1"/>
    <col min="2058" max="2304" width="9" style="518"/>
    <col min="2305" max="2305" width="5.75" style="518" bestFit="1" customWidth="1"/>
    <col min="2306" max="2306" width="38.125" style="518" customWidth="1"/>
    <col min="2307" max="2307" width="9.625" style="518" customWidth="1"/>
    <col min="2308" max="2308" width="11.25" style="518" customWidth="1"/>
    <col min="2309" max="2309" width="10.625" style="518" customWidth="1"/>
    <col min="2310" max="2310" width="14.375" style="518" customWidth="1"/>
    <col min="2311" max="2311" width="11.125" style="518" customWidth="1"/>
    <col min="2312" max="2312" width="10.75" style="518" customWidth="1"/>
    <col min="2313" max="2313" width="11" style="518" customWidth="1"/>
    <col min="2314" max="2560" width="9" style="518"/>
    <col min="2561" max="2561" width="5.75" style="518" bestFit="1" customWidth="1"/>
    <col min="2562" max="2562" width="38.125" style="518" customWidth="1"/>
    <col min="2563" max="2563" width="9.625" style="518" customWidth="1"/>
    <col min="2564" max="2564" width="11.25" style="518" customWidth="1"/>
    <col min="2565" max="2565" width="10.625" style="518" customWidth="1"/>
    <col min="2566" max="2566" width="14.375" style="518" customWidth="1"/>
    <col min="2567" max="2567" width="11.125" style="518" customWidth="1"/>
    <col min="2568" max="2568" width="10.75" style="518" customWidth="1"/>
    <col min="2569" max="2569" width="11" style="518" customWidth="1"/>
    <col min="2570" max="2816" width="9" style="518"/>
    <col min="2817" max="2817" width="5.75" style="518" bestFit="1" customWidth="1"/>
    <col min="2818" max="2818" width="38.125" style="518" customWidth="1"/>
    <col min="2819" max="2819" width="9.625" style="518" customWidth="1"/>
    <col min="2820" max="2820" width="11.25" style="518" customWidth="1"/>
    <col min="2821" max="2821" width="10.625" style="518" customWidth="1"/>
    <col min="2822" max="2822" width="14.375" style="518" customWidth="1"/>
    <col min="2823" max="2823" width="11.125" style="518" customWidth="1"/>
    <col min="2824" max="2824" width="10.75" style="518" customWidth="1"/>
    <col min="2825" max="2825" width="11" style="518" customWidth="1"/>
    <col min="2826" max="3072" width="9" style="518"/>
    <col min="3073" max="3073" width="5.75" style="518" bestFit="1" customWidth="1"/>
    <col min="3074" max="3074" width="38.125" style="518" customWidth="1"/>
    <col min="3075" max="3075" width="9.625" style="518" customWidth="1"/>
    <col min="3076" max="3076" width="11.25" style="518" customWidth="1"/>
    <col min="3077" max="3077" width="10.625" style="518" customWidth="1"/>
    <col min="3078" max="3078" width="14.375" style="518" customWidth="1"/>
    <col min="3079" max="3079" width="11.125" style="518" customWidth="1"/>
    <col min="3080" max="3080" width="10.75" style="518" customWidth="1"/>
    <col min="3081" max="3081" width="11" style="518" customWidth="1"/>
    <col min="3082" max="3328" width="9" style="518"/>
    <col min="3329" max="3329" width="5.75" style="518" bestFit="1" customWidth="1"/>
    <col min="3330" max="3330" width="38.125" style="518" customWidth="1"/>
    <col min="3331" max="3331" width="9.625" style="518" customWidth="1"/>
    <col min="3332" max="3332" width="11.25" style="518" customWidth="1"/>
    <col min="3333" max="3333" width="10.625" style="518" customWidth="1"/>
    <col min="3334" max="3334" width="14.375" style="518" customWidth="1"/>
    <col min="3335" max="3335" width="11.125" style="518" customWidth="1"/>
    <col min="3336" max="3336" width="10.75" style="518" customWidth="1"/>
    <col min="3337" max="3337" width="11" style="518" customWidth="1"/>
    <col min="3338" max="3584" width="9" style="518"/>
    <col min="3585" max="3585" width="5.75" style="518" bestFit="1" customWidth="1"/>
    <col min="3586" max="3586" width="38.125" style="518" customWidth="1"/>
    <col min="3587" max="3587" width="9.625" style="518" customWidth="1"/>
    <col min="3588" max="3588" width="11.25" style="518" customWidth="1"/>
    <col min="3589" max="3589" width="10.625" style="518" customWidth="1"/>
    <col min="3590" max="3590" width="14.375" style="518" customWidth="1"/>
    <col min="3591" max="3591" width="11.125" style="518" customWidth="1"/>
    <col min="3592" max="3592" width="10.75" style="518" customWidth="1"/>
    <col min="3593" max="3593" width="11" style="518" customWidth="1"/>
    <col min="3594" max="3840" width="9" style="518"/>
    <col min="3841" max="3841" width="5.75" style="518" bestFit="1" customWidth="1"/>
    <col min="3842" max="3842" width="38.125" style="518" customWidth="1"/>
    <col min="3843" max="3843" width="9.625" style="518" customWidth="1"/>
    <col min="3844" max="3844" width="11.25" style="518" customWidth="1"/>
    <col min="3845" max="3845" width="10.625" style="518" customWidth="1"/>
    <col min="3846" max="3846" width="14.375" style="518" customWidth="1"/>
    <col min="3847" max="3847" width="11.125" style="518" customWidth="1"/>
    <col min="3848" max="3848" width="10.75" style="518" customWidth="1"/>
    <col min="3849" max="3849" width="11" style="518" customWidth="1"/>
    <col min="3850" max="4096" width="9" style="518"/>
    <col min="4097" max="4097" width="5.75" style="518" bestFit="1" customWidth="1"/>
    <col min="4098" max="4098" width="38.125" style="518" customWidth="1"/>
    <col min="4099" max="4099" width="9.625" style="518" customWidth="1"/>
    <col min="4100" max="4100" width="11.25" style="518" customWidth="1"/>
    <col min="4101" max="4101" width="10.625" style="518" customWidth="1"/>
    <col min="4102" max="4102" width="14.375" style="518" customWidth="1"/>
    <col min="4103" max="4103" width="11.125" style="518" customWidth="1"/>
    <col min="4104" max="4104" width="10.75" style="518" customWidth="1"/>
    <col min="4105" max="4105" width="11" style="518" customWidth="1"/>
    <col min="4106" max="4352" width="9" style="518"/>
    <col min="4353" max="4353" width="5.75" style="518" bestFit="1" customWidth="1"/>
    <col min="4354" max="4354" width="38.125" style="518" customWidth="1"/>
    <col min="4355" max="4355" width="9.625" style="518" customWidth="1"/>
    <col min="4356" max="4356" width="11.25" style="518" customWidth="1"/>
    <col min="4357" max="4357" width="10.625" style="518" customWidth="1"/>
    <col min="4358" max="4358" width="14.375" style="518" customWidth="1"/>
    <col min="4359" max="4359" width="11.125" style="518" customWidth="1"/>
    <col min="4360" max="4360" width="10.75" style="518" customWidth="1"/>
    <col min="4361" max="4361" width="11" style="518" customWidth="1"/>
    <col min="4362" max="4608" width="9" style="518"/>
    <col min="4609" max="4609" width="5.75" style="518" bestFit="1" customWidth="1"/>
    <col min="4610" max="4610" width="38.125" style="518" customWidth="1"/>
    <col min="4611" max="4611" width="9.625" style="518" customWidth="1"/>
    <col min="4612" max="4612" width="11.25" style="518" customWidth="1"/>
    <col min="4613" max="4613" width="10.625" style="518" customWidth="1"/>
    <col min="4614" max="4614" width="14.375" style="518" customWidth="1"/>
    <col min="4615" max="4615" width="11.125" style="518" customWidth="1"/>
    <col min="4616" max="4616" width="10.75" style="518" customWidth="1"/>
    <col min="4617" max="4617" width="11" style="518" customWidth="1"/>
    <col min="4618" max="4864" width="9" style="518"/>
    <col min="4865" max="4865" width="5.75" style="518" bestFit="1" customWidth="1"/>
    <col min="4866" max="4866" width="38.125" style="518" customWidth="1"/>
    <col min="4867" max="4867" width="9.625" style="518" customWidth="1"/>
    <col min="4868" max="4868" width="11.25" style="518" customWidth="1"/>
    <col min="4869" max="4869" width="10.625" style="518" customWidth="1"/>
    <col min="4870" max="4870" width="14.375" style="518" customWidth="1"/>
    <col min="4871" max="4871" width="11.125" style="518" customWidth="1"/>
    <col min="4872" max="4872" width="10.75" style="518" customWidth="1"/>
    <col min="4873" max="4873" width="11" style="518" customWidth="1"/>
    <col min="4874" max="5120" width="9" style="518"/>
    <col min="5121" max="5121" width="5.75" style="518" bestFit="1" customWidth="1"/>
    <col min="5122" max="5122" width="38.125" style="518" customWidth="1"/>
    <col min="5123" max="5123" width="9.625" style="518" customWidth="1"/>
    <col min="5124" max="5124" width="11.25" style="518" customWidth="1"/>
    <col min="5125" max="5125" width="10.625" style="518" customWidth="1"/>
    <col min="5126" max="5126" width="14.375" style="518" customWidth="1"/>
    <col min="5127" max="5127" width="11.125" style="518" customWidth="1"/>
    <col min="5128" max="5128" width="10.75" style="518" customWidth="1"/>
    <col min="5129" max="5129" width="11" style="518" customWidth="1"/>
    <col min="5130" max="5376" width="9" style="518"/>
    <col min="5377" max="5377" width="5.75" style="518" bestFit="1" customWidth="1"/>
    <col min="5378" max="5378" width="38.125" style="518" customWidth="1"/>
    <col min="5379" max="5379" width="9.625" style="518" customWidth="1"/>
    <col min="5380" max="5380" width="11.25" style="518" customWidth="1"/>
    <col min="5381" max="5381" width="10.625" style="518" customWidth="1"/>
    <col min="5382" max="5382" width="14.375" style="518" customWidth="1"/>
    <col min="5383" max="5383" width="11.125" style="518" customWidth="1"/>
    <col min="5384" max="5384" width="10.75" style="518" customWidth="1"/>
    <col min="5385" max="5385" width="11" style="518" customWidth="1"/>
    <col min="5386" max="5632" width="9" style="518"/>
    <col min="5633" max="5633" width="5.75" style="518" bestFit="1" customWidth="1"/>
    <col min="5634" max="5634" width="38.125" style="518" customWidth="1"/>
    <col min="5635" max="5635" width="9.625" style="518" customWidth="1"/>
    <col min="5636" max="5636" width="11.25" style="518" customWidth="1"/>
    <col min="5637" max="5637" width="10.625" style="518" customWidth="1"/>
    <col min="5638" max="5638" width="14.375" style="518" customWidth="1"/>
    <col min="5639" max="5639" width="11.125" style="518" customWidth="1"/>
    <col min="5640" max="5640" width="10.75" style="518" customWidth="1"/>
    <col min="5641" max="5641" width="11" style="518" customWidth="1"/>
    <col min="5642" max="5888" width="9" style="518"/>
    <col min="5889" max="5889" width="5.75" style="518" bestFit="1" customWidth="1"/>
    <col min="5890" max="5890" width="38.125" style="518" customWidth="1"/>
    <col min="5891" max="5891" width="9.625" style="518" customWidth="1"/>
    <col min="5892" max="5892" width="11.25" style="518" customWidth="1"/>
    <col min="5893" max="5893" width="10.625" style="518" customWidth="1"/>
    <col min="5894" max="5894" width="14.375" style="518" customWidth="1"/>
    <col min="5895" max="5895" width="11.125" style="518" customWidth="1"/>
    <col min="5896" max="5896" width="10.75" style="518" customWidth="1"/>
    <col min="5897" max="5897" width="11" style="518" customWidth="1"/>
    <col min="5898" max="6144" width="9" style="518"/>
    <col min="6145" max="6145" width="5.75" style="518" bestFit="1" customWidth="1"/>
    <col min="6146" max="6146" width="38.125" style="518" customWidth="1"/>
    <col min="6147" max="6147" width="9.625" style="518" customWidth="1"/>
    <col min="6148" max="6148" width="11.25" style="518" customWidth="1"/>
    <col min="6149" max="6149" width="10.625" style="518" customWidth="1"/>
    <col min="6150" max="6150" width="14.375" style="518" customWidth="1"/>
    <col min="6151" max="6151" width="11.125" style="518" customWidth="1"/>
    <col min="6152" max="6152" width="10.75" style="518" customWidth="1"/>
    <col min="6153" max="6153" width="11" style="518" customWidth="1"/>
    <col min="6154" max="6400" width="9" style="518"/>
    <col min="6401" max="6401" width="5.75" style="518" bestFit="1" customWidth="1"/>
    <col min="6402" max="6402" width="38.125" style="518" customWidth="1"/>
    <col min="6403" max="6403" width="9.625" style="518" customWidth="1"/>
    <col min="6404" max="6404" width="11.25" style="518" customWidth="1"/>
    <col min="6405" max="6405" width="10.625" style="518" customWidth="1"/>
    <col min="6406" max="6406" width="14.375" style="518" customWidth="1"/>
    <col min="6407" max="6407" width="11.125" style="518" customWidth="1"/>
    <col min="6408" max="6408" width="10.75" style="518" customWidth="1"/>
    <col min="6409" max="6409" width="11" style="518" customWidth="1"/>
    <col min="6410" max="6656" width="9" style="518"/>
    <col min="6657" max="6657" width="5.75" style="518" bestFit="1" customWidth="1"/>
    <col min="6658" max="6658" width="38.125" style="518" customWidth="1"/>
    <col min="6659" max="6659" width="9.625" style="518" customWidth="1"/>
    <col min="6660" max="6660" width="11.25" style="518" customWidth="1"/>
    <col min="6661" max="6661" width="10.625" style="518" customWidth="1"/>
    <col min="6662" max="6662" width="14.375" style="518" customWidth="1"/>
    <col min="6663" max="6663" width="11.125" style="518" customWidth="1"/>
    <col min="6664" max="6664" width="10.75" style="518" customWidth="1"/>
    <col min="6665" max="6665" width="11" style="518" customWidth="1"/>
    <col min="6666" max="6912" width="9" style="518"/>
    <col min="6913" max="6913" width="5.75" style="518" bestFit="1" customWidth="1"/>
    <col min="6914" max="6914" width="38.125" style="518" customWidth="1"/>
    <col min="6915" max="6915" width="9.625" style="518" customWidth="1"/>
    <col min="6916" max="6916" width="11.25" style="518" customWidth="1"/>
    <col min="6917" max="6917" width="10.625" style="518" customWidth="1"/>
    <col min="6918" max="6918" width="14.375" style="518" customWidth="1"/>
    <col min="6919" max="6919" width="11.125" style="518" customWidth="1"/>
    <col min="6920" max="6920" width="10.75" style="518" customWidth="1"/>
    <col min="6921" max="6921" width="11" style="518" customWidth="1"/>
    <col min="6922" max="7168" width="9" style="518"/>
    <col min="7169" max="7169" width="5.75" style="518" bestFit="1" customWidth="1"/>
    <col min="7170" max="7170" width="38.125" style="518" customWidth="1"/>
    <col min="7171" max="7171" width="9.625" style="518" customWidth="1"/>
    <col min="7172" max="7172" width="11.25" style="518" customWidth="1"/>
    <col min="7173" max="7173" width="10.625" style="518" customWidth="1"/>
    <col min="7174" max="7174" width="14.375" style="518" customWidth="1"/>
    <col min="7175" max="7175" width="11.125" style="518" customWidth="1"/>
    <col min="7176" max="7176" width="10.75" style="518" customWidth="1"/>
    <col min="7177" max="7177" width="11" style="518" customWidth="1"/>
    <col min="7178" max="7424" width="9" style="518"/>
    <col min="7425" max="7425" width="5.75" style="518" bestFit="1" customWidth="1"/>
    <col min="7426" max="7426" width="38.125" style="518" customWidth="1"/>
    <col min="7427" max="7427" width="9.625" style="518" customWidth="1"/>
    <col min="7428" max="7428" width="11.25" style="518" customWidth="1"/>
    <col min="7429" max="7429" width="10.625" style="518" customWidth="1"/>
    <col min="7430" max="7430" width="14.375" style="518" customWidth="1"/>
    <col min="7431" max="7431" width="11.125" style="518" customWidth="1"/>
    <col min="7432" max="7432" width="10.75" style="518" customWidth="1"/>
    <col min="7433" max="7433" width="11" style="518" customWidth="1"/>
    <col min="7434" max="7680" width="9" style="518"/>
    <col min="7681" max="7681" width="5.75" style="518" bestFit="1" customWidth="1"/>
    <col min="7682" max="7682" width="38.125" style="518" customWidth="1"/>
    <col min="7683" max="7683" width="9.625" style="518" customWidth="1"/>
    <col min="7684" max="7684" width="11.25" style="518" customWidth="1"/>
    <col min="7685" max="7685" width="10.625" style="518" customWidth="1"/>
    <col min="7686" max="7686" width="14.375" style="518" customWidth="1"/>
    <col min="7687" max="7687" width="11.125" style="518" customWidth="1"/>
    <col min="7688" max="7688" width="10.75" style="518" customWidth="1"/>
    <col min="7689" max="7689" width="11" style="518" customWidth="1"/>
    <col min="7690" max="7936" width="9" style="518"/>
    <col min="7937" max="7937" width="5.75" style="518" bestFit="1" customWidth="1"/>
    <col min="7938" max="7938" width="38.125" style="518" customWidth="1"/>
    <col min="7939" max="7939" width="9.625" style="518" customWidth="1"/>
    <col min="7940" max="7940" width="11.25" style="518" customWidth="1"/>
    <col min="7941" max="7941" width="10.625" style="518" customWidth="1"/>
    <col min="7942" max="7942" width="14.375" style="518" customWidth="1"/>
    <col min="7943" max="7943" width="11.125" style="518" customWidth="1"/>
    <col min="7944" max="7944" width="10.75" style="518" customWidth="1"/>
    <col min="7945" max="7945" width="11" style="518" customWidth="1"/>
    <col min="7946" max="8192" width="9" style="518"/>
    <col min="8193" max="8193" width="5.75" style="518" bestFit="1" customWidth="1"/>
    <col min="8194" max="8194" width="38.125" style="518" customWidth="1"/>
    <col min="8195" max="8195" width="9.625" style="518" customWidth="1"/>
    <col min="8196" max="8196" width="11.25" style="518" customWidth="1"/>
    <col min="8197" max="8197" width="10.625" style="518" customWidth="1"/>
    <col min="8198" max="8198" width="14.375" style="518" customWidth="1"/>
    <col min="8199" max="8199" width="11.125" style="518" customWidth="1"/>
    <col min="8200" max="8200" width="10.75" style="518" customWidth="1"/>
    <col min="8201" max="8201" width="11" style="518" customWidth="1"/>
    <col min="8202" max="8448" width="9" style="518"/>
    <col min="8449" max="8449" width="5.75" style="518" bestFit="1" customWidth="1"/>
    <col min="8450" max="8450" width="38.125" style="518" customWidth="1"/>
    <col min="8451" max="8451" width="9.625" style="518" customWidth="1"/>
    <col min="8452" max="8452" width="11.25" style="518" customWidth="1"/>
    <col min="8453" max="8453" width="10.625" style="518" customWidth="1"/>
    <col min="8454" max="8454" width="14.375" style="518" customWidth="1"/>
    <col min="8455" max="8455" width="11.125" style="518" customWidth="1"/>
    <col min="8456" max="8456" width="10.75" style="518" customWidth="1"/>
    <col min="8457" max="8457" width="11" style="518" customWidth="1"/>
    <col min="8458" max="8704" width="9" style="518"/>
    <col min="8705" max="8705" width="5.75" style="518" bestFit="1" customWidth="1"/>
    <col min="8706" max="8706" width="38.125" style="518" customWidth="1"/>
    <col min="8707" max="8707" width="9.625" style="518" customWidth="1"/>
    <col min="8708" max="8708" width="11.25" style="518" customWidth="1"/>
    <col min="8709" max="8709" width="10.625" style="518" customWidth="1"/>
    <col min="8710" max="8710" width="14.375" style="518" customWidth="1"/>
    <col min="8711" max="8711" width="11.125" style="518" customWidth="1"/>
    <col min="8712" max="8712" width="10.75" style="518" customWidth="1"/>
    <col min="8713" max="8713" width="11" style="518" customWidth="1"/>
    <col min="8714" max="8960" width="9" style="518"/>
    <col min="8961" max="8961" width="5.75" style="518" bestFit="1" customWidth="1"/>
    <col min="8962" max="8962" width="38.125" style="518" customWidth="1"/>
    <col min="8963" max="8963" width="9.625" style="518" customWidth="1"/>
    <col min="8964" max="8964" width="11.25" style="518" customWidth="1"/>
    <col min="8965" max="8965" width="10.625" style="518" customWidth="1"/>
    <col min="8966" max="8966" width="14.375" style="518" customWidth="1"/>
    <col min="8967" max="8967" width="11.125" style="518" customWidth="1"/>
    <col min="8968" max="8968" width="10.75" style="518" customWidth="1"/>
    <col min="8969" max="8969" width="11" style="518" customWidth="1"/>
    <col min="8970" max="9216" width="9" style="518"/>
    <col min="9217" max="9217" width="5.75" style="518" bestFit="1" customWidth="1"/>
    <col min="9218" max="9218" width="38.125" style="518" customWidth="1"/>
    <col min="9219" max="9219" width="9.625" style="518" customWidth="1"/>
    <col min="9220" max="9220" width="11.25" style="518" customWidth="1"/>
    <col min="9221" max="9221" width="10.625" style="518" customWidth="1"/>
    <col min="9222" max="9222" width="14.375" style="518" customWidth="1"/>
    <col min="9223" max="9223" width="11.125" style="518" customWidth="1"/>
    <col min="9224" max="9224" width="10.75" style="518" customWidth="1"/>
    <col min="9225" max="9225" width="11" style="518" customWidth="1"/>
    <col min="9226" max="9472" width="9" style="518"/>
    <col min="9473" max="9473" width="5.75" style="518" bestFit="1" customWidth="1"/>
    <col min="9474" max="9474" width="38.125" style="518" customWidth="1"/>
    <col min="9475" max="9475" width="9.625" style="518" customWidth="1"/>
    <col min="9476" max="9476" width="11.25" style="518" customWidth="1"/>
    <col min="9477" max="9477" width="10.625" style="518" customWidth="1"/>
    <col min="9478" max="9478" width="14.375" style="518" customWidth="1"/>
    <col min="9479" max="9479" width="11.125" style="518" customWidth="1"/>
    <col min="9480" max="9480" width="10.75" style="518" customWidth="1"/>
    <col min="9481" max="9481" width="11" style="518" customWidth="1"/>
    <col min="9482" max="9728" width="9" style="518"/>
    <col min="9729" max="9729" width="5.75" style="518" bestFit="1" customWidth="1"/>
    <col min="9730" max="9730" width="38.125" style="518" customWidth="1"/>
    <col min="9731" max="9731" width="9.625" style="518" customWidth="1"/>
    <col min="9732" max="9732" width="11.25" style="518" customWidth="1"/>
    <col min="9733" max="9733" width="10.625" style="518" customWidth="1"/>
    <col min="9734" max="9734" width="14.375" style="518" customWidth="1"/>
    <col min="9735" max="9735" width="11.125" style="518" customWidth="1"/>
    <col min="9736" max="9736" width="10.75" style="518" customWidth="1"/>
    <col min="9737" max="9737" width="11" style="518" customWidth="1"/>
    <col min="9738" max="9984" width="9" style="518"/>
    <col min="9985" max="9985" width="5.75" style="518" bestFit="1" customWidth="1"/>
    <col min="9986" max="9986" width="38.125" style="518" customWidth="1"/>
    <col min="9987" max="9987" width="9.625" style="518" customWidth="1"/>
    <col min="9988" max="9988" width="11.25" style="518" customWidth="1"/>
    <col min="9989" max="9989" width="10.625" style="518" customWidth="1"/>
    <col min="9990" max="9990" width="14.375" style="518" customWidth="1"/>
    <col min="9991" max="9991" width="11.125" style="518" customWidth="1"/>
    <col min="9992" max="9992" width="10.75" style="518" customWidth="1"/>
    <col min="9993" max="9993" width="11" style="518" customWidth="1"/>
    <col min="9994" max="10240" width="9" style="518"/>
    <col min="10241" max="10241" width="5.75" style="518" bestFit="1" customWidth="1"/>
    <col min="10242" max="10242" width="38.125" style="518" customWidth="1"/>
    <col min="10243" max="10243" width="9.625" style="518" customWidth="1"/>
    <col min="10244" max="10244" width="11.25" style="518" customWidth="1"/>
    <col min="10245" max="10245" width="10.625" style="518" customWidth="1"/>
    <col min="10246" max="10246" width="14.375" style="518" customWidth="1"/>
    <col min="10247" max="10247" width="11.125" style="518" customWidth="1"/>
    <col min="10248" max="10248" width="10.75" style="518" customWidth="1"/>
    <col min="10249" max="10249" width="11" style="518" customWidth="1"/>
    <col min="10250" max="10496" width="9" style="518"/>
    <col min="10497" max="10497" width="5.75" style="518" bestFit="1" customWidth="1"/>
    <col min="10498" max="10498" width="38.125" style="518" customWidth="1"/>
    <col min="10499" max="10499" width="9.625" style="518" customWidth="1"/>
    <col min="10500" max="10500" width="11.25" style="518" customWidth="1"/>
    <col min="10501" max="10501" width="10.625" style="518" customWidth="1"/>
    <col min="10502" max="10502" width="14.375" style="518" customWidth="1"/>
    <col min="10503" max="10503" width="11.125" style="518" customWidth="1"/>
    <col min="10504" max="10504" width="10.75" style="518" customWidth="1"/>
    <col min="10505" max="10505" width="11" style="518" customWidth="1"/>
    <col min="10506" max="10752" width="9" style="518"/>
    <col min="10753" max="10753" width="5.75" style="518" bestFit="1" customWidth="1"/>
    <col min="10754" max="10754" width="38.125" style="518" customWidth="1"/>
    <col min="10755" max="10755" width="9.625" style="518" customWidth="1"/>
    <col min="10756" max="10756" width="11.25" style="518" customWidth="1"/>
    <col min="10757" max="10757" width="10.625" style="518" customWidth="1"/>
    <col min="10758" max="10758" width="14.375" style="518" customWidth="1"/>
    <col min="10759" max="10759" width="11.125" style="518" customWidth="1"/>
    <col min="10760" max="10760" width="10.75" style="518" customWidth="1"/>
    <col min="10761" max="10761" width="11" style="518" customWidth="1"/>
    <col min="10762" max="11008" width="9" style="518"/>
    <col min="11009" max="11009" width="5.75" style="518" bestFit="1" customWidth="1"/>
    <col min="11010" max="11010" width="38.125" style="518" customWidth="1"/>
    <col min="11011" max="11011" width="9.625" style="518" customWidth="1"/>
    <col min="11012" max="11012" width="11.25" style="518" customWidth="1"/>
    <col min="11013" max="11013" width="10.625" style="518" customWidth="1"/>
    <col min="11014" max="11014" width="14.375" style="518" customWidth="1"/>
    <col min="11015" max="11015" width="11.125" style="518" customWidth="1"/>
    <col min="11016" max="11016" width="10.75" style="518" customWidth="1"/>
    <col min="11017" max="11017" width="11" style="518" customWidth="1"/>
    <col min="11018" max="11264" width="9" style="518"/>
    <col min="11265" max="11265" width="5.75" style="518" bestFit="1" customWidth="1"/>
    <col min="11266" max="11266" width="38.125" style="518" customWidth="1"/>
    <col min="11267" max="11267" width="9.625" style="518" customWidth="1"/>
    <col min="11268" max="11268" width="11.25" style="518" customWidth="1"/>
    <col min="11269" max="11269" width="10.625" style="518" customWidth="1"/>
    <col min="11270" max="11270" width="14.375" style="518" customWidth="1"/>
    <col min="11271" max="11271" width="11.125" style="518" customWidth="1"/>
    <col min="11272" max="11272" width="10.75" style="518" customWidth="1"/>
    <col min="11273" max="11273" width="11" style="518" customWidth="1"/>
    <col min="11274" max="11520" width="9" style="518"/>
    <col min="11521" max="11521" width="5.75" style="518" bestFit="1" customWidth="1"/>
    <col min="11522" max="11522" width="38.125" style="518" customWidth="1"/>
    <col min="11523" max="11523" width="9.625" style="518" customWidth="1"/>
    <col min="11524" max="11524" width="11.25" style="518" customWidth="1"/>
    <col min="11525" max="11525" width="10.625" style="518" customWidth="1"/>
    <col min="11526" max="11526" width="14.375" style="518" customWidth="1"/>
    <col min="11527" max="11527" width="11.125" style="518" customWidth="1"/>
    <col min="11528" max="11528" width="10.75" style="518" customWidth="1"/>
    <col min="11529" max="11529" width="11" style="518" customWidth="1"/>
    <col min="11530" max="11776" width="9" style="518"/>
    <col min="11777" max="11777" width="5.75" style="518" bestFit="1" customWidth="1"/>
    <col min="11778" max="11778" width="38.125" style="518" customWidth="1"/>
    <col min="11779" max="11779" width="9.625" style="518" customWidth="1"/>
    <col min="11780" max="11780" width="11.25" style="518" customWidth="1"/>
    <col min="11781" max="11781" width="10.625" style="518" customWidth="1"/>
    <col min="11782" max="11782" width="14.375" style="518" customWidth="1"/>
    <col min="11783" max="11783" width="11.125" style="518" customWidth="1"/>
    <col min="11784" max="11784" width="10.75" style="518" customWidth="1"/>
    <col min="11785" max="11785" width="11" style="518" customWidth="1"/>
    <col min="11786" max="12032" width="9" style="518"/>
    <col min="12033" max="12033" width="5.75" style="518" bestFit="1" customWidth="1"/>
    <col min="12034" max="12034" width="38.125" style="518" customWidth="1"/>
    <col min="12035" max="12035" width="9.625" style="518" customWidth="1"/>
    <col min="12036" max="12036" width="11.25" style="518" customWidth="1"/>
    <col min="12037" max="12037" width="10.625" style="518" customWidth="1"/>
    <col min="12038" max="12038" width="14.375" style="518" customWidth="1"/>
    <col min="12039" max="12039" width="11.125" style="518" customWidth="1"/>
    <col min="12040" max="12040" width="10.75" style="518" customWidth="1"/>
    <col min="12041" max="12041" width="11" style="518" customWidth="1"/>
    <col min="12042" max="12288" width="9" style="518"/>
    <col min="12289" max="12289" width="5.75" style="518" bestFit="1" customWidth="1"/>
    <col min="12290" max="12290" width="38.125" style="518" customWidth="1"/>
    <col min="12291" max="12291" width="9.625" style="518" customWidth="1"/>
    <col min="12292" max="12292" width="11.25" style="518" customWidth="1"/>
    <col min="12293" max="12293" width="10.625" style="518" customWidth="1"/>
    <col min="12294" max="12294" width="14.375" style="518" customWidth="1"/>
    <col min="12295" max="12295" width="11.125" style="518" customWidth="1"/>
    <col min="12296" max="12296" width="10.75" style="518" customWidth="1"/>
    <col min="12297" max="12297" width="11" style="518" customWidth="1"/>
    <col min="12298" max="12544" width="9" style="518"/>
    <col min="12545" max="12545" width="5.75" style="518" bestFit="1" customWidth="1"/>
    <col min="12546" max="12546" width="38.125" style="518" customWidth="1"/>
    <col min="12547" max="12547" width="9.625" style="518" customWidth="1"/>
    <col min="12548" max="12548" width="11.25" style="518" customWidth="1"/>
    <col min="12549" max="12549" width="10.625" style="518" customWidth="1"/>
    <col min="12550" max="12550" width="14.375" style="518" customWidth="1"/>
    <col min="12551" max="12551" width="11.125" style="518" customWidth="1"/>
    <col min="12552" max="12552" width="10.75" style="518" customWidth="1"/>
    <col min="12553" max="12553" width="11" style="518" customWidth="1"/>
    <col min="12554" max="12800" width="9" style="518"/>
    <col min="12801" max="12801" width="5.75" style="518" bestFit="1" customWidth="1"/>
    <col min="12802" max="12802" width="38.125" style="518" customWidth="1"/>
    <col min="12803" max="12803" width="9.625" style="518" customWidth="1"/>
    <col min="12804" max="12804" width="11.25" style="518" customWidth="1"/>
    <col min="12805" max="12805" width="10.625" style="518" customWidth="1"/>
    <col min="12806" max="12806" width="14.375" style="518" customWidth="1"/>
    <col min="12807" max="12807" width="11.125" style="518" customWidth="1"/>
    <col min="12808" max="12808" width="10.75" style="518" customWidth="1"/>
    <col min="12809" max="12809" width="11" style="518" customWidth="1"/>
    <col min="12810" max="13056" width="9" style="518"/>
    <col min="13057" max="13057" width="5.75" style="518" bestFit="1" customWidth="1"/>
    <col min="13058" max="13058" width="38.125" style="518" customWidth="1"/>
    <col min="13059" max="13059" width="9.625" style="518" customWidth="1"/>
    <col min="13060" max="13060" width="11.25" style="518" customWidth="1"/>
    <col min="13061" max="13061" width="10.625" style="518" customWidth="1"/>
    <col min="13062" max="13062" width="14.375" style="518" customWidth="1"/>
    <col min="13063" max="13063" width="11.125" style="518" customWidth="1"/>
    <col min="13064" max="13064" width="10.75" style="518" customWidth="1"/>
    <col min="13065" max="13065" width="11" style="518" customWidth="1"/>
    <col min="13066" max="13312" width="9" style="518"/>
    <col min="13313" max="13313" width="5.75" style="518" bestFit="1" customWidth="1"/>
    <col min="13314" max="13314" width="38.125" style="518" customWidth="1"/>
    <col min="13315" max="13315" width="9.625" style="518" customWidth="1"/>
    <col min="13316" max="13316" width="11.25" style="518" customWidth="1"/>
    <col min="13317" max="13317" width="10.625" style="518" customWidth="1"/>
    <col min="13318" max="13318" width="14.375" style="518" customWidth="1"/>
    <col min="13319" max="13319" width="11.125" style="518" customWidth="1"/>
    <col min="13320" max="13320" width="10.75" style="518" customWidth="1"/>
    <col min="13321" max="13321" width="11" style="518" customWidth="1"/>
    <col min="13322" max="13568" width="9" style="518"/>
    <col min="13569" max="13569" width="5.75" style="518" bestFit="1" customWidth="1"/>
    <col min="13570" max="13570" width="38.125" style="518" customWidth="1"/>
    <col min="13571" max="13571" width="9.625" style="518" customWidth="1"/>
    <col min="13572" max="13572" width="11.25" style="518" customWidth="1"/>
    <col min="13573" max="13573" width="10.625" style="518" customWidth="1"/>
    <col min="13574" max="13574" width="14.375" style="518" customWidth="1"/>
    <col min="13575" max="13575" width="11.125" style="518" customWidth="1"/>
    <col min="13576" max="13576" width="10.75" style="518" customWidth="1"/>
    <col min="13577" max="13577" width="11" style="518" customWidth="1"/>
    <col min="13578" max="13824" width="9" style="518"/>
    <col min="13825" max="13825" width="5.75" style="518" bestFit="1" customWidth="1"/>
    <col min="13826" max="13826" width="38.125" style="518" customWidth="1"/>
    <col min="13827" max="13827" width="9.625" style="518" customWidth="1"/>
    <col min="13828" max="13828" width="11.25" style="518" customWidth="1"/>
    <col min="13829" max="13829" width="10.625" style="518" customWidth="1"/>
    <col min="13830" max="13830" width="14.375" style="518" customWidth="1"/>
    <col min="13831" max="13831" width="11.125" style="518" customWidth="1"/>
    <col min="13832" max="13832" width="10.75" style="518" customWidth="1"/>
    <col min="13833" max="13833" width="11" style="518" customWidth="1"/>
    <col min="13834" max="14080" width="9" style="518"/>
    <col min="14081" max="14081" width="5.75" style="518" bestFit="1" customWidth="1"/>
    <col min="14082" max="14082" width="38.125" style="518" customWidth="1"/>
    <col min="14083" max="14083" width="9.625" style="518" customWidth="1"/>
    <col min="14084" max="14084" width="11.25" style="518" customWidth="1"/>
    <col min="14085" max="14085" width="10.625" style="518" customWidth="1"/>
    <col min="14086" max="14086" width="14.375" style="518" customWidth="1"/>
    <col min="14087" max="14087" width="11.125" style="518" customWidth="1"/>
    <col min="14088" max="14088" width="10.75" style="518" customWidth="1"/>
    <col min="14089" max="14089" width="11" style="518" customWidth="1"/>
    <col min="14090" max="14336" width="9" style="518"/>
    <col min="14337" max="14337" width="5.75" style="518" bestFit="1" customWidth="1"/>
    <col min="14338" max="14338" width="38.125" style="518" customWidth="1"/>
    <col min="14339" max="14339" width="9.625" style="518" customWidth="1"/>
    <col min="14340" max="14340" width="11.25" style="518" customWidth="1"/>
    <col min="14341" max="14341" width="10.625" style="518" customWidth="1"/>
    <col min="14342" max="14342" width="14.375" style="518" customWidth="1"/>
    <col min="14343" max="14343" width="11.125" style="518" customWidth="1"/>
    <col min="14344" max="14344" width="10.75" style="518" customWidth="1"/>
    <col min="14345" max="14345" width="11" style="518" customWidth="1"/>
    <col min="14346" max="14592" width="9" style="518"/>
    <col min="14593" max="14593" width="5.75" style="518" bestFit="1" customWidth="1"/>
    <col min="14594" max="14594" width="38.125" style="518" customWidth="1"/>
    <col min="14595" max="14595" width="9.625" style="518" customWidth="1"/>
    <col min="14596" max="14596" width="11.25" style="518" customWidth="1"/>
    <col min="14597" max="14597" width="10.625" style="518" customWidth="1"/>
    <col min="14598" max="14598" width="14.375" style="518" customWidth="1"/>
    <col min="14599" max="14599" width="11.125" style="518" customWidth="1"/>
    <col min="14600" max="14600" width="10.75" style="518" customWidth="1"/>
    <col min="14601" max="14601" width="11" style="518" customWidth="1"/>
    <col min="14602" max="14848" width="9" style="518"/>
    <col min="14849" max="14849" width="5.75" style="518" bestFit="1" customWidth="1"/>
    <col min="14850" max="14850" width="38.125" style="518" customWidth="1"/>
    <col min="14851" max="14851" width="9.625" style="518" customWidth="1"/>
    <col min="14852" max="14852" width="11.25" style="518" customWidth="1"/>
    <col min="14853" max="14853" width="10.625" style="518" customWidth="1"/>
    <col min="14854" max="14854" width="14.375" style="518" customWidth="1"/>
    <col min="14855" max="14855" width="11.125" style="518" customWidth="1"/>
    <col min="14856" max="14856" width="10.75" style="518" customWidth="1"/>
    <col min="14857" max="14857" width="11" style="518" customWidth="1"/>
    <col min="14858" max="15104" width="9" style="518"/>
    <col min="15105" max="15105" width="5.75" style="518" bestFit="1" customWidth="1"/>
    <col min="15106" max="15106" width="38.125" style="518" customWidth="1"/>
    <col min="15107" max="15107" width="9.625" style="518" customWidth="1"/>
    <col min="15108" max="15108" width="11.25" style="518" customWidth="1"/>
    <col min="15109" max="15109" width="10.625" style="518" customWidth="1"/>
    <col min="15110" max="15110" width="14.375" style="518" customWidth="1"/>
    <col min="15111" max="15111" width="11.125" style="518" customWidth="1"/>
    <col min="15112" max="15112" width="10.75" style="518" customWidth="1"/>
    <col min="15113" max="15113" width="11" style="518" customWidth="1"/>
    <col min="15114" max="15360" width="9" style="518"/>
    <col min="15361" max="15361" width="5.75" style="518" bestFit="1" customWidth="1"/>
    <col min="15362" max="15362" width="38.125" style="518" customWidth="1"/>
    <col min="15363" max="15363" width="9.625" style="518" customWidth="1"/>
    <col min="15364" max="15364" width="11.25" style="518" customWidth="1"/>
    <col min="15365" max="15365" width="10.625" style="518" customWidth="1"/>
    <col min="15366" max="15366" width="14.375" style="518" customWidth="1"/>
    <col min="15367" max="15367" width="11.125" style="518" customWidth="1"/>
    <col min="15368" max="15368" width="10.75" style="518" customWidth="1"/>
    <col min="15369" max="15369" width="11" style="518" customWidth="1"/>
    <col min="15370" max="15616" width="9" style="518"/>
    <col min="15617" max="15617" width="5.75" style="518" bestFit="1" customWidth="1"/>
    <col min="15618" max="15618" width="38.125" style="518" customWidth="1"/>
    <col min="15619" max="15619" width="9.625" style="518" customWidth="1"/>
    <col min="15620" max="15620" width="11.25" style="518" customWidth="1"/>
    <col min="15621" max="15621" width="10.625" style="518" customWidth="1"/>
    <col min="15622" max="15622" width="14.375" style="518" customWidth="1"/>
    <col min="15623" max="15623" width="11.125" style="518" customWidth="1"/>
    <col min="15624" max="15624" width="10.75" style="518" customWidth="1"/>
    <col min="15625" max="15625" width="11" style="518" customWidth="1"/>
    <col min="15626" max="15872" width="9" style="518"/>
    <col min="15873" max="15873" width="5.75" style="518" bestFit="1" customWidth="1"/>
    <col min="15874" max="15874" width="38.125" style="518" customWidth="1"/>
    <col min="15875" max="15875" width="9.625" style="518" customWidth="1"/>
    <col min="15876" max="15876" width="11.25" style="518" customWidth="1"/>
    <col min="15877" max="15877" width="10.625" style="518" customWidth="1"/>
    <col min="15878" max="15878" width="14.375" style="518" customWidth="1"/>
    <col min="15879" max="15879" width="11.125" style="518" customWidth="1"/>
    <col min="15880" max="15880" width="10.75" style="518" customWidth="1"/>
    <col min="15881" max="15881" width="11" style="518" customWidth="1"/>
    <col min="15882" max="16128" width="9" style="518"/>
    <col min="16129" max="16129" width="5.75" style="518" bestFit="1" customWidth="1"/>
    <col min="16130" max="16130" width="38.125" style="518" customWidth="1"/>
    <col min="16131" max="16131" width="9.625" style="518" customWidth="1"/>
    <col min="16132" max="16132" width="11.25" style="518" customWidth="1"/>
    <col min="16133" max="16133" width="10.625" style="518" customWidth="1"/>
    <col min="16134" max="16134" width="14.375" style="518" customWidth="1"/>
    <col min="16135" max="16135" width="11.125" style="518" customWidth="1"/>
    <col min="16136" max="16136" width="10.75" style="518" customWidth="1"/>
    <col min="16137" max="16137" width="11" style="518" customWidth="1"/>
    <col min="16138" max="16384" width="9" style="518"/>
  </cols>
  <sheetData>
    <row r="1" spans="1:10" x14ac:dyDescent="0.3">
      <c r="A1" s="755"/>
      <c r="B1" s="518"/>
      <c r="C1" s="518"/>
      <c r="D1" s="518"/>
      <c r="E1" s="518"/>
      <c r="F1" s="518"/>
      <c r="G1" s="518"/>
      <c r="H1" s="518"/>
      <c r="I1" s="518"/>
    </row>
    <row r="2" spans="1:10" x14ac:dyDescent="0.3">
      <c r="A2" s="1387" t="s">
        <v>1121</v>
      </c>
      <c r="B2" s="1387"/>
      <c r="C2" s="1387"/>
      <c r="D2" s="1387"/>
      <c r="E2" s="1387"/>
      <c r="F2" s="1387"/>
      <c r="G2" s="1387"/>
      <c r="H2" s="1387"/>
      <c r="I2" s="1387"/>
      <c r="J2" s="1387"/>
    </row>
    <row r="3" spans="1:10" x14ac:dyDescent="0.3">
      <c r="A3" s="727"/>
      <c r="B3" s="727"/>
      <c r="C3" s="728"/>
      <c r="D3" s="727"/>
      <c r="E3" s="727"/>
      <c r="F3" s="727"/>
      <c r="G3" s="727"/>
      <c r="H3" s="727"/>
      <c r="I3" s="727"/>
      <c r="J3" s="729" t="s">
        <v>1122</v>
      </c>
    </row>
    <row r="4" spans="1:10" x14ac:dyDescent="0.3">
      <c r="A4" s="1411" t="s">
        <v>519</v>
      </c>
      <c r="B4" s="1411" t="s">
        <v>240</v>
      </c>
      <c r="C4" s="1412" t="s">
        <v>1098</v>
      </c>
      <c r="D4" s="1414" t="s">
        <v>1099</v>
      </c>
      <c r="E4" s="1390"/>
      <c r="F4" s="1390"/>
      <c r="G4" s="1390"/>
      <c r="H4" s="1390"/>
      <c r="I4" s="1415"/>
      <c r="J4" s="1411" t="s">
        <v>1102</v>
      </c>
    </row>
    <row r="5" spans="1:10" ht="51" customHeight="1" x14ac:dyDescent="0.3">
      <c r="A5" s="1411"/>
      <c r="B5" s="1411"/>
      <c r="C5" s="1413"/>
      <c r="D5" s="519" t="s">
        <v>1100</v>
      </c>
      <c r="E5" s="519" t="s">
        <v>1101</v>
      </c>
      <c r="F5" s="519" t="s">
        <v>1103</v>
      </c>
      <c r="G5" s="519" t="s">
        <v>1104</v>
      </c>
      <c r="H5" s="716" t="s">
        <v>1105</v>
      </c>
      <c r="I5" s="716" t="s">
        <v>1106</v>
      </c>
      <c r="J5" s="1411"/>
    </row>
    <row r="6" spans="1:10" s="719" customFormat="1" x14ac:dyDescent="0.3">
      <c r="A6" s="717" t="s">
        <v>407</v>
      </c>
      <c r="B6" s="717" t="s">
        <v>422</v>
      </c>
      <c r="C6" s="718">
        <v>2</v>
      </c>
      <c r="D6" s="717" t="s">
        <v>1120</v>
      </c>
      <c r="E6" s="718">
        <v>4</v>
      </c>
      <c r="F6" s="717">
        <v>5</v>
      </c>
      <c r="G6" s="718">
        <v>6</v>
      </c>
      <c r="H6" s="717">
        <v>7</v>
      </c>
      <c r="I6" s="718">
        <v>8</v>
      </c>
      <c r="J6" s="717">
        <v>9</v>
      </c>
    </row>
    <row r="7" spans="1:10" s="719" customFormat="1" ht="33" x14ac:dyDescent="0.3">
      <c r="A7" s="520" t="s">
        <v>407</v>
      </c>
      <c r="B7" s="730" t="s">
        <v>1123</v>
      </c>
      <c r="C7" s="744"/>
      <c r="D7" s="744"/>
      <c r="E7" s="731"/>
      <c r="F7" s="731"/>
      <c r="G7" s="731"/>
      <c r="H7" s="731"/>
      <c r="I7" s="731"/>
      <c r="J7" s="731"/>
    </row>
    <row r="8" spans="1:10" s="719" customFormat="1" x14ac:dyDescent="0.3">
      <c r="A8" s="520" t="s">
        <v>422</v>
      </c>
      <c r="B8" s="730" t="s">
        <v>1124</v>
      </c>
      <c r="C8" s="744"/>
      <c r="D8" s="744"/>
      <c r="E8" s="731"/>
      <c r="F8" s="731"/>
      <c r="G8" s="731"/>
      <c r="H8" s="731"/>
      <c r="I8" s="731"/>
      <c r="J8" s="731"/>
    </row>
    <row r="9" spans="1:10" x14ac:dyDescent="0.3">
      <c r="A9" s="520" t="s">
        <v>564</v>
      </c>
      <c r="B9" s="521" t="s">
        <v>1125</v>
      </c>
      <c r="C9" s="745"/>
      <c r="D9" s="745"/>
      <c r="E9" s="720"/>
      <c r="F9" s="720"/>
      <c r="G9" s="720"/>
      <c r="H9" s="720"/>
      <c r="I9" s="720"/>
      <c r="J9" s="720"/>
    </row>
    <row r="10" spans="1:10" s="726" customFormat="1" x14ac:dyDescent="0.3">
      <c r="A10" s="520" t="s">
        <v>564</v>
      </c>
      <c r="B10" s="521" t="s">
        <v>1126</v>
      </c>
      <c r="C10" s="745"/>
      <c r="D10" s="745"/>
      <c r="E10" s="720"/>
      <c r="F10" s="720"/>
      <c r="G10" s="720"/>
      <c r="H10" s="720"/>
      <c r="I10" s="720"/>
      <c r="J10" s="720"/>
    </row>
    <row r="11" spans="1:10" s="726" customFormat="1" x14ac:dyDescent="0.3">
      <c r="A11" s="520" t="s">
        <v>564</v>
      </c>
      <c r="B11" s="521" t="s">
        <v>1127</v>
      </c>
      <c r="C11" s="745"/>
      <c r="D11" s="745"/>
      <c r="E11" s="720"/>
      <c r="F11" s="720"/>
      <c r="G11" s="720"/>
      <c r="H11" s="720"/>
      <c r="I11" s="720"/>
      <c r="J11" s="720"/>
    </row>
    <row r="12" spans="1:10" s="732" customFormat="1" x14ac:dyDescent="0.3">
      <c r="A12" s="520">
        <v>1</v>
      </c>
      <c r="B12" s="730" t="s">
        <v>410</v>
      </c>
      <c r="C12" s="744"/>
      <c r="D12" s="744"/>
      <c r="E12" s="731"/>
      <c r="F12" s="731"/>
      <c r="G12" s="731"/>
      <c r="H12" s="731"/>
      <c r="I12" s="731"/>
      <c r="J12" s="731"/>
    </row>
    <row r="13" spans="1:10" x14ac:dyDescent="0.3">
      <c r="A13" s="520" t="s">
        <v>564</v>
      </c>
      <c r="B13" s="521" t="s">
        <v>1128</v>
      </c>
      <c r="C13" s="745"/>
      <c r="D13" s="745"/>
      <c r="E13" s="720"/>
      <c r="F13" s="720"/>
      <c r="G13" s="720"/>
      <c r="H13" s="720"/>
      <c r="I13" s="720"/>
      <c r="J13" s="720"/>
    </row>
    <row r="14" spans="1:10" ht="33" x14ac:dyDescent="0.3">
      <c r="A14" s="520" t="s">
        <v>564</v>
      </c>
      <c r="B14" s="521" t="s">
        <v>1129</v>
      </c>
      <c r="C14" s="745"/>
      <c r="D14" s="745"/>
      <c r="E14" s="720"/>
      <c r="F14" s="720"/>
      <c r="G14" s="720"/>
      <c r="H14" s="720"/>
      <c r="I14" s="720"/>
      <c r="J14" s="720"/>
    </row>
    <row r="15" spans="1:10" s="726" customFormat="1" x14ac:dyDescent="0.3">
      <c r="A15" s="741"/>
      <c r="B15" s="742" t="s">
        <v>355</v>
      </c>
      <c r="C15" s="746"/>
      <c r="D15" s="746"/>
      <c r="E15" s="743"/>
      <c r="F15" s="743"/>
      <c r="G15" s="743"/>
      <c r="H15" s="743"/>
      <c r="I15" s="743"/>
      <c r="J15" s="743"/>
    </row>
    <row r="16" spans="1:10" s="726" customFormat="1" x14ac:dyDescent="0.3">
      <c r="A16" s="741"/>
      <c r="B16" s="742" t="s">
        <v>644</v>
      </c>
      <c r="C16" s="746"/>
      <c r="D16" s="746"/>
      <c r="E16" s="743"/>
      <c r="F16" s="743"/>
      <c r="G16" s="743"/>
      <c r="H16" s="743"/>
      <c r="I16" s="743"/>
      <c r="J16" s="743"/>
    </row>
    <row r="17" spans="1:10" s="732" customFormat="1" x14ac:dyDescent="0.3">
      <c r="A17" s="520" t="s">
        <v>421</v>
      </c>
      <c r="B17" s="730" t="s">
        <v>1130</v>
      </c>
      <c r="C17" s="744"/>
      <c r="D17" s="744"/>
      <c r="E17" s="731"/>
      <c r="F17" s="731"/>
      <c r="G17" s="731"/>
      <c r="H17" s="731"/>
      <c r="I17" s="731"/>
      <c r="J17" s="731"/>
    </row>
    <row r="18" spans="1:10" s="726" customFormat="1" x14ac:dyDescent="0.3">
      <c r="A18" s="520" t="s">
        <v>564</v>
      </c>
      <c r="B18" s="521" t="s">
        <v>1128</v>
      </c>
      <c r="C18" s="745"/>
      <c r="D18" s="745"/>
      <c r="E18" s="720"/>
      <c r="F18" s="720"/>
      <c r="G18" s="720"/>
      <c r="H18" s="720"/>
      <c r="I18" s="720"/>
      <c r="J18" s="720"/>
    </row>
    <row r="19" spans="1:10" s="726" customFormat="1" ht="33" x14ac:dyDescent="0.3">
      <c r="A19" s="520" t="s">
        <v>564</v>
      </c>
      <c r="B19" s="521" t="s">
        <v>1129</v>
      </c>
      <c r="C19" s="745"/>
      <c r="D19" s="745"/>
      <c r="E19" s="720"/>
      <c r="F19" s="720"/>
      <c r="G19" s="720"/>
      <c r="H19" s="720"/>
      <c r="I19" s="720"/>
      <c r="J19" s="720"/>
    </row>
    <row r="20" spans="1:10" s="719" customFormat="1" ht="33" x14ac:dyDescent="0.3">
      <c r="A20" s="520" t="s">
        <v>449</v>
      </c>
      <c r="B20" s="730" t="s">
        <v>1131</v>
      </c>
      <c r="C20" s="744"/>
      <c r="D20" s="744"/>
      <c r="E20" s="731"/>
      <c r="F20" s="731"/>
      <c r="G20" s="731"/>
      <c r="H20" s="731"/>
      <c r="I20" s="731"/>
      <c r="J20" s="731"/>
    </row>
    <row r="21" spans="1:10" s="726" customFormat="1" x14ac:dyDescent="0.3">
      <c r="A21" s="520" t="s">
        <v>564</v>
      </c>
      <c r="B21" s="521" t="s">
        <v>1128</v>
      </c>
      <c r="C21" s="745"/>
      <c r="D21" s="745"/>
      <c r="E21" s="720"/>
      <c r="F21" s="720"/>
      <c r="G21" s="720"/>
      <c r="H21" s="720"/>
      <c r="I21" s="720"/>
      <c r="J21" s="720"/>
    </row>
    <row r="22" spans="1:10" ht="33" x14ac:dyDescent="0.3">
      <c r="A22" s="520" t="s">
        <v>564</v>
      </c>
      <c r="B22" s="521" t="s">
        <v>1129</v>
      </c>
      <c r="C22" s="745"/>
      <c r="D22" s="745"/>
      <c r="E22" s="720"/>
      <c r="F22" s="720"/>
      <c r="G22" s="720"/>
      <c r="H22" s="720"/>
      <c r="I22" s="720"/>
      <c r="J22" s="720"/>
    </row>
    <row r="23" spans="1:10" s="732" customFormat="1" x14ac:dyDescent="0.3">
      <c r="A23" s="520" t="s">
        <v>450</v>
      </c>
      <c r="B23" s="730" t="s">
        <v>1132</v>
      </c>
      <c r="C23" s="744"/>
      <c r="D23" s="744"/>
      <c r="E23" s="731"/>
      <c r="F23" s="731"/>
      <c r="G23" s="731"/>
      <c r="H23" s="731"/>
      <c r="I23" s="731"/>
      <c r="J23" s="731"/>
    </row>
    <row r="24" spans="1:10" x14ac:dyDescent="0.3">
      <c r="A24" s="520" t="s">
        <v>564</v>
      </c>
      <c r="B24" s="521" t="s">
        <v>1128</v>
      </c>
      <c r="C24" s="745"/>
      <c r="D24" s="745"/>
      <c r="E24" s="720"/>
      <c r="F24" s="720"/>
      <c r="G24" s="720"/>
      <c r="H24" s="720"/>
      <c r="I24" s="720"/>
      <c r="J24" s="720"/>
    </row>
    <row r="25" spans="1:10" ht="33" x14ac:dyDescent="0.3">
      <c r="A25" s="520" t="s">
        <v>564</v>
      </c>
      <c r="B25" s="521" t="s">
        <v>1129</v>
      </c>
      <c r="C25" s="745"/>
      <c r="D25" s="745"/>
      <c r="E25" s="720"/>
      <c r="F25" s="720"/>
      <c r="G25" s="720"/>
      <c r="H25" s="720"/>
      <c r="I25" s="720"/>
      <c r="J25" s="720"/>
    </row>
    <row r="26" spans="1:10" s="719" customFormat="1" x14ac:dyDescent="0.3">
      <c r="A26" s="520" t="s">
        <v>426</v>
      </c>
      <c r="B26" s="730" t="s">
        <v>1133</v>
      </c>
      <c r="C26" s="744"/>
      <c r="D26" s="744"/>
      <c r="E26" s="731"/>
      <c r="F26" s="731"/>
      <c r="G26" s="731"/>
      <c r="H26" s="731"/>
      <c r="I26" s="731"/>
      <c r="J26" s="731"/>
    </row>
    <row r="27" spans="1:10" x14ac:dyDescent="0.3">
      <c r="A27" s="520" t="s">
        <v>564</v>
      </c>
      <c r="B27" s="521" t="s">
        <v>1134</v>
      </c>
      <c r="C27" s="745"/>
      <c r="D27" s="745"/>
      <c r="E27" s="720"/>
      <c r="F27" s="720"/>
      <c r="G27" s="720"/>
      <c r="H27" s="720"/>
      <c r="I27" s="720"/>
      <c r="J27" s="720"/>
    </row>
    <row r="28" spans="1:10" x14ac:dyDescent="0.3">
      <c r="A28" s="520" t="s">
        <v>564</v>
      </c>
      <c r="B28" s="521" t="s">
        <v>1135</v>
      </c>
      <c r="C28" s="745"/>
      <c r="D28" s="745"/>
      <c r="E28" s="720"/>
      <c r="F28" s="720"/>
      <c r="G28" s="720"/>
      <c r="H28" s="720"/>
      <c r="I28" s="720"/>
      <c r="J28" s="720"/>
    </row>
    <row r="29" spans="1:10" s="719" customFormat="1" x14ac:dyDescent="0.3">
      <c r="A29" s="520" t="s">
        <v>409</v>
      </c>
      <c r="B29" s="730" t="s">
        <v>1136</v>
      </c>
      <c r="C29" s="744"/>
      <c r="D29" s="744"/>
      <c r="E29" s="731"/>
      <c r="F29" s="731"/>
      <c r="G29" s="731"/>
      <c r="H29" s="731"/>
      <c r="I29" s="731"/>
      <c r="J29" s="731"/>
    </row>
    <row r="30" spans="1:10" x14ac:dyDescent="0.3">
      <c r="A30" s="520" t="s">
        <v>564</v>
      </c>
      <c r="B30" s="521" t="s">
        <v>1137</v>
      </c>
      <c r="C30" s="745"/>
      <c r="D30" s="745"/>
      <c r="E30" s="720"/>
      <c r="F30" s="720"/>
      <c r="G30" s="720"/>
      <c r="H30" s="720"/>
      <c r="I30" s="720"/>
      <c r="J30" s="720"/>
    </row>
    <row r="31" spans="1:10" x14ac:dyDescent="0.3">
      <c r="A31" s="520" t="s">
        <v>564</v>
      </c>
      <c r="B31" s="521" t="s">
        <v>1138</v>
      </c>
      <c r="C31" s="745"/>
      <c r="D31" s="745"/>
      <c r="E31" s="720"/>
      <c r="F31" s="720"/>
      <c r="G31" s="720"/>
      <c r="H31" s="720"/>
      <c r="I31" s="720"/>
      <c r="J31" s="720"/>
    </row>
    <row r="32" spans="1:10" s="719" customFormat="1" x14ac:dyDescent="0.3">
      <c r="A32" s="520" t="s">
        <v>421</v>
      </c>
      <c r="B32" s="730" t="s">
        <v>1139</v>
      </c>
      <c r="C32" s="744"/>
      <c r="D32" s="744"/>
      <c r="E32" s="731"/>
      <c r="F32" s="731"/>
      <c r="G32" s="731"/>
      <c r="H32" s="731"/>
      <c r="I32" s="731"/>
      <c r="J32" s="731"/>
    </row>
    <row r="33" spans="1:10" x14ac:dyDescent="0.3">
      <c r="A33" s="520" t="s">
        <v>564</v>
      </c>
      <c r="B33" s="521" t="s">
        <v>1137</v>
      </c>
      <c r="C33" s="745"/>
      <c r="D33" s="745"/>
      <c r="E33" s="720"/>
      <c r="F33" s="720"/>
      <c r="G33" s="720"/>
      <c r="H33" s="720"/>
      <c r="I33" s="720"/>
      <c r="J33" s="720"/>
    </row>
    <row r="34" spans="1:10" x14ac:dyDescent="0.3">
      <c r="A34" s="520" t="s">
        <v>564</v>
      </c>
      <c r="B34" s="521" t="s">
        <v>1138</v>
      </c>
      <c r="C34" s="745"/>
      <c r="D34" s="745"/>
      <c r="E34" s="720"/>
      <c r="F34" s="720"/>
      <c r="G34" s="720"/>
      <c r="H34" s="720"/>
      <c r="I34" s="720"/>
      <c r="J34" s="720"/>
    </row>
    <row r="35" spans="1:10" x14ac:dyDescent="0.3">
      <c r="A35" s="520" t="s">
        <v>564</v>
      </c>
      <c r="B35" s="521" t="s">
        <v>1140</v>
      </c>
      <c r="C35" s="745"/>
      <c r="D35" s="745"/>
      <c r="E35" s="720"/>
      <c r="F35" s="720"/>
      <c r="G35" s="720"/>
      <c r="H35" s="720"/>
      <c r="I35" s="720"/>
      <c r="J35" s="720"/>
    </row>
    <row r="36" spans="1:10" s="524" customFormat="1" x14ac:dyDescent="0.3">
      <c r="A36" s="520" t="s">
        <v>1141</v>
      </c>
      <c r="B36" s="521" t="s">
        <v>574</v>
      </c>
      <c r="C36" s="745"/>
      <c r="D36" s="745"/>
      <c r="E36" s="720"/>
      <c r="F36" s="720"/>
      <c r="G36" s="720"/>
      <c r="H36" s="720"/>
      <c r="I36" s="720"/>
      <c r="J36" s="720"/>
    </row>
    <row r="37" spans="1:10" s="733" customFormat="1" x14ac:dyDescent="0.3">
      <c r="A37" s="520" t="s">
        <v>464</v>
      </c>
      <c r="B37" s="730" t="s">
        <v>1142</v>
      </c>
      <c r="C37" s="744"/>
      <c r="D37" s="744"/>
      <c r="E37" s="731"/>
      <c r="F37" s="731"/>
      <c r="G37" s="731"/>
      <c r="H37" s="731"/>
      <c r="I37" s="731"/>
      <c r="J37" s="731"/>
    </row>
    <row r="38" spans="1:10" s="524" customFormat="1" x14ac:dyDescent="0.3">
      <c r="A38" s="520" t="s">
        <v>564</v>
      </c>
      <c r="B38" s="521" t="s">
        <v>1134</v>
      </c>
      <c r="C38" s="745"/>
      <c r="D38" s="745"/>
      <c r="E38" s="720"/>
      <c r="F38" s="720"/>
      <c r="G38" s="720"/>
      <c r="H38" s="720"/>
      <c r="I38" s="720"/>
      <c r="J38" s="720"/>
    </row>
    <row r="39" spans="1:10" s="524" customFormat="1" x14ac:dyDescent="0.3">
      <c r="A39" s="520" t="s">
        <v>564</v>
      </c>
      <c r="B39" s="521" t="s">
        <v>1143</v>
      </c>
      <c r="C39" s="745"/>
      <c r="D39" s="745"/>
      <c r="E39" s="720"/>
      <c r="F39" s="720"/>
      <c r="G39" s="720"/>
      <c r="H39" s="720"/>
      <c r="I39" s="720"/>
      <c r="J39" s="720"/>
    </row>
    <row r="40" spans="1:10" s="719" customFormat="1" x14ac:dyDescent="0.3">
      <c r="A40" s="520" t="s">
        <v>409</v>
      </c>
      <c r="B40" s="730" t="s">
        <v>1144</v>
      </c>
      <c r="C40" s="744"/>
      <c r="D40" s="744"/>
      <c r="E40" s="731"/>
      <c r="F40" s="731"/>
      <c r="G40" s="731"/>
      <c r="H40" s="731"/>
      <c r="I40" s="731"/>
      <c r="J40" s="731"/>
    </row>
    <row r="41" spans="1:10" x14ac:dyDescent="0.3">
      <c r="A41" s="520" t="s">
        <v>564</v>
      </c>
      <c r="B41" s="521" t="s">
        <v>1137</v>
      </c>
      <c r="C41" s="745"/>
      <c r="D41" s="745"/>
      <c r="E41" s="720"/>
      <c r="F41" s="720"/>
      <c r="G41" s="720"/>
      <c r="H41" s="720"/>
      <c r="I41" s="720"/>
      <c r="J41" s="720"/>
    </row>
    <row r="42" spans="1:10" x14ac:dyDescent="0.3">
      <c r="A42" s="520" t="s">
        <v>564</v>
      </c>
      <c r="B42" s="521" t="s">
        <v>1145</v>
      </c>
      <c r="C42" s="745"/>
      <c r="D42" s="745"/>
      <c r="E42" s="720"/>
      <c r="F42" s="720"/>
      <c r="G42" s="720"/>
      <c r="H42" s="720"/>
      <c r="I42" s="720"/>
      <c r="J42" s="720"/>
    </row>
    <row r="43" spans="1:10" s="719" customFormat="1" x14ac:dyDescent="0.3">
      <c r="A43" s="520" t="s">
        <v>421</v>
      </c>
      <c r="B43" s="730" t="s">
        <v>460</v>
      </c>
      <c r="C43" s="744"/>
      <c r="D43" s="744"/>
      <c r="E43" s="731"/>
      <c r="F43" s="731"/>
      <c r="G43" s="731"/>
      <c r="H43" s="731"/>
      <c r="I43" s="731"/>
      <c r="J43" s="731"/>
    </row>
    <row r="44" spans="1:10" x14ac:dyDescent="0.3">
      <c r="A44" s="520" t="s">
        <v>564</v>
      </c>
      <c r="B44" s="521" t="s">
        <v>1137</v>
      </c>
      <c r="C44" s="745"/>
      <c r="D44" s="745"/>
      <c r="E44" s="720"/>
      <c r="F44" s="720"/>
      <c r="G44" s="720"/>
      <c r="H44" s="720"/>
      <c r="I44" s="720"/>
      <c r="J44" s="720"/>
    </row>
    <row r="45" spans="1:10" x14ac:dyDescent="0.3">
      <c r="A45" s="520" t="s">
        <v>564</v>
      </c>
      <c r="B45" s="521" t="s">
        <v>1145</v>
      </c>
      <c r="C45" s="745"/>
      <c r="D45" s="745"/>
      <c r="E45" s="720"/>
      <c r="F45" s="720"/>
      <c r="G45" s="720"/>
      <c r="H45" s="720"/>
      <c r="I45" s="720"/>
      <c r="J45" s="720"/>
    </row>
    <row r="46" spans="1:10" s="719" customFormat="1" ht="33" x14ac:dyDescent="0.3">
      <c r="A46" s="520" t="s">
        <v>449</v>
      </c>
      <c r="B46" s="730" t="s">
        <v>1146</v>
      </c>
      <c r="C46" s="744"/>
      <c r="D46" s="744"/>
      <c r="E46" s="731"/>
      <c r="F46" s="731"/>
      <c r="G46" s="731"/>
      <c r="H46" s="731"/>
      <c r="I46" s="731"/>
      <c r="J46" s="731"/>
    </row>
    <row r="47" spans="1:10" x14ac:dyDescent="0.3">
      <c r="A47" s="520" t="s">
        <v>564</v>
      </c>
      <c r="B47" s="521" t="s">
        <v>1137</v>
      </c>
      <c r="C47" s="745"/>
      <c r="D47" s="745"/>
      <c r="E47" s="720"/>
      <c r="F47" s="720"/>
      <c r="G47" s="720"/>
      <c r="H47" s="720"/>
      <c r="I47" s="720"/>
      <c r="J47" s="720"/>
    </row>
    <row r="48" spans="1:10" x14ac:dyDescent="0.3">
      <c r="A48" s="520" t="s">
        <v>564</v>
      </c>
      <c r="B48" s="521" t="s">
        <v>1145</v>
      </c>
      <c r="C48" s="745"/>
      <c r="D48" s="745"/>
      <c r="E48" s="720"/>
      <c r="F48" s="720"/>
      <c r="G48" s="720"/>
      <c r="H48" s="720"/>
      <c r="I48" s="720"/>
      <c r="J48" s="720"/>
    </row>
    <row r="49" spans="1:10" s="734" customFormat="1" x14ac:dyDescent="0.3">
      <c r="A49" s="520" t="s">
        <v>450</v>
      </c>
      <c r="B49" s="730" t="s">
        <v>1147</v>
      </c>
      <c r="C49" s="744"/>
      <c r="D49" s="744"/>
      <c r="E49" s="731"/>
      <c r="F49" s="731"/>
      <c r="G49" s="731"/>
      <c r="H49" s="731"/>
      <c r="I49" s="731"/>
      <c r="J49" s="731"/>
    </row>
    <row r="50" spans="1:10" s="719" customFormat="1" x14ac:dyDescent="0.3">
      <c r="A50" s="520" t="s">
        <v>740</v>
      </c>
      <c r="B50" s="730" t="s">
        <v>1148</v>
      </c>
      <c r="C50" s="744"/>
      <c r="D50" s="744"/>
      <c r="E50" s="731"/>
      <c r="F50" s="731"/>
      <c r="G50" s="731"/>
      <c r="H50" s="731"/>
      <c r="I50" s="731"/>
      <c r="J50" s="731"/>
    </row>
    <row r="51" spans="1:10" s="719" customFormat="1" ht="33" x14ac:dyDescent="0.3">
      <c r="A51" s="520" t="s">
        <v>741</v>
      </c>
      <c r="B51" s="730" t="s">
        <v>1149</v>
      </c>
      <c r="C51" s="744"/>
      <c r="D51" s="744"/>
      <c r="E51" s="731"/>
      <c r="F51" s="731"/>
      <c r="G51" s="731"/>
      <c r="H51" s="731"/>
      <c r="I51" s="731"/>
      <c r="J51" s="731"/>
    </row>
    <row r="52" spans="1:10" s="719" customFormat="1" x14ac:dyDescent="0.3">
      <c r="A52" s="520" t="s">
        <v>409</v>
      </c>
      <c r="B52" s="730" t="s">
        <v>1083</v>
      </c>
      <c r="C52" s="744"/>
      <c r="D52" s="744"/>
      <c r="E52" s="731"/>
      <c r="F52" s="731"/>
      <c r="G52" s="731"/>
      <c r="H52" s="731"/>
      <c r="I52" s="731"/>
      <c r="J52" s="731"/>
    </row>
    <row r="53" spans="1:10" s="719" customFormat="1" x14ac:dyDescent="0.3">
      <c r="A53" s="520" t="s">
        <v>421</v>
      </c>
      <c r="B53" s="730" t="s">
        <v>1084</v>
      </c>
      <c r="C53" s="744"/>
      <c r="D53" s="744"/>
      <c r="E53" s="731"/>
      <c r="F53" s="731"/>
      <c r="G53" s="731"/>
      <c r="H53" s="731"/>
      <c r="I53" s="731"/>
      <c r="J53" s="731"/>
    </row>
    <row r="54" spans="1:10" ht="33" x14ac:dyDescent="0.3">
      <c r="A54" s="520" t="s">
        <v>564</v>
      </c>
      <c r="B54" s="521" t="s">
        <v>1085</v>
      </c>
      <c r="C54" s="745"/>
      <c r="D54" s="745"/>
      <c r="E54" s="720"/>
      <c r="F54" s="720"/>
      <c r="G54" s="720"/>
      <c r="H54" s="720"/>
      <c r="I54" s="720"/>
      <c r="J54" s="720"/>
    </row>
    <row r="55" spans="1:10" ht="33" x14ac:dyDescent="0.3">
      <c r="A55" s="520" t="s">
        <v>564</v>
      </c>
      <c r="B55" s="521" t="s">
        <v>1086</v>
      </c>
      <c r="C55" s="745"/>
      <c r="D55" s="745"/>
      <c r="E55" s="720"/>
      <c r="F55" s="720"/>
      <c r="G55" s="720"/>
      <c r="H55" s="720"/>
      <c r="I55" s="720"/>
      <c r="J55" s="720"/>
    </row>
    <row r="56" spans="1:10" s="719" customFormat="1" x14ac:dyDescent="0.3">
      <c r="A56" s="520" t="s">
        <v>449</v>
      </c>
      <c r="B56" s="730" t="s">
        <v>1087</v>
      </c>
      <c r="C56" s="744"/>
      <c r="D56" s="744"/>
      <c r="E56" s="731"/>
      <c r="F56" s="731"/>
      <c r="G56" s="731"/>
      <c r="H56" s="731"/>
      <c r="I56" s="731"/>
      <c r="J56" s="731"/>
    </row>
    <row r="57" spans="1:10" x14ac:dyDescent="0.3">
      <c r="A57" s="520" t="s">
        <v>564</v>
      </c>
      <c r="B57" s="521" t="s">
        <v>1088</v>
      </c>
      <c r="C57" s="745"/>
      <c r="D57" s="745"/>
      <c r="E57" s="720"/>
      <c r="F57" s="720"/>
      <c r="G57" s="720"/>
      <c r="H57" s="720"/>
      <c r="I57" s="720"/>
      <c r="J57" s="720"/>
    </row>
    <row r="58" spans="1:10" ht="33" x14ac:dyDescent="0.3">
      <c r="A58" s="520" t="s">
        <v>564</v>
      </c>
      <c r="B58" s="521" t="s">
        <v>1089</v>
      </c>
      <c r="C58" s="745"/>
      <c r="D58" s="745"/>
      <c r="E58" s="720"/>
      <c r="F58" s="720"/>
      <c r="G58" s="720"/>
      <c r="H58" s="720"/>
      <c r="I58" s="720"/>
      <c r="J58" s="720"/>
    </row>
    <row r="59" spans="1:10" s="517" customFormat="1" x14ac:dyDescent="0.3">
      <c r="A59" s="520" t="s">
        <v>450</v>
      </c>
      <c r="B59" s="730" t="s">
        <v>1090</v>
      </c>
      <c r="C59" s="744"/>
      <c r="D59" s="744"/>
      <c r="E59" s="731"/>
      <c r="F59" s="731"/>
      <c r="G59" s="731"/>
      <c r="H59" s="731"/>
      <c r="I59" s="731"/>
      <c r="J59" s="731"/>
    </row>
    <row r="60" spans="1:10" x14ac:dyDescent="0.3">
      <c r="A60" s="520" t="s">
        <v>564</v>
      </c>
      <c r="B60" s="521" t="s">
        <v>1091</v>
      </c>
      <c r="C60" s="745"/>
      <c r="D60" s="745"/>
      <c r="E60" s="720"/>
      <c r="F60" s="720"/>
      <c r="G60" s="720"/>
      <c r="H60" s="720"/>
      <c r="I60" s="720"/>
      <c r="J60" s="720"/>
    </row>
    <row r="61" spans="1:10" x14ac:dyDescent="0.3">
      <c r="A61" s="520" t="s">
        <v>564</v>
      </c>
      <c r="B61" s="521" t="s">
        <v>1092</v>
      </c>
      <c r="C61" s="745"/>
      <c r="D61" s="745"/>
      <c r="E61" s="720"/>
      <c r="F61" s="720"/>
      <c r="G61" s="720"/>
      <c r="H61" s="720"/>
      <c r="I61" s="720"/>
      <c r="J61" s="720"/>
    </row>
    <row r="62" spans="1:10" s="719" customFormat="1" x14ac:dyDescent="0.3">
      <c r="A62" s="520" t="s">
        <v>472</v>
      </c>
      <c r="B62" s="730" t="s">
        <v>1093</v>
      </c>
      <c r="C62" s="744"/>
      <c r="D62" s="744"/>
      <c r="E62" s="731"/>
      <c r="F62" s="731"/>
      <c r="G62" s="731"/>
      <c r="H62" s="731"/>
      <c r="I62" s="731"/>
      <c r="J62" s="731"/>
    </row>
    <row r="63" spans="1:10" ht="33" x14ac:dyDescent="0.3">
      <c r="A63" s="735" t="s">
        <v>564</v>
      </c>
      <c r="B63" s="736" t="s">
        <v>1094</v>
      </c>
      <c r="C63" s="747"/>
      <c r="D63" s="747"/>
      <c r="E63" s="737"/>
      <c r="F63" s="737"/>
      <c r="G63" s="737"/>
      <c r="H63" s="737"/>
      <c r="I63" s="737"/>
      <c r="J63" s="737"/>
    </row>
    <row r="64" spans="1:10" ht="33" x14ac:dyDescent="0.3">
      <c r="A64" s="738" t="s">
        <v>564</v>
      </c>
      <c r="B64" s="739" t="s">
        <v>1095</v>
      </c>
      <c r="C64" s="748"/>
      <c r="D64" s="748"/>
      <c r="E64" s="740"/>
      <c r="F64" s="740"/>
      <c r="G64" s="740"/>
      <c r="H64" s="740"/>
      <c r="I64" s="740"/>
      <c r="J64" s="740"/>
    </row>
    <row r="65" spans="1:10" ht="42.75" customHeight="1" x14ac:dyDescent="0.3">
      <c r="A65" s="1410" t="s">
        <v>1150</v>
      </c>
      <c r="B65" s="1410"/>
      <c r="C65" s="1410"/>
      <c r="D65" s="1410"/>
      <c r="E65" s="1410"/>
      <c r="F65" s="1410"/>
      <c r="G65" s="1410"/>
      <c r="H65" s="1410"/>
      <c r="I65" s="1410"/>
      <c r="J65" s="1410"/>
    </row>
  </sheetData>
  <mergeCells count="7">
    <mergeCell ref="A65:J65"/>
    <mergeCell ref="A2:J2"/>
    <mergeCell ref="A4:A5"/>
    <mergeCell ref="B4:B5"/>
    <mergeCell ref="C4:C5"/>
    <mergeCell ref="D4:I4"/>
    <mergeCell ref="J4:J5"/>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50"/>
  <sheetViews>
    <sheetView topLeftCell="A2" zoomScale="86" zoomScaleNormal="86" workbookViewId="0">
      <pane xSplit="2" ySplit="7" topLeftCell="C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210" customWidth="1"/>
    <col min="2" max="2" width="34.375" style="210" customWidth="1"/>
    <col min="3" max="4" width="9.5" style="210" customWidth="1"/>
    <col min="5" max="5" width="8.75" style="210" customWidth="1"/>
    <col min="6" max="6" width="9.875" style="210" customWidth="1"/>
    <col min="7" max="8" width="11.25" style="210" customWidth="1"/>
    <col min="9" max="9" width="9.5" style="210" customWidth="1"/>
    <col min="10" max="12" width="13.125" style="210" customWidth="1"/>
    <col min="13" max="22" width="9" style="210"/>
    <col min="23" max="23" width="10.25" style="210" bestFit="1" customWidth="1"/>
    <col min="24" max="16384" width="9" style="210"/>
  </cols>
  <sheetData>
    <row r="1" spans="1:23" s="1" customFormat="1" ht="39" customHeight="1" x14ac:dyDescent="0.25">
      <c r="A1" s="1362" t="s">
        <v>1022</v>
      </c>
      <c r="B1" s="1362"/>
      <c r="C1" s="1362"/>
      <c r="D1" s="1362"/>
      <c r="E1" s="1362"/>
      <c r="F1" s="1362"/>
      <c r="G1" s="1362"/>
      <c r="H1" s="1362"/>
      <c r="I1" s="1362"/>
      <c r="J1" s="1362"/>
      <c r="K1" s="1362"/>
      <c r="L1" s="1362"/>
      <c r="M1" s="1362"/>
      <c r="N1" s="1362"/>
      <c r="O1" s="704"/>
      <c r="P1" s="704"/>
      <c r="Q1" s="704"/>
      <c r="R1" s="704"/>
    </row>
    <row r="2" spans="1:23" x14ac:dyDescent="0.25">
      <c r="B2" s="243"/>
      <c r="C2" s="463"/>
      <c r="D2" s="463"/>
      <c r="E2" s="463"/>
      <c r="F2" s="463"/>
      <c r="J2" s="31"/>
      <c r="K2" s="31"/>
      <c r="L2" s="31"/>
    </row>
    <row r="3" spans="1:23" s="7" customFormat="1" ht="21.75" customHeight="1" x14ac:dyDescent="0.25">
      <c r="A3" s="1361" t="s">
        <v>400</v>
      </c>
      <c r="B3" s="1361" t="s">
        <v>401</v>
      </c>
      <c r="C3" s="1358" t="s">
        <v>1031</v>
      </c>
      <c r="D3" s="1358" t="s">
        <v>1032</v>
      </c>
      <c r="E3" s="1358" t="s">
        <v>1033</v>
      </c>
      <c r="F3" s="1358" t="s">
        <v>947</v>
      </c>
      <c r="G3" s="1358" t="s">
        <v>951</v>
      </c>
      <c r="H3" s="1358" t="s">
        <v>1424</v>
      </c>
      <c r="I3" s="1361" t="s">
        <v>1425</v>
      </c>
      <c r="J3" s="1416" t="s">
        <v>1035</v>
      </c>
      <c r="K3" s="1416" t="s">
        <v>1444</v>
      </c>
      <c r="L3" s="1361" t="s">
        <v>1023</v>
      </c>
      <c r="M3" s="1361" t="s">
        <v>950</v>
      </c>
      <c r="N3" s="1361" t="s">
        <v>972</v>
      </c>
      <c r="O3" s="1361" t="s">
        <v>971</v>
      </c>
      <c r="P3" s="1361" t="s">
        <v>970</v>
      </c>
      <c r="Q3" s="1361" t="s">
        <v>1036</v>
      </c>
      <c r="R3" s="1416" t="s">
        <v>1445</v>
      </c>
    </row>
    <row r="4" spans="1:23" s="7" customFormat="1" ht="15.75" customHeight="1" x14ac:dyDescent="0.25">
      <c r="A4" s="1363"/>
      <c r="B4" s="1363"/>
      <c r="C4" s="1359"/>
      <c r="D4" s="1359"/>
      <c r="E4" s="1359"/>
      <c r="F4" s="1359"/>
      <c r="G4" s="1359"/>
      <c r="H4" s="1359"/>
      <c r="I4" s="1361"/>
      <c r="J4" s="1416"/>
      <c r="K4" s="1416"/>
      <c r="L4" s="1361"/>
      <c r="M4" s="1361"/>
      <c r="N4" s="1361"/>
      <c r="O4" s="1361"/>
      <c r="P4" s="1361"/>
      <c r="Q4" s="1361"/>
      <c r="R4" s="1416"/>
    </row>
    <row r="5" spans="1:23" s="7" customFormat="1" ht="103.5" customHeight="1" x14ac:dyDescent="0.25">
      <c r="A5" s="1363"/>
      <c r="B5" s="1363"/>
      <c r="C5" s="1360"/>
      <c r="D5" s="1360"/>
      <c r="E5" s="1360"/>
      <c r="F5" s="1360"/>
      <c r="G5" s="1360"/>
      <c r="H5" s="1360"/>
      <c r="I5" s="1361"/>
      <c r="J5" s="1416"/>
      <c r="K5" s="1416"/>
      <c r="L5" s="1361"/>
      <c r="M5" s="1361"/>
      <c r="N5" s="1361"/>
      <c r="O5" s="1361"/>
      <c r="P5" s="1361"/>
      <c r="Q5" s="1361"/>
      <c r="R5" s="1416"/>
    </row>
    <row r="6" spans="1:23" s="465" customFormat="1" x14ac:dyDescent="0.25">
      <c r="A6" s="464">
        <v>1</v>
      </c>
      <c r="B6" s="464">
        <v>2</v>
      </c>
      <c r="C6" s="464"/>
      <c r="D6" s="464"/>
      <c r="E6" s="464"/>
      <c r="F6" s="464">
        <v>3</v>
      </c>
      <c r="G6" s="464">
        <v>5</v>
      </c>
      <c r="H6" s="464">
        <v>3</v>
      </c>
      <c r="I6" s="464">
        <v>6</v>
      </c>
      <c r="J6" s="703">
        <v>10</v>
      </c>
      <c r="K6" s="703"/>
      <c r="L6" s="464">
        <v>8</v>
      </c>
      <c r="M6" s="464"/>
      <c r="N6" s="464"/>
      <c r="O6" s="464"/>
      <c r="P6" s="464"/>
      <c r="Q6" s="464"/>
      <c r="R6" s="703"/>
    </row>
    <row r="7" spans="1:23" s="18" customFormat="1" ht="36" customHeight="1" x14ac:dyDescent="0.25">
      <c r="A7" s="653" t="s">
        <v>407</v>
      </c>
      <c r="B7" s="570" t="s">
        <v>408</v>
      </c>
      <c r="C7" s="570">
        <f t="shared" ref="C7:I7" si="0">SUM(C8,C28)</f>
        <v>5174957</v>
      </c>
      <c r="D7" s="570">
        <f t="shared" si="0"/>
        <v>6334779</v>
      </c>
      <c r="E7" s="570">
        <f t="shared" si="0"/>
        <v>6851996</v>
      </c>
      <c r="F7" s="570">
        <f t="shared" si="0"/>
        <v>6983868</v>
      </c>
      <c r="G7" s="570">
        <f t="shared" si="0"/>
        <v>4448230</v>
      </c>
      <c r="H7" s="570">
        <f>SUM(H8,H28)</f>
        <v>8771013</v>
      </c>
      <c r="I7" s="570">
        <f t="shared" si="0"/>
        <v>8050000</v>
      </c>
      <c r="J7" s="570">
        <f>SUM(D7,E7,F7,H7,I7)</f>
        <v>36991656</v>
      </c>
      <c r="K7" s="1015">
        <f>((I7/D7))^(1/(5-1))-1</f>
        <v>6.1734924047332385E-2</v>
      </c>
      <c r="L7" s="570">
        <f>SUM(L8,L28)</f>
        <v>8140900</v>
      </c>
      <c r="M7" s="570">
        <f>SUM(M8,M28)</f>
        <v>8857000</v>
      </c>
      <c r="N7" s="570">
        <f>SUM(N8,N28)</f>
        <v>9551000</v>
      </c>
      <c r="O7" s="570">
        <f>SUM(O8,O28)</f>
        <v>10261000</v>
      </c>
      <c r="P7" s="570">
        <f>SUM(P8,P28)</f>
        <v>11050000</v>
      </c>
      <c r="Q7" s="570">
        <f>SUM(M7:P7)</f>
        <v>39719000</v>
      </c>
      <c r="R7" s="1015">
        <f>((P7/L7))^(1/(5-1))-1</f>
        <v>7.9375272346691839E-2</v>
      </c>
      <c r="S7" s="651"/>
      <c r="T7" s="18">
        <f>+G7/'Thu NSNN 2020-2021'!C7%</f>
        <v>70.22927060853327</v>
      </c>
      <c r="U7" s="18">
        <f>I7/H7%</f>
        <v>91.779592619461397</v>
      </c>
      <c r="V7" s="18">
        <f>100-U7</f>
        <v>8.2204073805386031</v>
      </c>
      <c r="W7" s="18" t="e">
        <f>#REF!/I7%</f>
        <v>#REF!</v>
      </c>
    </row>
    <row r="8" spans="1:23" s="18" customFormat="1" ht="36" customHeight="1" x14ac:dyDescent="0.25">
      <c r="A8" s="609" t="s">
        <v>409</v>
      </c>
      <c r="B8" s="571" t="s">
        <v>410</v>
      </c>
      <c r="C8" s="571">
        <f t="shared" ref="C8:I8" si="1">SUM(C10,C11,C12,C13,C14:C27)</f>
        <v>4931116</v>
      </c>
      <c r="D8" s="571">
        <f t="shared" si="1"/>
        <v>6237814</v>
      </c>
      <c r="E8" s="571">
        <f t="shared" si="1"/>
        <v>6744580</v>
      </c>
      <c r="F8" s="571">
        <f t="shared" si="1"/>
        <v>6909606</v>
      </c>
      <c r="G8" s="571">
        <f t="shared" si="1"/>
        <v>4411013</v>
      </c>
      <c r="H8" s="571">
        <f>SUM(H10,H11,H12,H13,H14:H27)</f>
        <v>8644723</v>
      </c>
      <c r="I8" s="571">
        <f t="shared" si="1"/>
        <v>7964000</v>
      </c>
      <c r="J8" s="571">
        <f t="shared" ref="J8:J28" si="2">SUM(D8,E8,F8,H8,I8)</f>
        <v>36500723</v>
      </c>
      <c r="K8" s="1018">
        <f t="shared" ref="K8:K28" si="3">((I8/D8))^(1/(5-1))-1</f>
        <v>6.2979055989283328E-2</v>
      </c>
      <c r="L8" s="571">
        <f>SUM(L10,L11,L12,L13,L14:L27)</f>
        <v>8035900</v>
      </c>
      <c r="M8" s="571">
        <f>SUM(M10,M11,M12,M13,M14:M27)</f>
        <v>8740000</v>
      </c>
      <c r="N8" s="571">
        <f>SUM(N10,N11,N12,N13,N14:N27)</f>
        <v>9422000</v>
      </c>
      <c r="O8" s="571">
        <f>SUM(O10,O11,O12,O13,O14:O27)</f>
        <v>10120000</v>
      </c>
      <c r="P8" s="571">
        <f>SUM(P10,P11,P12,P13,P14:P27)</f>
        <v>10897000</v>
      </c>
      <c r="Q8" s="571">
        <f>SUM(M8:P8)</f>
        <v>39179000</v>
      </c>
      <c r="R8" s="1018">
        <f t="shared" ref="R8:R28" si="4">((P8/L8))^(1/(5-1))-1</f>
        <v>7.9115937769486333E-2</v>
      </c>
      <c r="S8" s="651"/>
      <c r="T8" s="18">
        <f>+G8/'Thu NSNN 2020-2021'!C8%</f>
        <v>70.366257604510565</v>
      </c>
      <c r="U8" s="18">
        <f t="shared" ref="U8:U28" si="5">I8/H8%</f>
        <v>92.125566082337173</v>
      </c>
      <c r="V8" s="18">
        <f t="shared" ref="V8:V28" si="6">100-U8</f>
        <v>7.8744339176628273</v>
      </c>
      <c r="W8" s="18" t="e">
        <f>#REF!/I8%</f>
        <v>#REF!</v>
      </c>
    </row>
    <row r="9" spans="1:23" s="9" customFormat="1" ht="36" customHeight="1" x14ac:dyDescent="0.25">
      <c r="A9" s="608"/>
      <c r="B9" s="282" t="s">
        <v>979</v>
      </c>
      <c r="C9" s="585">
        <f t="shared" ref="C9:I9" si="7">C8-C20-C27</f>
        <v>3357995</v>
      </c>
      <c r="D9" s="585">
        <f t="shared" si="7"/>
        <v>4473231</v>
      </c>
      <c r="E9" s="585">
        <f t="shared" si="7"/>
        <v>4627083</v>
      </c>
      <c r="F9" s="585">
        <f t="shared" si="7"/>
        <v>4694910</v>
      </c>
      <c r="G9" s="585">
        <f t="shared" si="7"/>
        <v>3274481</v>
      </c>
      <c r="H9" s="585">
        <f>H8-H20-H27</f>
        <v>6156473</v>
      </c>
      <c r="I9" s="585">
        <f t="shared" si="7"/>
        <v>5414000</v>
      </c>
      <c r="J9" s="585">
        <f t="shared" si="2"/>
        <v>25365697</v>
      </c>
      <c r="K9" s="1020">
        <f t="shared" si="3"/>
        <v>4.887620097567047E-2</v>
      </c>
      <c r="L9" s="585">
        <f t="shared" ref="L9:Q9" si="8">L8-L20-L27</f>
        <v>5785900</v>
      </c>
      <c r="M9" s="585">
        <f t="shared" si="8"/>
        <v>6390000</v>
      </c>
      <c r="N9" s="585">
        <f t="shared" si="8"/>
        <v>7022000</v>
      </c>
      <c r="O9" s="585">
        <f t="shared" si="8"/>
        <v>7720000</v>
      </c>
      <c r="P9" s="585">
        <f t="shared" si="8"/>
        <v>8497000</v>
      </c>
      <c r="Q9" s="585">
        <f t="shared" si="8"/>
        <v>29629000</v>
      </c>
      <c r="R9" s="1020">
        <f t="shared" si="4"/>
        <v>0.10083866185540136</v>
      </c>
      <c r="S9" s="1021"/>
      <c r="T9" s="9">
        <f>+G9/'Thu NSNN 2020-2021'!C9%</f>
        <v>70.381515379025302</v>
      </c>
      <c r="U9" s="9">
        <f t="shared" si="5"/>
        <v>87.939961728086843</v>
      </c>
      <c r="V9" s="9">
        <f t="shared" si="6"/>
        <v>12.060038271913157</v>
      </c>
      <c r="W9" s="9" t="e">
        <f>#REF!/I9%</f>
        <v>#REF!</v>
      </c>
    </row>
    <row r="10" spans="1:23" s="249" customFormat="1" ht="36" customHeight="1" x14ac:dyDescent="0.25">
      <c r="A10" s="608">
        <v>1</v>
      </c>
      <c r="B10" s="585" t="s">
        <v>771</v>
      </c>
      <c r="C10" s="585">
        <v>205240</v>
      </c>
      <c r="D10" s="585">
        <v>203694</v>
      </c>
      <c r="E10" s="585">
        <v>198943</v>
      </c>
      <c r="F10" s="585">
        <v>203584</v>
      </c>
      <c r="G10" s="585">
        <v>108544</v>
      </c>
      <c r="H10" s="585">
        <v>223875</v>
      </c>
      <c r="I10" s="585">
        <f>'Phụ lục số 1'!H15</f>
        <v>190000</v>
      </c>
      <c r="J10" s="585">
        <f t="shared" si="2"/>
        <v>1020096</v>
      </c>
      <c r="K10" s="1020">
        <f t="shared" si="3"/>
        <v>-1.724821552996969E-2</v>
      </c>
      <c r="L10" s="585">
        <f>'Phụ lục số 1'!N15</f>
        <v>210000</v>
      </c>
      <c r="M10" s="585">
        <f>'Phụ lục số 1'!T15</f>
        <v>220000</v>
      </c>
      <c r="N10" s="585">
        <f>'Phụ lục số 1'!Z15</f>
        <v>230000</v>
      </c>
      <c r="O10" s="585">
        <f>'Phụ lục số 1'!AF15</f>
        <v>240000</v>
      </c>
      <c r="P10" s="585">
        <f>'Phụ lục số 1'!AL15</f>
        <v>250000</v>
      </c>
      <c r="Q10" s="585">
        <f t="shared" ref="Q10:Q28" si="9">SUM(M10:P10)</f>
        <v>940000</v>
      </c>
      <c r="R10" s="1020">
        <f t="shared" si="4"/>
        <v>4.455227307203824E-2</v>
      </c>
      <c r="S10" s="1021"/>
      <c r="T10" s="9">
        <f>+G10/'Thu NSNN 2020-2021'!C9%</f>
        <v>2.3330387946367446</v>
      </c>
      <c r="U10" s="9">
        <f t="shared" si="5"/>
        <v>84.868788386376323</v>
      </c>
      <c r="V10" s="9">
        <f t="shared" si="6"/>
        <v>15.131211613623677</v>
      </c>
      <c r="W10" s="9" t="e">
        <f>#REF!/I10%</f>
        <v>#REF!</v>
      </c>
    </row>
    <row r="11" spans="1:23" s="249" customFormat="1" ht="36" customHeight="1" x14ac:dyDescent="0.25">
      <c r="A11" s="608">
        <v>2</v>
      </c>
      <c r="B11" s="585" t="s">
        <v>772</v>
      </c>
      <c r="C11" s="585">
        <v>332356</v>
      </c>
      <c r="D11" s="585">
        <v>323641</v>
      </c>
      <c r="E11" s="585">
        <v>384159</v>
      </c>
      <c r="F11" s="585">
        <v>385864</v>
      </c>
      <c r="G11" s="585">
        <v>241618</v>
      </c>
      <c r="H11" s="585">
        <v>479648</v>
      </c>
      <c r="I11" s="585">
        <f>'Phụ lục số 1'!H21</f>
        <v>500000</v>
      </c>
      <c r="J11" s="585">
        <f t="shared" si="2"/>
        <v>2073312</v>
      </c>
      <c r="K11" s="1020">
        <f t="shared" si="3"/>
        <v>0.11487613093464177</v>
      </c>
      <c r="L11" s="585">
        <f>'Phụ lục số 1'!N21</f>
        <v>535000</v>
      </c>
      <c r="M11" s="585">
        <f>'Phụ lục số 1'!T21</f>
        <v>573000</v>
      </c>
      <c r="N11" s="585">
        <f>'Phụ lục số 1'!Z21</f>
        <v>620000</v>
      </c>
      <c r="O11" s="585">
        <f>'Phụ lục số 1'!AF21</f>
        <v>669000</v>
      </c>
      <c r="P11" s="585">
        <f>'Phụ lục số 1'!AL21</f>
        <v>723000</v>
      </c>
      <c r="Q11" s="585">
        <f t="shared" si="9"/>
        <v>2585000</v>
      </c>
      <c r="R11" s="1020">
        <f t="shared" si="4"/>
        <v>7.8192058849318569E-2</v>
      </c>
      <c r="S11" s="1021"/>
      <c r="T11" s="9">
        <f>+G11/'Thu NSNN 2020-2021'!C10%</f>
        <v>45.411027517107748</v>
      </c>
      <c r="U11" s="9">
        <f t="shared" si="5"/>
        <v>104.24311161518447</v>
      </c>
      <c r="V11" s="9">
        <f t="shared" si="6"/>
        <v>-4.2431116151844748</v>
      </c>
      <c r="W11" s="9" t="e">
        <f>#REF!/I11%</f>
        <v>#REF!</v>
      </c>
    </row>
    <row r="12" spans="1:23" s="249" customFormat="1" ht="36" customHeight="1" x14ac:dyDescent="0.25">
      <c r="A12" s="608">
        <v>3</v>
      </c>
      <c r="B12" s="585" t="s">
        <v>467</v>
      </c>
      <c r="C12" s="585">
        <v>69494</v>
      </c>
      <c r="D12" s="585">
        <v>61938</v>
      </c>
      <c r="E12" s="585">
        <v>49785</v>
      </c>
      <c r="F12" s="585">
        <v>35833</v>
      </c>
      <c r="G12" s="585">
        <v>40214</v>
      </c>
      <c r="H12" s="585">
        <v>76845</v>
      </c>
      <c r="I12" s="585">
        <f>'Phụ lục số 1'!H27</f>
        <v>70000</v>
      </c>
      <c r="J12" s="585">
        <f t="shared" si="2"/>
        <v>294401</v>
      </c>
      <c r="K12" s="1020">
        <f t="shared" si="3"/>
        <v>3.1063031389598983E-2</v>
      </c>
      <c r="L12" s="585">
        <f>'Phụ lục số 1'!N27</f>
        <v>70000</v>
      </c>
      <c r="M12" s="585">
        <f>'Phụ lục số 1'!T27</f>
        <v>75000</v>
      </c>
      <c r="N12" s="585">
        <f>'Phụ lục số 1'!Z27</f>
        <v>80000</v>
      </c>
      <c r="O12" s="585">
        <f>'Phụ lục số 1'!AF27</f>
        <v>85000</v>
      </c>
      <c r="P12" s="585">
        <f>'Phụ lục số 1'!AL27</f>
        <v>90000</v>
      </c>
      <c r="Q12" s="585">
        <f t="shared" si="9"/>
        <v>330000</v>
      </c>
      <c r="R12" s="1020">
        <f t="shared" si="4"/>
        <v>6.4844316803015944E-2</v>
      </c>
      <c r="S12" s="1021"/>
      <c r="T12" s="9">
        <f>+G12/'Thu NSNN 2020-2021'!C11%</f>
        <v>68.098149120281789</v>
      </c>
      <c r="U12" s="9">
        <f t="shared" si="5"/>
        <v>91.092458845728416</v>
      </c>
      <c r="V12" s="9">
        <f t="shared" si="6"/>
        <v>8.9075411542715841</v>
      </c>
      <c r="W12" s="9" t="e">
        <f>#REF!/I12%</f>
        <v>#REF!</v>
      </c>
    </row>
    <row r="13" spans="1:23" s="9" customFormat="1" ht="36" customHeight="1" x14ac:dyDescent="0.25">
      <c r="A13" s="608">
        <v>4</v>
      </c>
      <c r="B13" s="585" t="s">
        <v>773</v>
      </c>
      <c r="C13" s="585">
        <v>586685</v>
      </c>
      <c r="D13" s="585">
        <v>674044</v>
      </c>
      <c r="E13" s="585">
        <v>895287</v>
      </c>
      <c r="F13" s="585">
        <v>943679</v>
      </c>
      <c r="G13" s="585">
        <v>846838</v>
      </c>
      <c r="H13" s="585">
        <v>1430938</v>
      </c>
      <c r="I13" s="585">
        <f>'Phụ lục số 1'!H32</f>
        <v>1210000</v>
      </c>
      <c r="J13" s="585">
        <f t="shared" si="2"/>
        <v>5153948</v>
      </c>
      <c r="K13" s="1020">
        <f t="shared" si="3"/>
        <v>0.15750874494470413</v>
      </c>
      <c r="L13" s="585">
        <f>'Phụ lục số 1'!N32</f>
        <v>1315000</v>
      </c>
      <c r="M13" s="585">
        <f>'Phụ lục số 1'!T32</f>
        <v>1511000</v>
      </c>
      <c r="N13" s="585">
        <f>'Phụ lục số 1'!Z32</f>
        <v>1737000</v>
      </c>
      <c r="O13" s="585">
        <f>'Phụ lục số 1'!AF32</f>
        <v>1996000</v>
      </c>
      <c r="P13" s="585">
        <f>'Phụ lục số 1'!AL32</f>
        <v>2295000</v>
      </c>
      <c r="Q13" s="585">
        <f t="shared" si="9"/>
        <v>7539000</v>
      </c>
      <c r="R13" s="1020">
        <f t="shared" si="4"/>
        <v>0.1493815837471808</v>
      </c>
      <c r="S13" s="1021"/>
      <c r="T13" s="9">
        <f>+G13/'Thu NSNN 2020-2021'!C12%</f>
        <v>78.446953415642739</v>
      </c>
      <c r="U13" s="9">
        <f t="shared" si="5"/>
        <v>84.559918039775312</v>
      </c>
      <c r="V13" s="9">
        <f t="shared" si="6"/>
        <v>15.440081960224688</v>
      </c>
      <c r="W13" s="9" t="e">
        <f>#REF!/I13%</f>
        <v>#REF!</v>
      </c>
    </row>
    <row r="14" spans="1:23" s="249" customFormat="1" ht="36" customHeight="1" x14ac:dyDescent="0.25">
      <c r="A14" s="608">
        <v>5</v>
      </c>
      <c r="B14" s="585" t="s">
        <v>416</v>
      </c>
      <c r="C14" s="585">
        <v>139966</v>
      </c>
      <c r="D14" s="585">
        <v>184878</v>
      </c>
      <c r="E14" s="585">
        <v>209558</v>
      </c>
      <c r="F14" s="585">
        <v>247450</v>
      </c>
      <c r="G14" s="585">
        <v>149522</v>
      </c>
      <c r="H14" s="585">
        <v>317324</v>
      </c>
      <c r="I14" s="585">
        <f>'Phụ lục số 1'!H38</f>
        <v>250000</v>
      </c>
      <c r="J14" s="585">
        <f t="shared" si="2"/>
        <v>1209210</v>
      </c>
      <c r="K14" s="1020">
        <f t="shared" si="3"/>
        <v>7.835981015015947E-2</v>
      </c>
      <c r="L14" s="585">
        <f>'Phụ lục số 1'!N38</f>
        <v>280000</v>
      </c>
      <c r="M14" s="585">
        <f>'Phụ lục số 1'!T38</f>
        <v>322000</v>
      </c>
      <c r="N14" s="585">
        <f>'Phụ lục số 1'!Z38</f>
        <v>354000</v>
      </c>
      <c r="O14" s="585">
        <f>'Phụ lục số 1'!AF38</f>
        <v>389000</v>
      </c>
      <c r="P14" s="585">
        <f>'Phụ lục số 1'!AL38</f>
        <v>428000</v>
      </c>
      <c r="Q14" s="585">
        <f t="shared" si="9"/>
        <v>1493000</v>
      </c>
      <c r="R14" s="1020">
        <f t="shared" si="4"/>
        <v>0.11191460420866095</v>
      </c>
      <c r="S14" s="1021"/>
      <c r="T14" s="9">
        <f>+G14/'Thu NSNN 2020-2021'!C13%</f>
        <v>65.103824232475716</v>
      </c>
      <c r="U14" s="9">
        <f t="shared" si="5"/>
        <v>78.783829776506039</v>
      </c>
      <c r="V14" s="9">
        <f t="shared" si="6"/>
        <v>21.216170223493961</v>
      </c>
      <c r="W14" s="9" t="e">
        <f>#REF!/I14%</f>
        <v>#REF!</v>
      </c>
    </row>
    <row r="15" spans="1:23" s="249" customFormat="1" ht="36" customHeight="1" x14ac:dyDescent="0.25">
      <c r="A15" s="608">
        <v>6</v>
      </c>
      <c r="B15" s="585" t="s">
        <v>468</v>
      </c>
      <c r="C15" s="585">
        <v>663</v>
      </c>
      <c r="D15" s="585">
        <v>909</v>
      </c>
      <c r="E15" s="585">
        <v>694</v>
      </c>
      <c r="F15" s="585">
        <v>519</v>
      </c>
      <c r="G15" s="585">
        <v>967</v>
      </c>
      <c r="H15" s="585">
        <v>1035</v>
      </c>
      <c r="I15" s="585">
        <f>'Phụ lục số 1'!H39</f>
        <v>800</v>
      </c>
      <c r="J15" s="585">
        <f t="shared" si="2"/>
        <v>3957</v>
      </c>
      <c r="K15" s="1020">
        <f t="shared" si="3"/>
        <v>-3.1428856696427698E-2</v>
      </c>
      <c r="L15" s="585">
        <f>'Phụ lục số 1'!N39</f>
        <v>0</v>
      </c>
      <c r="M15" s="585">
        <f>'Phụ lục số 1'!T39</f>
        <v>0</v>
      </c>
      <c r="N15" s="585">
        <f>'Phụ lục số 1'!Z39</f>
        <v>0</v>
      </c>
      <c r="O15" s="585">
        <f>'Phụ lục số 1'!AF39</f>
        <v>0</v>
      </c>
      <c r="P15" s="585">
        <f>'Phụ lục số 1'!AL39</f>
        <v>0</v>
      </c>
      <c r="Q15" s="585">
        <f t="shared" si="9"/>
        <v>0</v>
      </c>
      <c r="R15" s="1020"/>
      <c r="S15" s="1021"/>
      <c r="T15" s="9">
        <f>+G15/'Thu NSNN 2020-2021'!C14%</f>
        <v>98.976458546571138</v>
      </c>
      <c r="U15" s="9">
        <f t="shared" si="5"/>
        <v>77.294685990338166</v>
      </c>
      <c r="V15" s="9">
        <f t="shared" si="6"/>
        <v>22.705314009661834</v>
      </c>
      <c r="W15" s="9" t="e">
        <f>#REF!/I15%</f>
        <v>#REF!</v>
      </c>
    </row>
    <row r="16" spans="1:23" s="249" customFormat="1" ht="36" customHeight="1" x14ac:dyDescent="0.25">
      <c r="A16" s="608">
        <v>7</v>
      </c>
      <c r="B16" s="585" t="s">
        <v>774</v>
      </c>
      <c r="C16" s="585">
        <v>8245</v>
      </c>
      <c r="D16" s="585">
        <v>8374</v>
      </c>
      <c r="E16" s="585">
        <v>9759</v>
      </c>
      <c r="F16" s="585">
        <v>10562</v>
      </c>
      <c r="G16" s="585">
        <v>4889</v>
      </c>
      <c r="H16" s="585">
        <v>11281</v>
      </c>
      <c r="I16" s="585">
        <f>'Phụ lục số 1'!H40</f>
        <v>8000</v>
      </c>
      <c r="J16" s="585">
        <f t="shared" si="2"/>
        <v>47976</v>
      </c>
      <c r="K16" s="1020">
        <f t="shared" si="3"/>
        <v>-1.1357542049876379E-2</v>
      </c>
      <c r="L16" s="585">
        <f>'Phụ lục số 1'!N40</f>
        <v>8000</v>
      </c>
      <c r="M16" s="585">
        <f>'Phụ lục số 1'!T40</f>
        <v>8000</v>
      </c>
      <c r="N16" s="585">
        <f>'Phụ lục số 1'!Z40</f>
        <v>8000</v>
      </c>
      <c r="O16" s="585">
        <f>'Phụ lục số 1'!AF40</f>
        <v>8000</v>
      </c>
      <c r="P16" s="585">
        <f>'Phụ lục số 1'!AL40</f>
        <v>8000</v>
      </c>
      <c r="Q16" s="585">
        <f t="shared" si="9"/>
        <v>32000</v>
      </c>
      <c r="R16" s="1020">
        <f t="shared" si="4"/>
        <v>0</v>
      </c>
      <c r="S16" s="1021"/>
      <c r="T16" s="9">
        <f>+G16/'Thu NSNN 2020-2021'!C15%</f>
        <v>51.938808031445873</v>
      </c>
      <c r="U16" s="9">
        <f t="shared" si="5"/>
        <v>70.915698962857903</v>
      </c>
      <c r="V16" s="9">
        <f t="shared" si="6"/>
        <v>29.084301037142097</v>
      </c>
      <c r="W16" s="9" t="e">
        <f>#REF!/I16%</f>
        <v>#REF!</v>
      </c>
    </row>
    <row r="17" spans="1:23" s="249" customFormat="1" ht="36" customHeight="1" x14ac:dyDescent="0.25">
      <c r="A17" s="608">
        <v>8</v>
      </c>
      <c r="B17" s="585" t="s">
        <v>527</v>
      </c>
      <c r="C17" s="585">
        <v>310783</v>
      </c>
      <c r="D17" s="585">
        <v>341640</v>
      </c>
      <c r="E17" s="585">
        <v>382262</v>
      </c>
      <c r="F17" s="585">
        <v>479310</v>
      </c>
      <c r="G17" s="585">
        <v>281292</v>
      </c>
      <c r="H17" s="585">
        <v>521482</v>
      </c>
      <c r="I17" s="585">
        <f>'Phụ lục số 1'!H41</f>
        <v>470000</v>
      </c>
      <c r="J17" s="585">
        <f t="shared" si="2"/>
        <v>2194694</v>
      </c>
      <c r="K17" s="1020">
        <f t="shared" si="3"/>
        <v>8.3009549814468286E-2</v>
      </c>
      <c r="L17" s="585">
        <f>'Phụ lục số 1'!N41</f>
        <v>465000</v>
      </c>
      <c r="M17" s="585">
        <f>'Phụ lục số 1'!T41</f>
        <v>512000</v>
      </c>
      <c r="N17" s="585">
        <f>'Phụ lục số 1'!Z41</f>
        <v>538000</v>
      </c>
      <c r="O17" s="585">
        <f>'Phụ lục số 1'!AF41</f>
        <v>565000</v>
      </c>
      <c r="P17" s="585">
        <f>'Phụ lục số 1'!AL41</f>
        <v>593000</v>
      </c>
      <c r="Q17" s="585">
        <f t="shared" si="9"/>
        <v>2208000</v>
      </c>
      <c r="R17" s="1020">
        <f t="shared" si="4"/>
        <v>6.2674930093339798E-2</v>
      </c>
      <c r="S17" s="1021"/>
      <c r="T17" s="9">
        <f>+G17/'Thu NSNN 2020-2021'!C16%</f>
        <v>69.646040486471492</v>
      </c>
      <c r="U17" s="9">
        <f t="shared" si="5"/>
        <v>90.127751293429114</v>
      </c>
      <c r="V17" s="9">
        <f t="shared" si="6"/>
        <v>9.8722487065708862</v>
      </c>
      <c r="W17" s="9" t="e">
        <f>#REF!/I17%</f>
        <v>#REF!</v>
      </c>
    </row>
    <row r="18" spans="1:23" s="249" customFormat="1" ht="36" customHeight="1" x14ac:dyDescent="0.25">
      <c r="A18" s="608">
        <v>9</v>
      </c>
      <c r="B18" s="585" t="s">
        <v>1034</v>
      </c>
      <c r="C18" s="585">
        <v>1299030</v>
      </c>
      <c r="D18" s="585">
        <v>2273225</v>
      </c>
      <c r="E18" s="585">
        <v>1947905</v>
      </c>
      <c r="F18" s="585">
        <v>1700536</v>
      </c>
      <c r="G18" s="585">
        <v>1143480</v>
      </c>
      <c r="H18" s="585">
        <v>2280939</v>
      </c>
      <c r="I18" s="585">
        <f>'Phụ lục số 1'!H42</f>
        <v>2130000</v>
      </c>
      <c r="J18" s="585">
        <f t="shared" si="2"/>
        <v>10332605</v>
      </c>
      <c r="K18" s="1020">
        <f t="shared" si="3"/>
        <v>-1.613775543692153E-2</v>
      </c>
      <c r="L18" s="585">
        <f>'Phụ lục số 1'!N42</f>
        <v>2270000</v>
      </c>
      <c r="M18" s="585">
        <f>'Phụ lục số 1'!T42</f>
        <v>2497000</v>
      </c>
      <c r="N18" s="585">
        <f>'Phụ lục số 1'!Z42</f>
        <v>2747000</v>
      </c>
      <c r="O18" s="585">
        <f>'Phụ lục số 1'!AF42</f>
        <v>3022000</v>
      </c>
      <c r="P18" s="585">
        <f>'Phụ lục số 1'!AL42</f>
        <v>3324000</v>
      </c>
      <c r="Q18" s="585">
        <f t="shared" si="9"/>
        <v>11590000</v>
      </c>
      <c r="R18" s="1020">
        <f t="shared" si="4"/>
        <v>0.1000407904839955</v>
      </c>
      <c r="S18" s="1021"/>
      <c r="T18" s="9">
        <f>+G18/'Thu NSNN 2020-2021'!C17%</f>
        <v>66.585105521914656</v>
      </c>
      <c r="U18" s="9">
        <f t="shared" si="5"/>
        <v>93.382593747575015</v>
      </c>
      <c r="V18" s="9">
        <f t="shared" si="6"/>
        <v>6.6174062524249848</v>
      </c>
      <c r="W18" s="9" t="e">
        <f>#REF!/I18%</f>
        <v>#REF!</v>
      </c>
    </row>
    <row r="19" spans="1:23" s="249" customFormat="1" ht="36" customHeight="1" x14ac:dyDescent="0.25">
      <c r="A19" s="608">
        <v>10</v>
      </c>
      <c r="B19" s="585" t="s">
        <v>417</v>
      </c>
      <c r="C19" s="585">
        <v>212616</v>
      </c>
      <c r="D19" s="585">
        <v>205555</v>
      </c>
      <c r="E19" s="585">
        <v>256429</v>
      </c>
      <c r="F19" s="585">
        <v>154856</v>
      </c>
      <c r="G19" s="585">
        <v>91013</v>
      </c>
      <c r="H19" s="585">
        <v>172887</v>
      </c>
      <c r="I19" s="585">
        <f>'Phụ lục số 1'!H43</f>
        <v>165000</v>
      </c>
      <c r="J19" s="585">
        <f t="shared" si="2"/>
        <v>954727</v>
      </c>
      <c r="K19" s="1020">
        <f t="shared" si="3"/>
        <v>-5.3459993154634011E-2</v>
      </c>
      <c r="L19" s="585">
        <f>'Phụ lục số 1'!N43</f>
        <v>192900</v>
      </c>
      <c r="M19" s="585">
        <f>'Phụ lục số 1'!T43</f>
        <v>206000</v>
      </c>
      <c r="N19" s="585">
        <f>'Phụ lục số 1'!Z43</f>
        <v>220000</v>
      </c>
      <c r="O19" s="585">
        <f>'Phụ lục số 1'!AF43</f>
        <v>235000</v>
      </c>
      <c r="P19" s="585">
        <f>'Phụ lục số 1'!AL43</f>
        <v>251000</v>
      </c>
      <c r="Q19" s="585">
        <f t="shared" si="9"/>
        <v>912000</v>
      </c>
      <c r="R19" s="1020">
        <f t="shared" si="4"/>
        <v>6.8034725801718432E-2</v>
      </c>
      <c r="S19" s="1021"/>
      <c r="T19" s="9">
        <f>+G19/'Thu NSNN 2020-2021'!C18%</f>
        <v>72.19529607742038</v>
      </c>
      <c r="U19" s="9">
        <f t="shared" si="5"/>
        <v>95.438060698606606</v>
      </c>
      <c r="V19" s="9">
        <f t="shared" si="6"/>
        <v>4.5619393013933944</v>
      </c>
      <c r="W19" s="9" t="e">
        <f>#REF!/I19%</f>
        <v>#REF!</v>
      </c>
    </row>
    <row r="20" spans="1:23" s="249" customFormat="1" ht="36" customHeight="1" x14ac:dyDescent="0.25">
      <c r="A20" s="608">
        <v>11</v>
      </c>
      <c r="B20" s="585" t="s">
        <v>418</v>
      </c>
      <c r="C20" s="585">
        <v>383777</v>
      </c>
      <c r="D20" s="585">
        <v>454422</v>
      </c>
      <c r="E20" s="585">
        <v>639601</v>
      </c>
      <c r="F20" s="585">
        <v>843422</v>
      </c>
      <c r="G20" s="585">
        <v>282860</v>
      </c>
      <c r="H20" s="585">
        <v>964965</v>
      </c>
      <c r="I20" s="585">
        <f>'Phụ lục số 1'!H44</f>
        <v>750000</v>
      </c>
      <c r="J20" s="585">
        <f t="shared" si="2"/>
        <v>3652410</v>
      </c>
      <c r="K20" s="1020">
        <f t="shared" si="3"/>
        <v>0.13344507218746537</v>
      </c>
      <c r="L20" s="585">
        <f>'Phụ lục số 1'!N44</f>
        <v>750000</v>
      </c>
      <c r="M20" s="585">
        <f>'Phụ lục số 1'!T44</f>
        <v>800000</v>
      </c>
      <c r="N20" s="585">
        <f>'Phụ lục số 1'!Z44</f>
        <v>800000</v>
      </c>
      <c r="O20" s="585">
        <f>'Phụ lục số 1'!AF44</f>
        <v>800000</v>
      </c>
      <c r="P20" s="585">
        <f>'Phụ lục số 1'!AL44</f>
        <v>800000</v>
      </c>
      <c r="Q20" s="585">
        <f t="shared" si="9"/>
        <v>3200000</v>
      </c>
      <c r="R20" s="1020">
        <f t="shared" si="4"/>
        <v>1.6265496309229466E-2</v>
      </c>
      <c r="S20" s="1021"/>
      <c r="T20" s="9">
        <f>+G20/'Thu NSNN 2020-2021'!C19%</f>
        <v>57.221579368996856</v>
      </c>
      <c r="U20" s="9">
        <f t="shared" si="5"/>
        <v>77.723026223749045</v>
      </c>
      <c r="V20" s="9">
        <f t="shared" si="6"/>
        <v>22.276973776250955</v>
      </c>
      <c r="W20" s="9" t="e">
        <f>#REF!/I20%</f>
        <v>#REF!</v>
      </c>
    </row>
    <row r="21" spans="1:23" s="249" customFormat="1" ht="36" customHeight="1" x14ac:dyDescent="0.25">
      <c r="A21" s="608">
        <v>12</v>
      </c>
      <c r="B21" s="585" t="s">
        <v>529</v>
      </c>
      <c r="C21" s="585">
        <v>35945</v>
      </c>
      <c r="D21" s="585">
        <v>53095</v>
      </c>
      <c r="E21" s="585">
        <v>61296</v>
      </c>
      <c r="F21" s="585">
        <v>194910</v>
      </c>
      <c r="G21" s="585">
        <v>68080</v>
      </c>
      <c r="H21" s="585">
        <v>177724</v>
      </c>
      <c r="I21" s="585">
        <f>'Phụ lục số 1'!H45</f>
        <v>72000</v>
      </c>
      <c r="J21" s="585">
        <f t="shared" si="2"/>
        <v>559025</v>
      </c>
      <c r="K21" s="1020">
        <f t="shared" si="3"/>
        <v>7.91199407679406E-2</v>
      </c>
      <c r="L21" s="585">
        <f>'Phụ lục số 1'!N45</f>
        <v>76000</v>
      </c>
      <c r="M21" s="585">
        <f>'Phụ lục số 1'!T45</f>
        <v>86000</v>
      </c>
      <c r="N21" s="585">
        <f>'Phụ lục số 1'!Z45</f>
        <v>92000</v>
      </c>
      <c r="O21" s="585">
        <f>'Phụ lục số 1'!AF45</f>
        <v>99000</v>
      </c>
      <c r="P21" s="585">
        <f>'Phụ lục số 1'!AL45</f>
        <v>107000</v>
      </c>
      <c r="Q21" s="585">
        <f t="shared" si="9"/>
        <v>384000</v>
      </c>
      <c r="R21" s="1020">
        <f t="shared" si="4"/>
        <v>8.9287566188174905E-2</v>
      </c>
      <c r="S21" s="1021"/>
      <c r="T21" s="9">
        <f>+G21/'Thu NSNN 2020-2021'!C20%</f>
        <v>54.293734847518181</v>
      </c>
      <c r="U21" s="9">
        <f t="shared" si="5"/>
        <v>40.512254957124533</v>
      </c>
      <c r="V21" s="9">
        <f t="shared" si="6"/>
        <v>59.487745042875467</v>
      </c>
      <c r="W21" s="9" t="e">
        <f>#REF!/I21%</f>
        <v>#REF!</v>
      </c>
    </row>
    <row r="22" spans="1:23" s="249" customFormat="1" ht="36" customHeight="1" x14ac:dyDescent="0.25">
      <c r="A22" s="608">
        <v>13</v>
      </c>
      <c r="B22" s="585" t="s">
        <v>518</v>
      </c>
      <c r="C22" s="585">
        <v>375</v>
      </c>
      <c r="D22" s="585">
        <v>382</v>
      </c>
      <c r="E22" s="585">
        <v>2247</v>
      </c>
      <c r="F22" s="585">
        <v>702</v>
      </c>
      <c r="G22" s="585">
        <v>7888</v>
      </c>
      <c r="H22" s="585">
        <v>3951</v>
      </c>
      <c r="I22" s="585">
        <f>'Phụ lục số 1'!H46</f>
        <v>200</v>
      </c>
      <c r="J22" s="585">
        <f t="shared" si="2"/>
        <v>7482</v>
      </c>
      <c r="K22" s="1020">
        <f t="shared" si="3"/>
        <v>-0.14936811411020945</v>
      </c>
      <c r="L22" s="585">
        <f>'Phụ lục số 1'!N46</f>
        <v>0</v>
      </c>
      <c r="M22" s="585">
        <f>'Phụ lục số 1'!T46</f>
        <v>0</v>
      </c>
      <c r="N22" s="585">
        <f>'Phụ lục số 1'!Z46</f>
        <v>0</v>
      </c>
      <c r="O22" s="585">
        <f>'Phụ lục số 1'!AF46</f>
        <v>0</v>
      </c>
      <c r="P22" s="585">
        <f>'Phụ lục số 1'!AL46</f>
        <v>0</v>
      </c>
      <c r="Q22" s="585">
        <f t="shared" si="9"/>
        <v>0</v>
      </c>
      <c r="R22" s="1020"/>
      <c r="S22" s="1021"/>
      <c r="T22" s="9">
        <f>+G22/'Thu NSNN 2020-2021'!C21%</f>
        <v>70.296764994207294</v>
      </c>
      <c r="U22" s="9">
        <f t="shared" si="5"/>
        <v>5.0620096178182745</v>
      </c>
      <c r="V22" s="9">
        <f t="shared" si="6"/>
        <v>94.937990382181724</v>
      </c>
      <c r="W22" s="9" t="e">
        <f>#REF!/I22%</f>
        <v>#REF!</v>
      </c>
    </row>
    <row r="23" spans="1:23" s="249" customFormat="1" ht="36" customHeight="1" x14ac:dyDescent="0.25">
      <c r="A23" s="608">
        <v>14</v>
      </c>
      <c r="B23" s="585" t="s">
        <v>352</v>
      </c>
      <c r="C23" s="585">
        <v>140912</v>
      </c>
      <c r="D23" s="585">
        <v>126290</v>
      </c>
      <c r="E23" s="585">
        <v>203509</v>
      </c>
      <c r="F23" s="585">
        <v>237551</v>
      </c>
      <c r="G23" s="585">
        <v>180315</v>
      </c>
      <c r="H23" s="585">
        <v>300917</v>
      </c>
      <c r="I23" s="585">
        <f>'Phụ lục số 1'!H47</f>
        <v>270000</v>
      </c>
      <c r="J23" s="585">
        <f t="shared" si="2"/>
        <v>1138267</v>
      </c>
      <c r="K23" s="1020">
        <f t="shared" si="3"/>
        <v>0.2092015639946907</v>
      </c>
      <c r="L23" s="585">
        <f>'Phụ lục số 1'!N47</f>
        <v>280000</v>
      </c>
      <c r="M23" s="585">
        <f>'Phụ lục số 1'!T47</f>
        <v>290000</v>
      </c>
      <c r="N23" s="585">
        <f>'Phụ lục số 1'!Z47</f>
        <v>300000</v>
      </c>
      <c r="O23" s="585">
        <f>'Phụ lục số 1'!AF47</f>
        <v>310000</v>
      </c>
      <c r="P23" s="585">
        <f>'Phụ lục số 1'!AL47</f>
        <v>320000</v>
      </c>
      <c r="Q23" s="585">
        <f t="shared" si="9"/>
        <v>1220000</v>
      </c>
      <c r="R23" s="1020">
        <f t="shared" si="4"/>
        <v>3.3946307914341167E-2</v>
      </c>
      <c r="S23" s="1021"/>
      <c r="T23" s="9">
        <f>+G23/'Thu NSNN 2020-2021'!C22%</f>
        <v>85.673356519755984</v>
      </c>
      <c r="U23" s="9">
        <f t="shared" si="5"/>
        <v>89.725738326515284</v>
      </c>
      <c r="V23" s="9">
        <f t="shared" si="6"/>
        <v>10.274261673484716</v>
      </c>
      <c r="W23" s="9" t="e">
        <f>#REF!/I23%</f>
        <v>#REF!</v>
      </c>
    </row>
    <row r="24" spans="1:23" s="249" customFormat="1" ht="36" customHeight="1" x14ac:dyDescent="0.25">
      <c r="A24" s="608">
        <v>15</v>
      </c>
      <c r="B24" s="551" t="s">
        <v>632</v>
      </c>
      <c r="C24" s="585">
        <v>0</v>
      </c>
      <c r="D24" s="585">
        <v>0</v>
      </c>
      <c r="E24" s="585">
        <v>5516</v>
      </c>
      <c r="F24" s="585">
        <v>46773</v>
      </c>
      <c r="G24" s="585">
        <v>10878</v>
      </c>
      <c r="H24" s="585">
        <v>25517</v>
      </c>
      <c r="I24" s="585">
        <f>'Phụ lục số 1'!H48</f>
        <v>11000</v>
      </c>
      <c r="J24" s="585">
        <f t="shared" si="2"/>
        <v>88806</v>
      </c>
      <c r="K24" s="1020"/>
      <c r="L24" s="585">
        <f>'Phụ lục số 1'!N48</f>
        <v>11000</v>
      </c>
      <c r="M24" s="585">
        <f>'Phụ lục số 1'!T48</f>
        <v>12000</v>
      </c>
      <c r="N24" s="585">
        <f>'Phụ lục số 1'!Z48</f>
        <v>13000</v>
      </c>
      <c r="O24" s="585">
        <f>'Phụ lục số 1'!AF48</f>
        <v>14000</v>
      </c>
      <c r="P24" s="585">
        <f>'Phụ lục số 1'!AL48</f>
        <v>15000</v>
      </c>
      <c r="Q24" s="585">
        <f t="shared" si="9"/>
        <v>54000</v>
      </c>
      <c r="R24" s="1020">
        <f t="shared" si="4"/>
        <v>8.0624086462209199E-2</v>
      </c>
      <c r="S24" s="1021"/>
      <c r="T24" s="9">
        <f>+G24/'Thu NSNN 2020-2021'!C23%</f>
        <v>61.55848565446211</v>
      </c>
      <c r="U24" s="9">
        <f t="shared" si="5"/>
        <v>43.108515891366544</v>
      </c>
      <c r="V24" s="9">
        <f t="shared" si="6"/>
        <v>56.891484108633456</v>
      </c>
      <c r="W24" s="9" t="e">
        <f>#REF!/I24%</f>
        <v>#REF!</v>
      </c>
    </row>
    <row r="25" spans="1:23" s="249" customFormat="1" ht="36" customHeight="1" x14ac:dyDescent="0.25">
      <c r="A25" s="608">
        <v>16</v>
      </c>
      <c r="B25" s="551" t="s">
        <v>633</v>
      </c>
      <c r="C25" s="585">
        <v>0</v>
      </c>
      <c r="D25" s="585">
        <v>0</v>
      </c>
      <c r="E25" s="585">
        <v>0</v>
      </c>
      <c r="F25" s="585">
        <v>47932</v>
      </c>
      <c r="G25" s="585">
        <v>97677</v>
      </c>
      <c r="H25" s="585">
        <v>129025</v>
      </c>
      <c r="I25" s="585">
        <f>'Phụ lục số 1'!H49</f>
        <v>64000</v>
      </c>
      <c r="J25" s="585">
        <f t="shared" si="2"/>
        <v>240957</v>
      </c>
      <c r="K25" s="1020"/>
      <c r="L25" s="585">
        <f>'Phụ lục số 1'!N49</f>
        <v>70000</v>
      </c>
      <c r="M25" s="585">
        <f>'Phụ lục số 1'!T49</f>
        <v>75000</v>
      </c>
      <c r="N25" s="585">
        <f>'Phụ lục số 1'!Z49</f>
        <v>80000</v>
      </c>
      <c r="O25" s="585">
        <f>'Phụ lục số 1'!AF49</f>
        <v>85000</v>
      </c>
      <c r="P25" s="585">
        <f>'Phụ lục số 1'!AL49</f>
        <v>90000</v>
      </c>
      <c r="Q25" s="585">
        <f t="shared" si="9"/>
        <v>330000</v>
      </c>
      <c r="R25" s="1020">
        <f t="shared" si="4"/>
        <v>6.4844316803015944E-2</v>
      </c>
      <c r="S25" s="1021"/>
      <c r="T25" s="9">
        <f>+G25/'Thu NSNN 2020-2021'!C24%</f>
        <v>76.199428954800055</v>
      </c>
      <c r="U25" s="9">
        <f t="shared" si="5"/>
        <v>49.602790156946327</v>
      </c>
      <c r="V25" s="9">
        <f t="shared" si="6"/>
        <v>50.397209843053673</v>
      </c>
      <c r="W25" s="9" t="e">
        <f>#REF!/I25%</f>
        <v>#REF!</v>
      </c>
    </row>
    <row r="26" spans="1:23" s="466" customFormat="1" ht="36" customHeight="1" x14ac:dyDescent="0.25">
      <c r="A26" s="608">
        <v>15</v>
      </c>
      <c r="B26" s="585" t="s">
        <v>420</v>
      </c>
      <c r="C26" s="585">
        <v>15685</v>
      </c>
      <c r="D26" s="585">
        <v>15566</v>
      </c>
      <c r="E26" s="585">
        <v>19734</v>
      </c>
      <c r="F26" s="585">
        <v>4849</v>
      </c>
      <c r="G26" s="585">
        <v>1266</v>
      </c>
      <c r="H26" s="585">
        <v>3085</v>
      </c>
      <c r="I26" s="585">
        <f>'Phụ lục số 1'!H50</f>
        <v>3000</v>
      </c>
      <c r="J26" s="585">
        <f t="shared" si="2"/>
        <v>46234</v>
      </c>
      <c r="K26" s="1020">
        <f t="shared" si="3"/>
        <v>-0.33742345618863934</v>
      </c>
      <c r="L26" s="585">
        <f>'Phụ lục số 1'!N50</f>
        <v>3000</v>
      </c>
      <c r="M26" s="585">
        <f>'Phụ lục số 1'!T50</f>
        <v>3000</v>
      </c>
      <c r="N26" s="585">
        <f>'Phụ lục số 1'!Z50</f>
        <v>3000</v>
      </c>
      <c r="O26" s="585">
        <f>'Phụ lục số 1'!AF50</f>
        <v>3000</v>
      </c>
      <c r="P26" s="585">
        <f>'Phụ lục số 1'!AL50</f>
        <v>3000</v>
      </c>
      <c r="Q26" s="585">
        <f t="shared" si="9"/>
        <v>12000</v>
      </c>
      <c r="R26" s="1020">
        <f t="shared" si="4"/>
        <v>0</v>
      </c>
      <c r="S26" s="1021"/>
      <c r="T26" s="9">
        <f>+G26/'Thu NSNN 2020-2021'!C25%</f>
        <v>80.228136882129277</v>
      </c>
      <c r="U26" s="9">
        <f t="shared" si="5"/>
        <v>97.244732576985413</v>
      </c>
      <c r="V26" s="9">
        <f t="shared" si="6"/>
        <v>2.7552674230145868</v>
      </c>
      <c r="W26" s="9" t="e">
        <f>#REF!/I26%</f>
        <v>#REF!</v>
      </c>
    </row>
    <row r="27" spans="1:23" s="249" customFormat="1" ht="36" customHeight="1" x14ac:dyDescent="0.25">
      <c r="A27" s="608">
        <v>16</v>
      </c>
      <c r="B27" s="585" t="s">
        <v>226</v>
      </c>
      <c r="C27" s="585">
        <v>1189344</v>
      </c>
      <c r="D27" s="585">
        <v>1310161</v>
      </c>
      <c r="E27" s="585">
        <v>1477896</v>
      </c>
      <c r="F27" s="585">
        <v>1371274</v>
      </c>
      <c r="G27" s="585">
        <v>853672</v>
      </c>
      <c r="H27" s="585">
        <v>1523285</v>
      </c>
      <c r="I27" s="585">
        <f>'Phụ lục số 1'!H51</f>
        <v>1800000</v>
      </c>
      <c r="J27" s="585">
        <f t="shared" si="2"/>
        <v>7482616</v>
      </c>
      <c r="K27" s="1020">
        <f t="shared" si="3"/>
        <v>8.2647205895270748E-2</v>
      </c>
      <c r="L27" s="585">
        <f>'Phụ lục số 1'!N51</f>
        <v>1500000</v>
      </c>
      <c r="M27" s="585">
        <f>'Phụ lục số 1'!T51</f>
        <v>1550000</v>
      </c>
      <c r="N27" s="585">
        <f>'Phụ lục số 1'!Z51</f>
        <v>1600000</v>
      </c>
      <c r="O27" s="585">
        <f>'Phụ lục số 1'!AF51</f>
        <v>1600000</v>
      </c>
      <c r="P27" s="585">
        <f>'Phụ lục số 1'!AL51</f>
        <v>1600000</v>
      </c>
      <c r="Q27" s="585">
        <f t="shared" si="9"/>
        <v>6350000</v>
      </c>
      <c r="R27" s="1020">
        <f t="shared" si="4"/>
        <v>1.6265496309229466E-2</v>
      </c>
      <c r="S27" s="1021"/>
      <c r="T27" s="9">
        <f>+G27/'Thu NSNN 2020-2021'!C26%</f>
        <v>76.094953786197991</v>
      </c>
      <c r="U27" s="9">
        <f t="shared" si="5"/>
        <v>118.16567484088664</v>
      </c>
      <c r="V27" s="9">
        <f t="shared" si="6"/>
        <v>-18.165674840886638</v>
      </c>
      <c r="W27" s="9" t="e">
        <f>#REF!/I27%</f>
        <v>#REF!</v>
      </c>
    </row>
    <row r="28" spans="1:23" s="37" customFormat="1" ht="36" customHeight="1" x14ac:dyDescent="0.25">
      <c r="A28" s="609" t="s">
        <v>421</v>
      </c>
      <c r="B28" s="571" t="s">
        <v>775</v>
      </c>
      <c r="C28" s="571">
        <v>243841</v>
      </c>
      <c r="D28" s="571">
        <v>96965</v>
      </c>
      <c r="E28" s="575">
        <v>107416</v>
      </c>
      <c r="F28" s="575">
        <v>74262</v>
      </c>
      <c r="G28" s="575">
        <v>37217</v>
      </c>
      <c r="H28" s="575">
        <v>126290</v>
      </c>
      <c r="I28" s="575">
        <f>'Phụ lục số 1'!H52</f>
        <v>86000</v>
      </c>
      <c r="J28" s="575">
        <f t="shared" si="2"/>
        <v>490933</v>
      </c>
      <c r="K28" s="1019">
        <f t="shared" si="3"/>
        <v>-2.955514391799563E-2</v>
      </c>
      <c r="L28" s="575">
        <f>'Phụ lục số 1'!N52</f>
        <v>105000</v>
      </c>
      <c r="M28" s="575">
        <f>'Phụ lục số 1'!T52</f>
        <v>117000</v>
      </c>
      <c r="N28" s="575">
        <f>'Phụ lục số 1'!Z52</f>
        <v>129000</v>
      </c>
      <c r="O28" s="575">
        <f>'Phụ lục số 1'!AF52</f>
        <v>141000</v>
      </c>
      <c r="P28" s="575">
        <f>'Phụ lục số 1'!AL52</f>
        <v>153000</v>
      </c>
      <c r="Q28" s="575">
        <f t="shared" si="9"/>
        <v>540000</v>
      </c>
      <c r="R28" s="1019">
        <f t="shared" si="4"/>
        <v>9.8690913880894238E-2</v>
      </c>
      <c r="S28" s="651"/>
      <c r="T28" s="18">
        <f>+G28/'Thu NSNN 2020-2021'!C27%</f>
        <v>57.062909185691723</v>
      </c>
      <c r="U28" s="18">
        <f t="shared" si="5"/>
        <v>68.097236519122646</v>
      </c>
      <c r="V28" s="18">
        <f t="shared" si="6"/>
        <v>31.902763480877354</v>
      </c>
      <c r="W28" s="18" t="e">
        <f>#REF!/I28%</f>
        <v>#REF!</v>
      </c>
    </row>
    <row r="29" spans="1:23" s="18" customFormat="1" hidden="1" x14ac:dyDescent="0.25">
      <c r="A29" s="609" t="s">
        <v>422</v>
      </c>
      <c r="B29" s="571" t="s">
        <v>423</v>
      </c>
      <c r="C29" s="571"/>
      <c r="D29" s="571"/>
      <c r="E29" s="1016"/>
      <c r="F29" s="1016"/>
      <c r="G29" s="1016">
        <f>SUM(G30,G31)</f>
        <v>2674772</v>
      </c>
      <c r="H29" s="1016"/>
      <c r="I29" s="1016">
        <f>SUM(I30,I31)</f>
        <v>6518796</v>
      </c>
      <c r="J29" s="1017"/>
      <c r="K29" s="1017"/>
      <c r="L29" s="1017"/>
      <c r="M29" s="1016">
        <f>SUM(M30,M31)</f>
        <v>6791578</v>
      </c>
      <c r="N29" s="1016">
        <f>SUM(N30,N31)</f>
        <v>7060578</v>
      </c>
      <c r="O29" s="701"/>
      <c r="P29" s="701"/>
      <c r="Q29" s="701"/>
      <c r="R29" s="701"/>
    </row>
    <row r="30" spans="1:23" s="9" customFormat="1" hidden="1" x14ac:dyDescent="0.25">
      <c r="A30" s="608" t="s">
        <v>409</v>
      </c>
      <c r="B30" s="585" t="s">
        <v>424</v>
      </c>
      <c r="C30" s="585"/>
      <c r="D30" s="585"/>
      <c r="E30" s="585"/>
      <c r="F30" s="585"/>
      <c r="G30" s="571">
        <f>'[2]Thu NSNN'!$H$59</f>
        <v>2503126</v>
      </c>
      <c r="H30" s="571"/>
      <c r="I30" s="571">
        <f>'Phụ lục số 1'!H56</f>
        <v>4883126</v>
      </c>
      <c r="J30" s="607"/>
      <c r="K30" s="607"/>
      <c r="L30" s="607"/>
      <c r="M30" s="571">
        <f>'Phụ lục số 1'!T56</f>
        <v>4883126</v>
      </c>
      <c r="N30" s="571">
        <f>'Phụ lục số 1'!Z56</f>
        <v>4883126</v>
      </c>
      <c r="O30" s="701"/>
      <c r="P30" s="701"/>
      <c r="Q30" s="701"/>
      <c r="R30" s="701"/>
    </row>
    <row r="31" spans="1:23" s="9" customFormat="1" hidden="1" x14ac:dyDescent="0.25">
      <c r="A31" s="608" t="s">
        <v>421</v>
      </c>
      <c r="B31" s="585" t="s">
        <v>425</v>
      </c>
      <c r="C31" s="585"/>
      <c r="D31" s="585"/>
      <c r="E31" s="585"/>
      <c r="F31" s="585"/>
      <c r="G31" s="571">
        <f>SUM(G32:G36)</f>
        <v>171646</v>
      </c>
      <c r="H31" s="571"/>
      <c r="I31" s="571">
        <f>SUM(I32:I36)</f>
        <v>1635670</v>
      </c>
      <c r="J31" s="607"/>
      <c r="K31" s="607"/>
      <c r="L31" s="607"/>
      <c r="M31" s="571">
        <f>SUM(M32:M36)</f>
        <v>1908452</v>
      </c>
      <c r="N31" s="571">
        <f>SUM(N32:N36)</f>
        <v>2177452</v>
      </c>
      <c r="O31" s="701"/>
      <c r="P31" s="701"/>
      <c r="Q31" s="701"/>
      <c r="R31" s="701"/>
    </row>
    <row r="32" spans="1:23" s="9" customFormat="1" hidden="1" x14ac:dyDescent="0.25">
      <c r="A32" s="654">
        <v>1</v>
      </c>
      <c r="B32" s="586" t="s">
        <v>594</v>
      </c>
      <c r="C32" s="586"/>
      <c r="D32" s="586"/>
      <c r="E32" s="586"/>
      <c r="F32" s="586"/>
      <c r="G32" s="542">
        <f>'[2]Thu NSNN'!H61</f>
        <v>80319</v>
      </c>
      <c r="H32" s="542"/>
      <c r="I32" s="542">
        <f>'Phụ lục số 1'!H58</f>
        <v>426575</v>
      </c>
      <c r="J32" s="584"/>
      <c r="K32" s="584"/>
      <c r="L32" s="584"/>
      <c r="M32" s="542">
        <f>'Phụ lục số 1'!T58</f>
        <v>0</v>
      </c>
      <c r="N32" s="542">
        <f>'Phụ lục số 1'!Z58</f>
        <v>0</v>
      </c>
      <c r="O32" s="702"/>
      <c r="P32" s="702"/>
      <c r="Q32" s="702"/>
      <c r="R32" s="702"/>
    </row>
    <row r="33" spans="1:18" s="25" customFormat="1" hidden="1" x14ac:dyDescent="0.25">
      <c r="A33" s="655">
        <v>2</v>
      </c>
      <c r="B33" s="542" t="s">
        <v>505</v>
      </c>
      <c r="C33" s="542"/>
      <c r="D33" s="542"/>
      <c r="E33" s="542"/>
      <c r="F33" s="542"/>
      <c r="G33" s="542">
        <f>'[2]Thu NSNN'!H62</f>
        <v>86900</v>
      </c>
      <c r="H33" s="542"/>
      <c r="I33" s="542">
        <f>'Phụ lục số 1'!H59</f>
        <v>906600</v>
      </c>
      <c r="J33" s="584"/>
      <c r="K33" s="584"/>
      <c r="L33" s="584"/>
      <c r="M33" s="542">
        <f>'Phụ lục số 1'!T59</f>
        <v>1492000</v>
      </c>
      <c r="N33" s="542">
        <f>'Phụ lục số 1'!Z59</f>
        <v>1761000</v>
      </c>
      <c r="O33" s="702"/>
      <c r="P33" s="702"/>
      <c r="Q33" s="702"/>
      <c r="R33" s="702"/>
    </row>
    <row r="34" spans="1:18" s="25" customFormat="1" hidden="1" x14ac:dyDescent="0.25">
      <c r="A34" s="655">
        <v>3</v>
      </c>
      <c r="B34" s="542" t="s">
        <v>501</v>
      </c>
      <c r="C34" s="542"/>
      <c r="D34" s="542"/>
      <c r="E34" s="542"/>
      <c r="F34" s="542"/>
      <c r="G34" s="542">
        <f>'[2]Thu NSNN'!H63</f>
        <v>4427</v>
      </c>
      <c r="H34" s="542"/>
      <c r="I34" s="542">
        <f>'Phụ lục số 1'!H60</f>
        <v>275545</v>
      </c>
      <c r="J34" s="584"/>
      <c r="K34" s="584"/>
      <c r="L34" s="584"/>
      <c r="M34" s="542">
        <f>'Phụ lục số 1'!T60</f>
        <v>416452</v>
      </c>
      <c r="N34" s="542">
        <f>'Phụ lục số 1'!Z60</f>
        <v>416452</v>
      </c>
      <c r="O34" s="702"/>
      <c r="P34" s="702"/>
      <c r="Q34" s="702"/>
      <c r="R34" s="702"/>
    </row>
    <row r="35" spans="1:18" s="25" customFormat="1" hidden="1" x14ac:dyDescent="0.25">
      <c r="A35" s="655">
        <v>4</v>
      </c>
      <c r="B35" s="542" t="s">
        <v>778</v>
      </c>
      <c r="C35" s="542"/>
      <c r="D35" s="542"/>
      <c r="E35" s="542"/>
      <c r="F35" s="542"/>
      <c r="G35" s="542">
        <f>'[2]Thu NSNN'!H64</f>
        <v>0</v>
      </c>
      <c r="H35" s="542"/>
      <c r="I35" s="542">
        <f>'Phụ lục số 1'!H61</f>
        <v>26950</v>
      </c>
      <c r="J35" s="584"/>
      <c r="K35" s="584"/>
      <c r="L35" s="584"/>
      <c r="M35" s="542">
        <f>'Phụ lục số 1'!T61</f>
        <v>0</v>
      </c>
      <c r="N35" s="542">
        <f>'Phụ lục số 1'!Z61</f>
        <v>0</v>
      </c>
      <c r="O35" s="702"/>
      <c r="P35" s="702"/>
      <c r="Q35" s="702"/>
      <c r="R35" s="702"/>
    </row>
    <row r="36" spans="1:18" s="25" customFormat="1" hidden="1" x14ac:dyDescent="0.25">
      <c r="A36" s="655">
        <v>5</v>
      </c>
      <c r="B36" s="542" t="s">
        <v>776</v>
      </c>
      <c r="C36" s="542"/>
      <c r="D36" s="542"/>
      <c r="E36" s="542"/>
      <c r="F36" s="542"/>
      <c r="G36" s="542"/>
      <c r="H36" s="542"/>
      <c r="I36" s="542"/>
      <c r="J36" s="584"/>
      <c r="K36" s="584"/>
      <c r="L36" s="584"/>
      <c r="M36" s="542"/>
      <c r="N36" s="542"/>
      <c r="O36" s="702"/>
      <c r="P36" s="702"/>
      <c r="Q36" s="702"/>
      <c r="R36" s="702"/>
    </row>
    <row r="37" spans="1:18" s="18" customFormat="1" hidden="1" x14ac:dyDescent="0.25">
      <c r="A37" s="609" t="s">
        <v>426</v>
      </c>
      <c r="B37" s="571" t="s">
        <v>777</v>
      </c>
      <c r="C37" s="571"/>
      <c r="D37" s="571"/>
      <c r="E37" s="571"/>
      <c r="F37" s="571"/>
      <c r="G37" s="571"/>
      <c r="H37" s="571"/>
      <c r="I37" s="571">
        <f>'Phụ lục số 1'!H62</f>
        <v>418294</v>
      </c>
      <c r="J37" s="607"/>
      <c r="K37" s="607"/>
      <c r="L37" s="607"/>
      <c r="M37" s="571">
        <f>'Phụ lục số 1'!T62</f>
        <v>1247986</v>
      </c>
      <c r="N37" s="571">
        <f>'Phụ lục số 1'!Z62</f>
        <v>1470641</v>
      </c>
      <c r="O37" s="701"/>
      <c r="P37" s="701"/>
      <c r="Q37" s="701"/>
      <c r="R37" s="701"/>
    </row>
    <row r="38" spans="1:18" s="18" customFormat="1" hidden="1" x14ac:dyDescent="0.25">
      <c r="A38" s="631" t="s">
        <v>464</v>
      </c>
      <c r="B38" s="41" t="s">
        <v>919</v>
      </c>
      <c r="C38" s="613"/>
      <c r="D38" s="613"/>
      <c r="E38" s="613"/>
      <c r="F38" s="632"/>
      <c r="G38" s="632"/>
      <c r="H38" s="632"/>
      <c r="I38" s="632"/>
      <c r="J38" s="633"/>
      <c r="K38" s="633"/>
      <c r="L38" s="633"/>
      <c r="M38" s="632"/>
      <c r="N38" s="632"/>
      <c r="O38" s="701"/>
      <c r="P38" s="701"/>
      <c r="Q38" s="701"/>
      <c r="R38" s="701"/>
    </row>
    <row r="39" spans="1:18" s="18" customFormat="1" hidden="1" x14ac:dyDescent="0.25">
      <c r="A39" s="610"/>
      <c r="B39" s="610" t="s">
        <v>621</v>
      </c>
      <c r="C39" s="610"/>
      <c r="D39" s="610"/>
      <c r="E39" s="610"/>
      <c r="F39" s="610"/>
      <c r="G39" s="611"/>
      <c r="H39" s="611"/>
      <c r="I39" s="611">
        <f>SUM(I7,I29,I37,I38)</f>
        <v>14987090</v>
      </c>
      <c r="J39" s="612"/>
      <c r="K39" s="612"/>
      <c r="L39" s="612"/>
      <c r="M39" s="611">
        <f>SUM(M7,M29,M37,M38)</f>
        <v>16896564</v>
      </c>
      <c r="N39" s="611">
        <f>SUM(N7,N29,N37,N38)</f>
        <v>18082219</v>
      </c>
      <c r="O39" s="701"/>
      <c r="P39" s="701"/>
      <c r="Q39" s="701"/>
      <c r="R39" s="701"/>
    </row>
    <row r="44" spans="1:18" x14ac:dyDescent="0.25">
      <c r="K44" s="210">
        <v>100</v>
      </c>
    </row>
    <row r="45" spans="1:18" x14ac:dyDescent="0.25">
      <c r="K45" s="210">
        <v>105</v>
      </c>
    </row>
    <row r="46" spans="1:18" x14ac:dyDescent="0.25">
      <c r="K46" s="210">
        <v>110</v>
      </c>
    </row>
    <row r="47" spans="1:18" x14ac:dyDescent="0.25">
      <c r="K47" s="210">
        <v>115</v>
      </c>
    </row>
    <row r="48" spans="1:18" x14ac:dyDescent="0.25">
      <c r="K48" s="210">
        <v>120</v>
      </c>
    </row>
    <row r="50" spans="11:11" x14ac:dyDescent="0.25">
      <c r="K50" s="210" t="e">
        <f>AVERAGE((K45:K48-K44:K47)/K44:K47)</f>
        <v>#VALUE!</v>
      </c>
    </row>
  </sheetData>
  <mergeCells count="19">
    <mergeCell ref="A1:N1"/>
    <mergeCell ref="A3:A5"/>
    <mergeCell ref="B3:B5"/>
    <mergeCell ref="C3:C5"/>
    <mergeCell ref="D3:D5"/>
    <mergeCell ref="E3:E5"/>
    <mergeCell ref="F3:F5"/>
    <mergeCell ref="G3:G5"/>
    <mergeCell ref="I3:I5"/>
    <mergeCell ref="H3:H5"/>
    <mergeCell ref="R3:R5"/>
    <mergeCell ref="O3:O5"/>
    <mergeCell ref="P3:P5"/>
    <mergeCell ref="Q3:Q5"/>
    <mergeCell ref="J3:J5"/>
    <mergeCell ref="M3:M5"/>
    <mergeCell ref="N3:N5"/>
    <mergeCell ref="L3:L5"/>
    <mergeCell ref="K3:K5"/>
  </mergeCells>
  <pageMargins left="0" right="0" top="0" bottom="0" header="0" footer="0"/>
  <pageSetup paperSize="9" scale="67"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workbookViewId="0">
      <selection activeCell="D51" sqref="D51"/>
    </sheetView>
  </sheetViews>
  <sheetFormatPr defaultColWidth="8" defaultRowHeight="15.75" x14ac:dyDescent="0.25"/>
  <cols>
    <col min="1" max="1" width="6" style="209" customWidth="1"/>
    <col min="2" max="2" width="20" style="209" customWidth="1"/>
    <col min="3" max="4" width="10.125" style="784" customWidth="1"/>
    <col min="5" max="5" width="10.625" style="784" customWidth="1"/>
    <col min="6" max="7" width="8.125" style="784" bestFit="1" customWidth="1"/>
    <col min="8" max="9" width="8" style="784"/>
    <col min="10" max="10" width="8.125" style="784" bestFit="1" customWidth="1"/>
    <col min="11" max="11" width="8.125" style="784" customWidth="1"/>
    <col min="12" max="12" width="8.25" style="784" customWidth="1"/>
    <col min="13" max="16384" width="8" style="784"/>
  </cols>
  <sheetData>
    <row r="1" spans="1:14" x14ac:dyDescent="0.25">
      <c r="K1" s="784" t="s">
        <v>1541</v>
      </c>
    </row>
    <row r="2" spans="1:14" ht="15" x14ac:dyDescent="0.25">
      <c r="A2" s="1418" t="s">
        <v>963</v>
      </c>
      <c r="B2" s="1418"/>
      <c r="C2" s="1418"/>
      <c r="D2" s="1418"/>
      <c r="E2" s="1418"/>
      <c r="F2" s="1418"/>
      <c r="G2" s="1418"/>
      <c r="H2" s="1418"/>
      <c r="I2" s="1418"/>
      <c r="J2" s="1418"/>
      <c r="K2" s="1418"/>
      <c r="L2" s="1418"/>
    </row>
    <row r="3" spans="1:14" x14ac:dyDescent="0.25">
      <c r="L3" s="785" t="s">
        <v>547</v>
      </c>
    </row>
    <row r="4" spans="1:14" x14ac:dyDescent="0.25">
      <c r="A4" s="1406" t="s">
        <v>453</v>
      </c>
      <c r="B4" s="1406" t="s">
        <v>1531</v>
      </c>
      <c r="C4" s="1365" t="s">
        <v>398</v>
      </c>
      <c r="D4" s="1363" t="s">
        <v>1511</v>
      </c>
      <c r="E4" s="1363"/>
      <c r="F4" s="1363"/>
      <c r="G4" s="1363" t="s">
        <v>909</v>
      </c>
      <c r="H4" s="1363" t="s">
        <v>910</v>
      </c>
      <c r="I4" s="1420" t="s">
        <v>911</v>
      </c>
      <c r="J4" s="1419" t="s">
        <v>522</v>
      </c>
      <c r="K4" s="1419" t="s">
        <v>1512</v>
      </c>
      <c r="L4" s="1419"/>
      <c r="M4" s="1245"/>
      <c r="N4" s="1417" t="s">
        <v>915</v>
      </c>
    </row>
    <row r="5" spans="1:14" ht="85.5" x14ac:dyDescent="0.25">
      <c r="A5" s="1406"/>
      <c r="B5" s="1406"/>
      <c r="C5" s="1366"/>
      <c r="D5" s="1246" t="s">
        <v>1513</v>
      </c>
      <c r="E5" s="1246" t="s">
        <v>1514</v>
      </c>
      <c r="F5" s="1247" t="s">
        <v>1515</v>
      </c>
      <c r="G5" s="1363"/>
      <c r="H5" s="1363"/>
      <c r="I5" s="1420"/>
      <c r="J5" s="1419"/>
      <c r="K5" s="1241" t="s">
        <v>912</v>
      </c>
      <c r="L5" s="1248" t="s">
        <v>1516</v>
      </c>
      <c r="M5" s="1243" t="s">
        <v>1527</v>
      </c>
      <c r="N5" s="1417"/>
    </row>
    <row r="6" spans="1:14" s="786" customFormat="1" x14ac:dyDescent="0.2">
      <c r="A6" s="1242" t="s">
        <v>407</v>
      </c>
      <c r="B6" s="1242" t="s">
        <v>422</v>
      </c>
      <c r="C6" s="1242">
        <v>1</v>
      </c>
      <c r="D6" s="1243">
        <v>2</v>
      </c>
      <c r="E6" s="1242">
        <v>3</v>
      </c>
      <c r="F6" s="1243">
        <v>4</v>
      </c>
      <c r="G6" s="1242">
        <v>5</v>
      </c>
      <c r="H6" s="1243">
        <v>6</v>
      </c>
      <c r="I6" s="1242">
        <v>7</v>
      </c>
      <c r="J6" s="1243">
        <v>8</v>
      </c>
      <c r="K6" s="1242">
        <v>9</v>
      </c>
      <c r="L6" s="1243">
        <v>10</v>
      </c>
      <c r="M6" s="1242"/>
      <c r="N6" s="1243"/>
    </row>
    <row r="7" spans="1:14" x14ac:dyDescent="0.25">
      <c r="A7" s="278">
        <v>1</v>
      </c>
      <c r="B7" s="1249" t="s">
        <v>322</v>
      </c>
      <c r="C7" s="1250">
        <f>INT(SUM(D7:L7))</f>
        <v>8156</v>
      </c>
      <c r="D7" s="1250">
        <v>3399.382701</v>
      </c>
      <c r="E7" s="1250">
        <v>3503.2997999999998</v>
      </c>
      <c r="F7" s="1250">
        <v>374.90806220000002</v>
      </c>
      <c r="G7" s="1250">
        <v>43.721964</v>
      </c>
      <c r="H7" s="1250"/>
      <c r="I7" s="1250"/>
      <c r="J7" s="1250">
        <v>65.582945999999993</v>
      </c>
      <c r="K7" s="1250">
        <v>275.38641899999999</v>
      </c>
      <c r="L7" s="1250">
        <v>494.39451600000001</v>
      </c>
      <c r="M7" s="1250">
        <f>INT(D7+F7)</f>
        <v>3774</v>
      </c>
      <c r="N7" s="1251">
        <f>M7/C7</f>
        <v>0.46272682687591959</v>
      </c>
    </row>
    <row r="8" spans="1:14" x14ac:dyDescent="0.25">
      <c r="A8" s="268">
        <v>2</v>
      </c>
      <c r="B8" s="1244" t="s">
        <v>1517</v>
      </c>
      <c r="C8" s="1252">
        <f t="shared" ref="C8:C18" si="0">INT(SUM(D8:L8))</f>
        <v>4605</v>
      </c>
      <c r="D8" s="1252">
        <v>1967.4883800000002</v>
      </c>
      <c r="E8" s="1252">
        <v>1910.8907999999999</v>
      </c>
      <c r="F8" s="1252">
        <v>8.7443928</v>
      </c>
      <c r="G8" s="1252">
        <v>56.838553200000007</v>
      </c>
      <c r="H8" s="1252"/>
      <c r="I8" s="1252"/>
      <c r="J8" s="1252">
        <v>61.2107496</v>
      </c>
      <c r="K8" s="1252">
        <v>268.88122799999996</v>
      </c>
      <c r="L8" s="1252">
        <v>331.76474100000007</v>
      </c>
      <c r="M8" s="1252">
        <f t="shared" ref="M8:M18" si="1">INT(D8+F8)</f>
        <v>1976</v>
      </c>
      <c r="N8" s="1253">
        <f t="shared" ref="N8:N18" si="2">M8/C8</f>
        <v>0.42909880564603692</v>
      </c>
    </row>
    <row r="9" spans="1:14" x14ac:dyDescent="0.25">
      <c r="A9" s="268">
        <v>3</v>
      </c>
      <c r="B9" s="1244" t="s">
        <v>323</v>
      </c>
      <c r="C9" s="1252">
        <f t="shared" si="0"/>
        <v>7642</v>
      </c>
      <c r="D9" s="1252">
        <v>3053.9791854000005</v>
      </c>
      <c r="E9" s="1252">
        <v>3730.7867999999999</v>
      </c>
      <c r="F9" s="1252">
        <v>39.349767600000007</v>
      </c>
      <c r="G9" s="1252">
        <v>43.721964</v>
      </c>
      <c r="H9" s="1252"/>
      <c r="I9" s="1252"/>
      <c r="J9" s="1252">
        <v>56.838553200000007</v>
      </c>
      <c r="K9" s="1252">
        <v>281.89161000000001</v>
      </c>
      <c r="L9" s="1252">
        <v>435.84779700000001</v>
      </c>
      <c r="M9" s="1252">
        <f t="shared" si="1"/>
        <v>3093</v>
      </c>
      <c r="N9" s="1253">
        <f t="shared" si="2"/>
        <v>0.40473697984820728</v>
      </c>
    </row>
    <row r="10" spans="1:14" x14ac:dyDescent="0.25">
      <c r="A10" s="268">
        <v>4</v>
      </c>
      <c r="B10" s="270" t="s">
        <v>90</v>
      </c>
      <c r="C10" s="1252">
        <f t="shared" si="0"/>
        <v>7958</v>
      </c>
      <c r="D10" s="1252">
        <v>2997.1406322000003</v>
      </c>
      <c r="E10" s="1252">
        <v>3958.2737999999999</v>
      </c>
      <c r="F10" s="1252">
        <v>37.163669400000003</v>
      </c>
      <c r="G10" s="1252">
        <v>43.721964</v>
      </c>
      <c r="H10" s="1252"/>
      <c r="I10" s="1252"/>
      <c r="J10" s="1252">
        <v>52.4663568</v>
      </c>
      <c r="K10" s="1252">
        <v>288.39680099999998</v>
      </c>
      <c r="L10" s="1252">
        <v>581.13039600000002</v>
      </c>
      <c r="M10" s="1252">
        <f t="shared" si="1"/>
        <v>3034</v>
      </c>
      <c r="N10" s="1253">
        <f t="shared" si="2"/>
        <v>0.38125157074641869</v>
      </c>
    </row>
    <row r="11" spans="1:14" x14ac:dyDescent="0.25">
      <c r="A11" s="268">
        <v>5</v>
      </c>
      <c r="B11" s="270" t="s">
        <v>324</v>
      </c>
      <c r="C11" s="1252">
        <f t="shared" si="0"/>
        <v>9320</v>
      </c>
      <c r="D11" s="1252">
        <v>3893.4408942000005</v>
      </c>
      <c r="E11" s="1252">
        <v>4413.2478000000001</v>
      </c>
      <c r="F11" s="1252">
        <v>6.5582946</v>
      </c>
      <c r="G11" s="1252">
        <v>45.908062200000003</v>
      </c>
      <c r="H11" s="1252"/>
      <c r="I11" s="1252"/>
      <c r="J11" s="1252">
        <v>50.280258600000003</v>
      </c>
      <c r="K11" s="1252">
        <v>288.39680099999998</v>
      </c>
      <c r="L11" s="1252">
        <v>622.32993899999997</v>
      </c>
      <c r="M11" s="1252">
        <f t="shared" si="1"/>
        <v>3899</v>
      </c>
      <c r="N11" s="1253">
        <f t="shared" si="2"/>
        <v>0.41834763948497855</v>
      </c>
    </row>
    <row r="12" spans="1:14" x14ac:dyDescent="0.25">
      <c r="A12" s="268">
        <v>6</v>
      </c>
      <c r="B12" s="270" t="s">
        <v>396</v>
      </c>
      <c r="C12" s="1252">
        <f t="shared" si="0"/>
        <v>9728</v>
      </c>
      <c r="D12" s="1252">
        <v>3808.1830643999997</v>
      </c>
      <c r="E12" s="1252">
        <v>4821.8352000000004</v>
      </c>
      <c r="F12" s="1252">
        <v>6.5582945999999991</v>
      </c>
      <c r="G12" s="1252">
        <v>39.3497676</v>
      </c>
      <c r="H12" s="1252"/>
      <c r="I12" s="1252"/>
      <c r="J12" s="1252">
        <v>61.210749599999993</v>
      </c>
      <c r="K12" s="1252">
        <v>294.90199199999995</v>
      </c>
      <c r="L12" s="1252">
        <v>696.05543699999998</v>
      </c>
      <c r="M12" s="1252">
        <f t="shared" si="1"/>
        <v>3814</v>
      </c>
      <c r="N12" s="1253">
        <f t="shared" si="2"/>
        <v>0.39206414473684209</v>
      </c>
    </row>
    <row r="13" spans="1:14" x14ac:dyDescent="0.25">
      <c r="A13" s="268">
        <v>7</v>
      </c>
      <c r="B13" s="270" t="s">
        <v>397</v>
      </c>
      <c r="C13" s="1252">
        <f t="shared" si="0"/>
        <v>11672</v>
      </c>
      <c r="D13" s="1252">
        <v>5032.3980564000003</v>
      </c>
      <c r="E13" s="1252">
        <v>5323.1957999999995</v>
      </c>
      <c r="F13" s="1252">
        <v>26.2331784</v>
      </c>
      <c r="G13" s="1252">
        <v>43.721964</v>
      </c>
      <c r="H13" s="1252"/>
      <c r="I13" s="1252"/>
      <c r="J13" s="1252">
        <v>76.51343700000001</v>
      </c>
      <c r="K13" s="1252">
        <v>299.238786</v>
      </c>
      <c r="L13" s="1252">
        <v>871.69559400000003</v>
      </c>
      <c r="M13" s="1252">
        <f t="shared" si="1"/>
        <v>5058</v>
      </c>
      <c r="N13" s="1253">
        <f t="shared" si="2"/>
        <v>0.43334475668265937</v>
      </c>
    </row>
    <row r="14" spans="1:14" x14ac:dyDescent="0.25">
      <c r="A14" s="268">
        <v>8</v>
      </c>
      <c r="B14" s="270" t="s">
        <v>25</v>
      </c>
      <c r="C14" s="1252">
        <f t="shared" si="0"/>
        <v>9799</v>
      </c>
      <c r="D14" s="1252">
        <v>4485.8735064000002</v>
      </c>
      <c r="E14" s="1252">
        <v>4276.7556000000004</v>
      </c>
      <c r="F14" s="1252">
        <v>10.930491</v>
      </c>
      <c r="G14" s="1252">
        <v>43.721964</v>
      </c>
      <c r="H14" s="1252"/>
      <c r="I14" s="1252"/>
      <c r="J14" s="1252">
        <v>50.280258600000003</v>
      </c>
      <c r="K14" s="1252">
        <v>292.73359500000004</v>
      </c>
      <c r="L14" s="1252">
        <v>639.67711500000007</v>
      </c>
      <c r="M14" s="1252">
        <f t="shared" si="1"/>
        <v>4496</v>
      </c>
      <c r="N14" s="1253">
        <f t="shared" si="2"/>
        <v>0.45882232880906215</v>
      </c>
    </row>
    <row r="15" spans="1:14" x14ac:dyDescent="0.25">
      <c r="A15" s="268">
        <v>9</v>
      </c>
      <c r="B15" s="270" t="s">
        <v>26</v>
      </c>
      <c r="C15" s="1252">
        <f t="shared" si="0"/>
        <v>9406</v>
      </c>
      <c r="D15" s="1252">
        <v>4050.8399646000003</v>
      </c>
      <c r="E15" s="1252">
        <v>3821.7815999999998</v>
      </c>
      <c r="F15" s="1252">
        <v>494.1636694</v>
      </c>
      <c r="G15" s="1252">
        <v>43.721964</v>
      </c>
      <c r="H15" s="1252"/>
      <c r="I15" s="1252"/>
      <c r="J15" s="1252">
        <v>72.141240600000003</v>
      </c>
      <c r="K15" s="1252">
        <v>297.07038899999998</v>
      </c>
      <c r="L15" s="1252">
        <v>626.66673299999991</v>
      </c>
      <c r="M15" s="1252">
        <f t="shared" si="1"/>
        <v>4545</v>
      </c>
      <c r="N15" s="1253">
        <f t="shared" si="2"/>
        <v>0.48320221135445462</v>
      </c>
    </row>
    <row r="16" spans="1:14" x14ac:dyDescent="0.25">
      <c r="A16" s="268">
        <v>10</v>
      </c>
      <c r="B16" s="270" t="s">
        <v>326</v>
      </c>
      <c r="C16" s="1252">
        <f t="shared" si="0"/>
        <v>8713</v>
      </c>
      <c r="D16" s="1252">
        <v>3657.3422886000003</v>
      </c>
      <c r="E16" s="1252">
        <v>3730.7867999999999</v>
      </c>
      <c r="F16" s="1252">
        <v>348.23317839999999</v>
      </c>
      <c r="G16" s="1252">
        <v>50.280258600000003</v>
      </c>
      <c r="H16" s="1252"/>
      <c r="I16" s="1252"/>
      <c r="J16" s="1252">
        <v>61.2107496</v>
      </c>
      <c r="K16" s="1252">
        <v>288.39680099999998</v>
      </c>
      <c r="L16" s="1252">
        <v>576.79360199999996</v>
      </c>
      <c r="M16" s="1252">
        <f t="shared" si="1"/>
        <v>4005</v>
      </c>
      <c r="N16" s="1253">
        <f t="shared" si="2"/>
        <v>0.45965798232526112</v>
      </c>
    </row>
    <row r="17" spans="1:14" x14ac:dyDescent="0.25">
      <c r="A17" s="268">
        <v>11</v>
      </c>
      <c r="B17" s="270" t="s">
        <v>148</v>
      </c>
      <c r="C17" s="1252">
        <f t="shared" si="0"/>
        <v>6136</v>
      </c>
      <c r="D17" s="1252">
        <v>2374.1026452000001</v>
      </c>
      <c r="E17" s="1252">
        <v>2846.6256000000003</v>
      </c>
      <c r="F17" s="1252">
        <v>101.5582946</v>
      </c>
      <c r="G17" s="1252">
        <v>37.163669400000003</v>
      </c>
      <c r="H17" s="1252"/>
      <c r="I17" s="1252"/>
      <c r="J17" s="1252">
        <v>65.582945999999993</v>
      </c>
      <c r="K17" s="1252">
        <v>292.73359500000004</v>
      </c>
      <c r="L17" s="1252">
        <v>418.50062099999997</v>
      </c>
      <c r="M17" s="1252">
        <f t="shared" si="1"/>
        <v>2475</v>
      </c>
      <c r="N17" s="1253">
        <f t="shared" si="2"/>
        <v>0.40335723598435463</v>
      </c>
    </row>
    <row r="18" spans="1:14" x14ac:dyDescent="0.25">
      <c r="A18" s="272">
        <v>12</v>
      </c>
      <c r="B18" s="273" t="s">
        <v>327</v>
      </c>
      <c r="C18" s="1254">
        <f t="shared" si="0"/>
        <v>7806</v>
      </c>
      <c r="D18" s="1254">
        <v>3303.1943801999996</v>
      </c>
      <c r="E18" s="1254">
        <v>3412.3049999999998</v>
      </c>
      <c r="F18" s="1254">
        <v>121.2331784</v>
      </c>
      <c r="G18" s="1254">
        <v>43.721964</v>
      </c>
      <c r="H18" s="1254"/>
      <c r="I18" s="1254"/>
      <c r="J18" s="1254">
        <v>54.652455000000003</v>
      </c>
      <c r="K18" s="1254">
        <v>290.56519800000001</v>
      </c>
      <c r="L18" s="1254">
        <v>581.13039600000002</v>
      </c>
      <c r="M18" s="1254">
        <f t="shared" si="1"/>
        <v>3424</v>
      </c>
      <c r="N18" s="1255">
        <f t="shared" si="2"/>
        <v>0.43863694593902125</v>
      </c>
    </row>
    <row r="19" spans="1:14" s="786" customFormat="1" ht="14.25" x14ac:dyDescent="0.2">
      <c r="A19" s="1256"/>
      <c r="B19" s="1256" t="s">
        <v>398</v>
      </c>
      <c r="C19" s="1257">
        <f>INT(SUM(C7:C18))</f>
        <v>100941</v>
      </c>
      <c r="D19" s="1257">
        <f t="shared" ref="D19:M19" si="3">INT(SUM(D7:D18))</f>
        <v>42023</v>
      </c>
      <c r="E19" s="1257">
        <f t="shared" si="3"/>
        <v>45749</v>
      </c>
      <c r="F19" s="1257">
        <f t="shared" si="3"/>
        <v>1575</v>
      </c>
      <c r="G19" s="1257">
        <f t="shared" si="3"/>
        <v>535</v>
      </c>
      <c r="H19" s="1257">
        <f t="shared" si="3"/>
        <v>0</v>
      </c>
      <c r="I19" s="1257">
        <f t="shared" si="3"/>
        <v>0</v>
      </c>
      <c r="J19" s="1257">
        <f t="shared" si="3"/>
        <v>727</v>
      </c>
      <c r="K19" s="1257">
        <f t="shared" si="3"/>
        <v>3458</v>
      </c>
      <c r="L19" s="1257">
        <f t="shared" si="3"/>
        <v>6875</v>
      </c>
      <c r="M19" s="1257">
        <f t="shared" si="3"/>
        <v>43593</v>
      </c>
      <c r="N19" s="1257">
        <f>M19/C19%</f>
        <v>43.186613962611823</v>
      </c>
    </row>
    <row r="20" spans="1:14" x14ac:dyDescent="0.25">
      <c r="D20" s="787"/>
    </row>
    <row r="30" spans="1:14" x14ac:dyDescent="0.25">
      <c r="B30" s="209" t="s">
        <v>1540</v>
      </c>
    </row>
  </sheetData>
  <customSheetViews>
    <customSheetView guid="{88621519-296E-4458-B04E-813E881018FE}" hiddenColumns="1" topLeftCell="A3">
      <selection activeCell="L19" sqref="L19"/>
      <pageMargins left="0.7" right="0.7" top="0.75" bottom="0.75" header="0.3" footer="0.3"/>
      <pageSetup orientation="portrait" r:id="rId1"/>
    </customSheetView>
  </customSheetViews>
  <mergeCells count="11">
    <mergeCell ref="N4:N5"/>
    <mergeCell ref="A2:L2"/>
    <mergeCell ref="D4:F4"/>
    <mergeCell ref="A4:A5"/>
    <mergeCell ref="B4:B5"/>
    <mergeCell ref="C4:C5"/>
    <mergeCell ref="G4:G5"/>
    <mergeCell ref="H4:H5"/>
    <mergeCell ref="K4:L4"/>
    <mergeCell ref="I4:I5"/>
    <mergeCell ref="J4:J5"/>
  </mergeCell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12"/>
  </sheetPr>
  <dimension ref="A1:K30"/>
  <sheetViews>
    <sheetView zoomScale="85" workbookViewId="0">
      <pane xSplit="4" ySplit="8" topLeftCell="I18"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4.5" bestFit="1" customWidth="1"/>
    <col min="2" max="2" width="35.375" customWidth="1"/>
    <col min="3" max="3" width="27.5" customWidth="1"/>
    <col min="4" max="4" width="10.125" hidden="1" customWidth="1"/>
    <col min="5" max="8" width="15.625" hidden="1" customWidth="1"/>
    <col min="9" max="9" width="31.5" customWidth="1"/>
    <col min="10" max="10" width="28.375" customWidth="1"/>
  </cols>
  <sheetData>
    <row r="1" spans="1:11" x14ac:dyDescent="0.25">
      <c r="K1" t="s">
        <v>1541</v>
      </c>
    </row>
    <row r="2" spans="1:11" x14ac:dyDescent="0.25">
      <c r="A2" s="1409" t="s">
        <v>1476</v>
      </c>
      <c r="B2" s="1409"/>
      <c r="C2" s="1409"/>
      <c r="D2" s="1409"/>
      <c r="E2" s="1409"/>
      <c r="F2" s="1409"/>
      <c r="G2" s="1409"/>
      <c r="H2" s="1409"/>
      <c r="I2" s="1409"/>
      <c r="J2" s="1409"/>
    </row>
    <row r="4" spans="1:11" x14ac:dyDescent="0.25">
      <c r="J4" s="136" t="s">
        <v>547</v>
      </c>
    </row>
    <row r="5" spans="1:11" s="72" customFormat="1" x14ac:dyDescent="0.25">
      <c r="A5" s="1365" t="s">
        <v>519</v>
      </c>
      <c r="B5" s="1365" t="s">
        <v>498</v>
      </c>
      <c r="C5" s="1365" t="s">
        <v>1477</v>
      </c>
      <c r="D5" s="1423" t="s">
        <v>704</v>
      </c>
      <c r="E5" s="1424"/>
      <c r="F5" s="1424"/>
      <c r="G5" s="1425"/>
      <c r="H5" s="1365" t="s">
        <v>705</v>
      </c>
      <c r="I5" s="1365" t="s">
        <v>1478</v>
      </c>
      <c r="J5" s="1365" t="s">
        <v>707</v>
      </c>
    </row>
    <row r="6" spans="1:11" s="353" customFormat="1" ht="155.25" customHeight="1" x14ac:dyDescent="0.25">
      <c r="A6" s="1366"/>
      <c r="B6" s="1366"/>
      <c r="C6" s="1366"/>
      <c r="D6" s="354" t="s">
        <v>404</v>
      </c>
      <c r="E6" s="354" t="s">
        <v>708</v>
      </c>
      <c r="F6" s="354" t="s">
        <v>706</v>
      </c>
      <c r="G6" s="354" t="s">
        <v>709</v>
      </c>
      <c r="H6" s="1366"/>
      <c r="I6" s="1366"/>
      <c r="J6" s="1366"/>
    </row>
    <row r="7" spans="1:11" s="72" customFormat="1" x14ac:dyDescent="0.25">
      <c r="A7" s="159">
        <v>1</v>
      </c>
      <c r="B7" s="159">
        <v>2</v>
      </c>
      <c r="C7" s="159">
        <v>3</v>
      </c>
      <c r="D7" s="159">
        <v>4</v>
      </c>
      <c r="E7" s="159">
        <v>5</v>
      </c>
      <c r="F7" s="159">
        <v>6</v>
      </c>
      <c r="G7" s="159">
        <v>7</v>
      </c>
      <c r="H7" s="159">
        <v>8</v>
      </c>
      <c r="I7" s="159" t="s">
        <v>710</v>
      </c>
      <c r="J7" s="159">
        <v>5</v>
      </c>
    </row>
    <row r="8" spans="1:11" ht="30" customHeight="1" x14ac:dyDescent="0.25">
      <c r="A8" s="73">
        <v>1</v>
      </c>
      <c r="B8" s="160" t="s">
        <v>322</v>
      </c>
      <c r="C8" s="162">
        <f>IF('Thu NSH'!V43&lt;0,0,'Thu NSH'!V43*60%)</f>
        <v>0</v>
      </c>
      <c r="D8" s="162">
        <f>SUM(E8:G8)</f>
        <v>0</v>
      </c>
      <c r="E8" s="162">
        <f>'Chi NSH'!Q28</f>
        <v>0</v>
      </c>
      <c r="F8" s="162">
        <f>'Chi NSH'!Q35</f>
        <v>0</v>
      </c>
      <c r="G8" s="162">
        <f>'Chi NSH'!Q31-'Chi NSH'!Q32-'Chi NSH'!Q33-'Chi NSH'!Q34</f>
        <v>0</v>
      </c>
      <c r="H8" s="162">
        <f>C8-D8</f>
        <v>0</v>
      </c>
      <c r="I8" s="162">
        <f>ROUNDDOWN(C8*10%,-1)</f>
        <v>0</v>
      </c>
      <c r="J8" s="162"/>
    </row>
    <row r="9" spans="1:11" ht="30" customHeight="1" x14ac:dyDescent="0.25">
      <c r="A9" s="779">
        <v>2</v>
      </c>
      <c r="B9" s="270" t="s">
        <v>1517</v>
      </c>
      <c r="C9" s="163">
        <f>IF('Thu NSH'!AH43&lt;0,0,'Thu NSH'!AH43*60%)</f>
        <v>0</v>
      </c>
      <c r="D9" s="163">
        <f t="shared" ref="D9:D19" si="0">SUM(E9:G9)</f>
        <v>0</v>
      </c>
      <c r="E9" s="163">
        <f>'Chi NSH'!Y28</f>
        <v>0</v>
      </c>
      <c r="F9" s="163">
        <f>'Chi NSH'!Y35</f>
        <v>0</v>
      </c>
      <c r="G9" s="163">
        <f>'Chi NSH'!Y31-'Chi NSH'!Y32-'Chi NSH'!Y33-'Chi NSH'!Y34</f>
        <v>0</v>
      </c>
      <c r="H9" s="163">
        <f t="shared" ref="H9:H19" si="1">C9-D9</f>
        <v>0</v>
      </c>
      <c r="I9" s="163">
        <f t="shared" ref="I9:I19" si="2">ROUNDDOWN(C9*10%,-1)</f>
        <v>0</v>
      </c>
      <c r="J9" s="163"/>
    </row>
    <row r="10" spans="1:11" ht="30" customHeight="1" x14ac:dyDescent="0.25">
      <c r="A10" s="779">
        <v>3</v>
      </c>
      <c r="B10" s="83" t="s">
        <v>323</v>
      </c>
      <c r="C10" s="163">
        <f>IF('Thu NSH'!AT43&lt;0,0,'Thu NSH'!AT43*60%)</f>
        <v>406.2</v>
      </c>
      <c r="D10" s="163">
        <f t="shared" si="0"/>
        <v>0</v>
      </c>
      <c r="E10" s="163">
        <f>'Chi NSH'!AG28</f>
        <v>0</v>
      </c>
      <c r="F10" s="163">
        <f>'Chi NSH'!AG35</f>
        <v>0</v>
      </c>
      <c r="G10" s="163">
        <f>'Chi NSH'!AG31-'Chi NSH'!AG32-'Chi NSH'!AG33-'Chi NSH'!AG34</f>
        <v>0</v>
      </c>
      <c r="H10" s="163">
        <f t="shared" si="1"/>
        <v>406.2</v>
      </c>
      <c r="I10" s="163">
        <f t="shared" si="2"/>
        <v>40</v>
      </c>
      <c r="J10" s="163"/>
    </row>
    <row r="11" spans="1:11" ht="30" customHeight="1" x14ac:dyDescent="0.25">
      <c r="A11" s="779">
        <v>4</v>
      </c>
      <c r="B11" s="83" t="s">
        <v>90</v>
      </c>
      <c r="C11" s="163">
        <f>IF('Thu NSH'!BF43&lt;0,0,'Thu NSH'!BF43*60%)</f>
        <v>0</v>
      </c>
      <c r="D11" s="163">
        <f t="shared" si="0"/>
        <v>0</v>
      </c>
      <c r="E11" s="163"/>
      <c r="F11" s="163"/>
      <c r="G11" s="163"/>
      <c r="H11" s="163">
        <f t="shared" si="1"/>
        <v>0</v>
      </c>
      <c r="I11" s="163">
        <f t="shared" si="2"/>
        <v>0</v>
      </c>
      <c r="J11" s="163"/>
    </row>
    <row r="12" spans="1:11" ht="30" customHeight="1" x14ac:dyDescent="0.25">
      <c r="A12" s="779">
        <v>5</v>
      </c>
      <c r="B12" s="83" t="s">
        <v>324</v>
      </c>
      <c r="C12" s="163">
        <f>IF('Thu NSH'!BR43&lt;0,0,'Thu NSH'!BR43*60%)</f>
        <v>0</v>
      </c>
      <c r="D12" s="163">
        <f t="shared" si="0"/>
        <v>0</v>
      </c>
      <c r="E12" s="163"/>
      <c r="F12" s="163"/>
      <c r="G12" s="163"/>
      <c r="H12" s="163">
        <f t="shared" si="1"/>
        <v>0</v>
      </c>
      <c r="I12" s="163">
        <f t="shared" si="2"/>
        <v>0</v>
      </c>
      <c r="J12" s="163"/>
    </row>
    <row r="13" spans="1:11" ht="30" customHeight="1" x14ac:dyDescent="0.25">
      <c r="A13" s="779">
        <v>6</v>
      </c>
      <c r="B13" s="83" t="s">
        <v>396</v>
      </c>
      <c r="C13" s="163">
        <f>IF('Thu NSH'!CD43&lt;0,0,'Thu NSH'!CD43*60%)</f>
        <v>0</v>
      </c>
      <c r="D13" s="163">
        <f t="shared" si="0"/>
        <v>0</v>
      </c>
      <c r="E13" s="163"/>
      <c r="F13" s="163"/>
      <c r="G13" s="163"/>
      <c r="H13" s="163">
        <f t="shared" si="1"/>
        <v>0</v>
      </c>
      <c r="I13" s="163">
        <f t="shared" si="2"/>
        <v>0</v>
      </c>
      <c r="J13" s="163"/>
    </row>
    <row r="14" spans="1:11" ht="30" customHeight="1" x14ac:dyDescent="0.25">
      <c r="A14" s="779">
        <v>7</v>
      </c>
      <c r="B14" s="83" t="s">
        <v>397</v>
      </c>
      <c r="C14" s="163">
        <f>IF('Thu NSH'!CP43&lt;0,0,'Thu NSH'!CP43*60%)</f>
        <v>0</v>
      </c>
      <c r="D14" s="163">
        <f t="shared" si="0"/>
        <v>0</v>
      </c>
      <c r="E14" s="163"/>
      <c r="F14" s="163"/>
      <c r="G14" s="163"/>
      <c r="H14" s="163">
        <f t="shared" si="1"/>
        <v>0</v>
      </c>
      <c r="I14" s="163">
        <f t="shared" si="2"/>
        <v>0</v>
      </c>
      <c r="J14" s="163"/>
    </row>
    <row r="15" spans="1:11" ht="30" customHeight="1" x14ac:dyDescent="0.25">
      <c r="A15" s="779">
        <v>8</v>
      </c>
      <c r="B15" s="83" t="s">
        <v>25</v>
      </c>
      <c r="C15" s="163">
        <f>IF('Thu NSH'!DB43&lt;0,0,'Thu NSH'!DB43*60%)</f>
        <v>0</v>
      </c>
      <c r="D15" s="163">
        <f t="shared" si="0"/>
        <v>0</v>
      </c>
      <c r="E15" s="163"/>
      <c r="F15" s="163"/>
      <c r="G15" s="163"/>
      <c r="H15" s="163">
        <f t="shared" si="1"/>
        <v>0</v>
      </c>
      <c r="I15" s="163">
        <f t="shared" si="2"/>
        <v>0</v>
      </c>
      <c r="J15" s="163"/>
    </row>
    <row r="16" spans="1:11" ht="30" customHeight="1" x14ac:dyDescent="0.25">
      <c r="A16" s="779">
        <v>9</v>
      </c>
      <c r="B16" s="83" t="s">
        <v>26</v>
      </c>
      <c r="C16" s="163">
        <f>IF('Thu NSH'!DN43&lt;0,0,'Thu NSH'!DN43*60%)</f>
        <v>0</v>
      </c>
      <c r="D16" s="163">
        <f t="shared" si="0"/>
        <v>0</v>
      </c>
      <c r="E16" s="163"/>
      <c r="F16" s="163"/>
      <c r="G16" s="163"/>
      <c r="H16" s="163">
        <f t="shared" si="1"/>
        <v>0</v>
      </c>
      <c r="I16" s="163">
        <f t="shared" si="2"/>
        <v>0</v>
      </c>
      <c r="J16" s="163"/>
    </row>
    <row r="17" spans="1:10" ht="30" customHeight="1" x14ac:dyDescent="0.25">
      <c r="A17" s="779">
        <v>10</v>
      </c>
      <c r="B17" s="83" t="s">
        <v>326</v>
      </c>
      <c r="C17" s="163">
        <f>IF('Thu NSH'!DZ43&lt;0,0,'Thu NSH'!DZ43*60%)</f>
        <v>0</v>
      </c>
      <c r="D17" s="163">
        <f t="shared" si="0"/>
        <v>0</v>
      </c>
      <c r="E17" s="163"/>
      <c r="F17" s="163"/>
      <c r="G17" s="163"/>
      <c r="H17" s="163">
        <f t="shared" si="1"/>
        <v>0</v>
      </c>
      <c r="I17" s="163">
        <f t="shared" si="2"/>
        <v>0</v>
      </c>
      <c r="J17" s="163"/>
    </row>
    <row r="18" spans="1:10" ht="30" customHeight="1" x14ac:dyDescent="0.25">
      <c r="A18" s="779">
        <v>11</v>
      </c>
      <c r="B18" s="83" t="s">
        <v>148</v>
      </c>
      <c r="C18" s="163">
        <f>IF('Thu NSH'!EL43&lt;0,0,'Thu NSH'!EL43*60%)</f>
        <v>0</v>
      </c>
      <c r="D18" s="163">
        <f t="shared" si="0"/>
        <v>0</v>
      </c>
      <c r="E18" s="163"/>
      <c r="F18" s="163"/>
      <c r="G18" s="163"/>
      <c r="H18" s="163">
        <f t="shared" si="1"/>
        <v>0</v>
      </c>
      <c r="I18" s="163">
        <f t="shared" si="2"/>
        <v>0</v>
      </c>
      <c r="J18" s="163"/>
    </row>
    <row r="19" spans="1:10" ht="30" customHeight="1" x14ac:dyDescent="0.25">
      <c r="A19" s="780">
        <v>12</v>
      </c>
      <c r="B19" s="781" t="s">
        <v>327</v>
      </c>
      <c r="C19" s="782">
        <f>IF('Thu NSH'!EX43&lt;0,0,'Thu NSH'!EX43*60%)</f>
        <v>0</v>
      </c>
      <c r="D19" s="782">
        <f t="shared" si="0"/>
        <v>0</v>
      </c>
      <c r="E19" s="782"/>
      <c r="F19" s="782"/>
      <c r="G19" s="782"/>
      <c r="H19" s="782">
        <f t="shared" si="1"/>
        <v>0</v>
      </c>
      <c r="I19" s="782">
        <f t="shared" si="2"/>
        <v>0</v>
      </c>
      <c r="J19" s="782"/>
    </row>
    <row r="20" spans="1:10" x14ac:dyDescent="0.25">
      <c r="A20" s="1421" t="s">
        <v>398</v>
      </c>
      <c r="B20" s="1422"/>
      <c r="C20" s="164">
        <f>SUM(C8:C19)</f>
        <v>406.2</v>
      </c>
      <c r="D20" s="164">
        <f t="shared" ref="D20:I20" si="3">SUM(D8:D19)</f>
        <v>0</v>
      </c>
      <c r="E20" s="164">
        <f t="shared" si="3"/>
        <v>0</v>
      </c>
      <c r="F20" s="164">
        <f t="shared" si="3"/>
        <v>0</v>
      </c>
      <c r="G20" s="164">
        <f t="shared" si="3"/>
        <v>0</v>
      </c>
      <c r="H20" s="164">
        <f t="shared" si="3"/>
        <v>406.2</v>
      </c>
      <c r="I20" s="164">
        <f t="shared" si="3"/>
        <v>40</v>
      </c>
      <c r="J20" s="164"/>
    </row>
    <row r="21" spans="1:10" x14ac:dyDescent="0.25">
      <c r="I21">
        <v>14270</v>
      </c>
    </row>
    <row r="22" spans="1:10" x14ac:dyDescent="0.25">
      <c r="I22" s="630">
        <f>+I21-I20</f>
        <v>14230</v>
      </c>
    </row>
    <row r="25" spans="1:10" x14ac:dyDescent="0.25">
      <c r="I25">
        <v>103205</v>
      </c>
      <c r="J25">
        <v>132508</v>
      </c>
    </row>
    <row r="26" spans="1:10" x14ac:dyDescent="0.25">
      <c r="J26">
        <f>J25-I25</f>
        <v>29303</v>
      </c>
    </row>
    <row r="27" spans="1:10" x14ac:dyDescent="0.25">
      <c r="J27">
        <v>160</v>
      </c>
    </row>
    <row r="28" spans="1:10" x14ac:dyDescent="0.25">
      <c r="J28">
        <v>60</v>
      </c>
    </row>
    <row r="29" spans="1:10" x14ac:dyDescent="0.25">
      <c r="J29">
        <f>+J27*J28</f>
        <v>9600</v>
      </c>
    </row>
    <row r="30" spans="1:10" x14ac:dyDescent="0.25">
      <c r="J30">
        <f>9000/J27</f>
        <v>56.25</v>
      </c>
    </row>
  </sheetData>
  <customSheetViews>
    <customSheetView guid="{88621519-296E-4458-B04E-813E881018FE}" scale="85" hiddenColumns="1" state="hidden">
      <pane xSplit="3" ySplit="8" topLeftCell="I9" activePane="bottomRight" state="frozen"/>
      <selection pane="bottomRight" activeCell="A2" sqref="A2:J2"/>
      <pageMargins left="0.75" right="0.75" top="1" bottom="1" header="0.5" footer="0.5"/>
      <pageSetup paperSize="9" orientation="landscape" r:id="rId1"/>
      <headerFooter alignWithMargins="0"/>
    </customSheetView>
  </customSheetViews>
  <mergeCells count="9">
    <mergeCell ref="A2:J2"/>
    <mergeCell ref="A20:B20"/>
    <mergeCell ref="D5:G5"/>
    <mergeCell ref="C5:C6"/>
    <mergeCell ref="B5:B6"/>
    <mergeCell ref="A5:A6"/>
    <mergeCell ref="H5:H6"/>
    <mergeCell ref="J5:J6"/>
    <mergeCell ref="I5:I6"/>
  </mergeCells>
  <phoneticPr fontId="5" type="noConversion"/>
  <pageMargins left="0.75" right="0.75" top="1" bottom="1" header="0.5" footer="0.5"/>
  <pageSetup paperSize="9" orientation="landscape"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F0"/>
  </sheetPr>
  <dimension ref="A1:CU48"/>
  <sheetViews>
    <sheetView topLeftCell="A31" workbookViewId="0">
      <selection activeCell="D51" sqref="D51"/>
    </sheetView>
  </sheetViews>
  <sheetFormatPr defaultRowHeight="15.75" x14ac:dyDescent="0.25"/>
  <cols>
    <col min="1" max="1" width="9" style="377"/>
    <col min="2" max="2" width="42" style="209" customWidth="1"/>
    <col min="3" max="5" width="10.625" style="209" customWidth="1"/>
    <col min="6" max="8" width="0" style="209" hidden="1" customWidth="1"/>
    <col min="9" max="9" width="10.75" style="209" bestFit="1" customWidth="1"/>
    <col min="10" max="16384" width="9" style="209"/>
  </cols>
  <sheetData>
    <row r="1" spans="1:99" x14ac:dyDescent="0.25">
      <c r="A1" s="1409" t="s">
        <v>1412</v>
      </c>
      <c r="B1" s="1409"/>
      <c r="C1" s="1409"/>
      <c r="D1" s="1409"/>
      <c r="E1" s="1409"/>
      <c r="AD1" s="209" t="s">
        <v>1537</v>
      </c>
      <c r="AI1" s="1270"/>
      <c r="AQ1" s="1270"/>
      <c r="AY1" s="1270"/>
      <c r="BG1" s="1270"/>
      <c r="BO1" s="1270"/>
      <c r="BW1" s="1270"/>
      <c r="CE1" s="1270"/>
      <c r="CM1" s="1270"/>
      <c r="CU1" s="1270"/>
    </row>
    <row r="2" spans="1:99" x14ac:dyDescent="0.25">
      <c r="A2" s="378"/>
      <c r="B2" s="378"/>
      <c r="C2" s="378"/>
      <c r="D2" s="378"/>
      <c r="E2" s="136" t="s">
        <v>516</v>
      </c>
    </row>
    <row r="3" spans="1:99" s="154" customFormat="1" x14ac:dyDescent="0.25">
      <c r="A3" s="186" t="s">
        <v>409</v>
      </c>
      <c r="B3" s="187" t="s">
        <v>993</v>
      </c>
      <c r="C3" s="379">
        <f>SUM(C4:C7)</f>
        <v>13488350</v>
      </c>
      <c r="D3" s="379">
        <f>SUM(D4:D7)</f>
        <v>10861801</v>
      </c>
      <c r="E3" s="379">
        <f>SUM(E4:E7)</f>
        <v>2626549</v>
      </c>
    </row>
    <row r="4" spans="1:99" s="154" customFormat="1" x14ac:dyDescent="0.25">
      <c r="A4" s="188">
        <v>1</v>
      </c>
      <c r="B4" s="153" t="s">
        <v>1553</v>
      </c>
      <c r="C4" s="380">
        <f>D4+E4</f>
        <v>6520360</v>
      </c>
      <c r="D4" s="380">
        <f>'Phụ lục số 1'!L12</f>
        <v>4141560</v>
      </c>
      <c r="E4" s="380">
        <f>'Phụ lục số 1'!M12</f>
        <v>2378800</v>
      </c>
    </row>
    <row r="5" spans="1:99" s="154" customFormat="1" x14ac:dyDescent="0.25">
      <c r="A5" s="188">
        <v>2</v>
      </c>
      <c r="B5" s="153" t="s">
        <v>459</v>
      </c>
      <c r="C5" s="380">
        <f>D5+E5</f>
        <v>6518796</v>
      </c>
      <c r="D5" s="380">
        <f>'Phụ lục số 1'!L55</f>
        <v>6518796</v>
      </c>
      <c r="E5" s="380"/>
      <c r="F5" s="154">
        <f>223000+316490</f>
        <v>539490</v>
      </c>
      <c r="G5" s="154">
        <f>+F5/1153620%</f>
        <v>46.764965933322927</v>
      </c>
    </row>
    <row r="6" spans="1:99" s="154" customFormat="1" x14ac:dyDescent="0.25">
      <c r="A6" s="188">
        <v>3</v>
      </c>
      <c r="B6" s="153" t="s">
        <v>225</v>
      </c>
      <c r="C6" s="380">
        <f>D6+E6</f>
        <v>418294</v>
      </c>
      <c r="D6" s="380">
        <f>'Phụ lục số 1'!L62</f>
        <v>170545</v>
      </c>
      <c r="E6" s="380">
        <f>'Phụ lục số 1'!M62</f>
        <v>247749</v>
      </c>
    </row>
    <row r="7" spans="1:99" x14ac:dyDescent="0.25">
      <c r="A7" s="188">
        <v>4</v>
      </c>
      <c r="B7" s="153" t="s">
        <v>938</v>
      </c>
      <c r="C7" s="380">
        <f>D7+E7</f>
        <v>30900</v>
      </c>
      <c r="D7" s="380">
        <f>'Phụ lục số 1'!L63</f>
        <v>30900</v>
      </c>
      <c r="E7" s="380">
        <f>'Phụ lục số 1'!M63</f>
        <v>0</v>
      </c>
    </row>
    <row r="8" spans="1:99" s="154" customFormat="1" x14ac:dyDescent="0.25">
      <c r="A8" s="186" t="s">
        <v>409</v>
      </c>
      <c r="B8" s="187" t="s">
        <v>994</v>
      </c>
      <c r="C8" s="379">
        <f>SUM(C9,C14,C15,C19,C20,C21,C22,C23,C24)</f>
        <v>13488350.014160186</v>
      </c>
      <c r="D8" s="379">
        <f>SUM(D9,D14,D15,D19,D20,D21,D22,D23,D24)</f>
        <v>6558691</v>
      </c>
      <c r="E8" s="379">
        <f>SUM(E9,E14,E15,E19,E20,E21,E22,E23,E24)</f>
        <v>6929659.0141601851</v>
      </c>
    </row>
    <row r="9" spans="1:99" s="154" customFormat="1" x14ac:dyDescent="0.25">
      <c r="A9" s="188">
        <v>1</v>
      </c>
      <c r="B9" s="153" t="s">
        <v>227</v>
      </c>
      <c r="C9" s="380">
        <f>SUM(C10:C13)</f>
        <v>3182962</v>
      </c>
      <c r="D9" s="380">
        <f>SUM(D10:D13)</f>
        <v>2117534</v>
      </c>
      <c r="E9" s="380">
        <f>SUM(E10:E13)</f>
        <v>1065428</v>
      </c>
    </row>
    <row r="10" spans="1:99" s="154" customFormat="1" x14ac:dyDescent="0.25">
      <c r="A10" s="268" t="s">
        <v>434</v>
      </c>
      <c r="B10" s="232" t="s">
        <v>432</v>
      </c>
      <c r="C10" s="383">
        <f>D10+E10</f>
        <v>1131485</v>
      </c>
      <c r="D10" s="383">
        <f>'Phụ lục số 2'!I14</f>
        <v>626239</v>
      </c>
      <c r="E10" s="383">
        <f>'Phụ lục số 2'!J14</f>
        <v>505246</v>
      </c>
    </row>
    <row r="11" spans="1:99" s="154" customFormat="1" x14ac:dyDescent="0.25">
      <c r="A11" s="268" t="s">
        <v>435</v>
      </c>
      <c r="B11" s="232" t="s">
        <v>479</v>
      </c>
      <c r="C11" s="383">
        <f t="shared" ref="C11:C24" si="0">D11+E11</f>
        <v>560182</v>
      </c>
      <c r="D11" s="383">
        <f>'Phụ lục số 2'!I15</f>
        <v>0</v>
      </c>
      <c r="E11" s="383">
        <f>'Phụ lục số 2'!J15</f>
        <v>560182</v>
      </c>
    </row>
    <row r="12" spans="1:99" s="95" customFormat="1" x14ac:dyDescent="0.25">
      <c r="A12" s="268" t="s">
        <v>436</v>
      </c>
      <c r="B12" s="232" t="s">
        <v>701</v>
      </c>
      <c r="C12" s="383">
        <f t="shared" si="0"/>
        <v>1491295</v>
      </c>
      <c r="D12" s="383">
        <f>'Phụ lục số 2'!I16</f>
        <v>1491295</v>
      </c>
      <c r="E12" s="383">
        <f>'Phụ lục số 2'!J16</f>
        <v>0</v>
      </c>
    </row>
    <row r="13" spans="1:99" s="95" customFormat="1" x14ac:dyDescent="0.25">
      <c r="A13" s="268" t="s">
        <v>437</v>
      </c>
      <c r="B13" s="232" t="s">
        <v>581</v>
      </c>
      <c r="C13" s="383">
        <f t="shared" si="0"/>
        <v>0</v>
      </c>
      <c r="D13" s="383">
        <f>'Phụ lục số 2'!I17</f>
        <v>0</v>
      </c>
      <c r="E13" s="383">
        <f>'Phụ lục số 2'!J17</f>
        <v>0</v>
      </c>
    </row>
    <row r="14" spans="1:99" s="95" customFormat="1" x14ac:dyDescent="0.25">
      <c r="A14" s="188">
        <v>2</v>
      </c>
      <c r="B14" s="153" t="s">
        <v>460</v>
      </c>
      <c r="C14" s="380">
        <f t="shared" si="0"/>
        <v>8607804</v>
      </c>
      <c r="D14" s="380">
        <f>'Phụ lục số 2'!I18</f>
        <v>2932744</v>
      </c>
      <c r="E14" s="380">
        <f>'Phụ lục số 2'!J18</f>
        <v>5675060</v>
      </c>
    </row>
    <row r="15" spans="1:99" s="189" customFormat="1" x14ac:dyDescent="0.25">
      <c r="A15" s="188">
        <v>3</v>
      </c>
      <c r="B15" s="153" t="s">
        <v>461</v>
      </c>
      <c r="C15" s="380">
        <f>SUM(C16:C18)</f>
        <v>1474513</v>
      </c>
      <c r="D15" s="380">
        <f>SUM(D16:D18)</f>
        <v>1474513</v>
      </c>
      <c r="E15" s="380">
        <f>SUM(E16:E18)</f>
        <v>0</v>
      </c>
    </row>
    <row r="16" spans="1:99" s="154" customFormat="1" x14ac:dyDescent="0.25">
      <c r="A16" s="190" t="s">
        <v>434</v>
      </c>
      <c r="B16" s="177" t="s">
        <v>576</v>
      </c>
      <c r="C16" s="381">
        <f t="shared" si="0"/>
        <v>426575</v>
      </c>
      <c r="D16" s="381">
        <f>'Phụ lục số 2'!I38</f>
        <v>426575</v>
      </c>
      <c r="E16" s="381">
        <f>'Phụ lục số 2'!J38</f>
        <v>0</v>
      </c>
    </row>
    <row r="17" spans="1:9" s="154" customFormat="1" x14ac:dyDescent="0.25">
      <c r="A17" s="190" t="s">
        <v>435</v>
      </c>
      <c r="B17" s="177" t="s">
        <v>577</v>
      </c>
      <c r="C17" s="381">
        <f t="shared" si="0"/>
        <v>906600</v>
      </c>
      <c r="D17" s="381">
        <f>'Phụ lục số 2'!I39</f>
        <v>906600</v>
      </c>
      <c r="E17" s="381">
        <f>'Phụ lục số 2'!J39</f>
        <v>0</v>
      </c>
    </row>
    <row r="18" spans="1:9" s="154" customFormat="1" x14ac:dyDescent="0.25">
      <c r="A18" s="190" t="s">
        <v>436</v>
      </c>
      <c r="B18" s="177" t="s">
        <v>578</v>
      </c>
      <c r="C18" s="381">
        <f t="shared" si="0"/>
        <v>141338</v>
      </c>
      <c r="D18" s="381">
        <f>'Phụ lục số 2'!I40</f>
        <v>141338</v>
      </c>
      <c r="E18" s="381">
        <f>'Phụ lục số 2'!J40</f>
        <v>0</v>
      </c>
    </row>
    <row r="19" spans="1:9" x14ac:dyDescent="0.25">
      <c r="A19" s="188">
        <v>4</v>
      </c>
      <c r="B19" s="153" t="s">
        <v>462</v>
      </c>
      <c r="C19" s="380">
        <f t="shared" si="0"/>
        <v>2000.0141601852549</v>
      </c>
      <c r="D19" s="380">
        <f>'Phụ lục số 2'!K32</f>
        <v>2000</v>
      </c>
      <c r="E19" s="380">
        <f>'Phụ lục số 2'!L32</f>
        <v>1.4160185254871654E-2</v>
      </c>
    </row>
    <row r="20" spans="1:9" x14ac:dyDescent="0.25">
      <c r="A20" s="188">
        <v>5</v>
      </c>
      <c r="B20" s="153" t="s">
        <v>575</v>
      </c>
      <c r="C20" s="380">
        <f t="shared" si="0"/>
        <v>0</v>
      </c>
      <c r="D20" s="380">
        <f>'Phụ lục số 2'!I33</f>
        <v>0</v>
      </c>
      <c r="E20" s="380">
        <f>'Phụ lục số 2'!J33</f>
        <v>0</v>
      </c>
    </row>
    <row r="21" spans="1:9" x14ac:dyDescent="0.25">
      <c r="A21" s="188">
        <v>6</v>
      </c>
      <c r="B21" s="153" t="s">
        <v>702</v>
      </c>
      <c r="C21" s="380">
        <f t="shared" si="0"/>
        <v>0</v>
      </c>
      <c r="D21" s="380">
        <f>'Phụ lục số 2'!I34</f>
        <v>0</v>
      </c>
      <c r="E21" s="380">
        <f>'Phụ lục số 2'!J34</f>
        <v>0</v>
      </c>
    </row>
    <row r="22" spans="1:9" x14ac:dyDescent="0.25">
      <c r="A22" s="188">
        <v>7</v>
      </c>
      <c r="B22" s="153" t="s">
        <v>579</v>
      </c>
      <c r="C22" s="380">
        <f t="shared" si="0"/>
        <v>189171</v>
      </c>
      <c r="D22" s="380">
        <f>'Phụ lục số 2'!I35</f>
        <v>0</v>
      </c>
      <c r="E22" s="380">
        <f>'Phụ lục số 2'!J35</f>
        <v>189171</v>
      </c>
    </row>
    <row r="23" spans="1:9" x14ac:dyDescent="0.25">
      <c r="A23" s="188">
        <v>8</v>
      </c>
      <c r="B23" s="153" t="s">
        <v>734</v>
      </c>
      <c r="C23" s="380">
        <f t="shared" si="0"/>
        <v>1000</v>
      </c>
      <c r="D23" s="380">
        <f>'Phụ lục số 2'!I36</f>
        <v>1000</v>
      </c>
      <c r="E23" s="380">
        <f>'Phụ lục số 2'!J36</f>
        <v>0</v>
      </c>
    </row>
    <row r="24" spans="1:9" x14ac:dyDescent="0.25">
      <c r="A24" s="188">
        <v>9</v>
      </c>
      <c r="B24" s="153" t="s">
        <v>939</v>
      </c>
      <c r="C24" s="380">
        <f t="shared" si="0"/>
        <v>30900</v>
      </c>
      <c r="D24" s="380">
        <f>'Phụ lục số 2'!I41</f>
        <v>30900</v>
      </c>
      <c r="E24" s="380">
        <f>'Phụ lục số 2'!J41</f>
        <v>0</v>
      </c>
    </row>
    <row r="25" spans="1:9" x14ac:dyDescent="0.25">
      <c r="A25" s="186"/>
      <c r="B25" s="186" t="s">
        <v>995</v>
      </c>
      <c r="C25" s="379">
        <f>D25+E25</f>
        <v>-1.4160185120999813E-2</v>
      </c>
      <c r="D25" s="379">
        <f>D3-D8</f>
        <v>4303110</v>
      </c>
      <c r="E25" s="379">
        <f>E3-E8</f>
        <v>-4303110.0141601851</v>
      </c>
      <c r="I25" s="1271"/>
    </row>
    <row r="26" spans="1:9" x14ac:dyDescent="0.25">
      <c r="A26" s="186" t="s">
        <v>421</v>
      </c>
      <c r="B26" s="187"/>
      <c r="C26" s="379">
        <f>SUM(C27:C30)</f>
        <v>14124109</v>
      </c>
      <c r="D26" s="379">
        <f>SUM(D27:D30)</f>
        <v>11208685</v>
      </c>
      <c r="E26" s="379">
        <f>SUM(E27:E30)</f>
        <v>2915424</v>
      </c>
    </row>
    <row r="27" spans="1:9" x14ac:dyDescent="0.25">
      <c r="A27" s="188">
        <v>1</v>
      </c>
      <c r="B27" s="153" t="s">
        <v>458</v>
      </c>
      <c r="C27" s="380">
        <f>D27+E27</f>
        <v>6480440</v>
      </c>
      <c r="D27" s="380">
        <f>'Phụ lục số 1'!R12</f>
        <v>4103130</v>
      </c>
      <c r="E27" s="380">
        <f>'Phụ lục số 1'!S12</f>
        <v>2377310</v>
      </c>
    </row>
    <row r="28" spans="1:9" x14ac:dyDescent="0.25">
      <c r="A28" s="188">
        <v>2</v>
      </c>
      <c r="B28" s="153" t="s">
        <v>459</v>
      </c>
      <c r="C28" s="380">
        <f>D28+E28</f>
        <v>6765596</v>
      </c>
      <c r="D28" s="380">
        <f>'Phụ lục số 1'!R55</f>
        <v>6765596</v>
      </c>
      <c r="E28" s="380">
        <f>'Phụ lục số 1'!S55</f>
        <v>0</v>
      </c>
    </row>
    <row r="29" spans="1:9" x14ac:dyDescent="0.25">
      <c r="A29" s="188">
        <v>3</v>
      </c>
      <c r="B29" s="153" t="s">
        <v>225</v>
      </c>
      <c r="C29" s="380">
        <f>D29+E29</f>
        <v>816873</v>
      </c>
      <c r="D29" s="382">
        <f>'Phụ lục số 1'!R62</f>
        <v>278759</v>
      </c>
      <c r="E29" s="382">
        <f>'Phụ lục số 1'!S62</f>
        <v>538114</v>
      </c>
    </row>
    <row r="30" spans="1:9" x14ac:dyDescent="0.25">
      <c r="A30" s="188">
        <v>4</v>
      </c>
      <c r="B30" s="153" t="s">
        <v>938</v>
      </c>
      <c r="C30" s="380">
        <f>D30+E30</f>
        <v>61200</v>
      </c>
      <c r="D30" s="382">
        <f>'Phụ lục số 1'!R63</f>
        <v>61200</v>
      </c>
      <c r="E30" s="382">
        <f>'Phụ lục số 1'!S63</f>
        <v>0</v>
      </c>
    </row>
    <row r="31" spans="1:9" x14ac:dyDescent="0.25">
      <c r="A31" s="186" t="s">
        <v>421</v>
      </c>
      <c r="B31" s="187" t="s">
        <v>1413</v>
      </c>
      <c r="C31" s="379">
        <f>SUM(C32,C37,C38,C42,C43,C44,C45,C46,C47)</f>
        <v>14124109</v>
      </c>
      <c r="D31" s="379">
        <f>SUM(D32,D37,D38,D42,D43,D44,D45,D46,D47)</f>
        <v>6671100</v>
      </c>
      <c r="E31" s="379">
        <f>SUM(E32,E37,E38,E42,E43,E44,E45,E46,E47)</f>
        <v>7453009</v>
      </c>
    </row>
    <row r="32" spans="1:9" x14ac:dyDescent="0.25">
      <c r="A32" s="188">
        <v>1</v>
      </c>
      <c r="B32" s="153" t="s">
        <v>227</v>
      </c>
      <c r="C32" s="380">
        <f>SUM(C33:C36)</f>
        <v>3381485</v>
      </c>
      <c r="D32" s="380">
        <f>SUM(D33:D36)</f>
        <v>2226239</v>
      </c>
      <c r="E32" s="380">
        <f>SUM(E33:E36)</f>
        <v>1155246</v>
      </c>
    </row>
    <row r="33" spans="1:5" x14ac:dyDescent="0.25">
      <c r="A33" s="268" t="s">
        <v>434</v>
      </c>
      <c r="B33" s="232" t="s">
        <v>432</v>
      </c>
      <c r="C33" s="383">
        <f>D33+E33</f>
        <v>1131485</v>
      </c>
      <c r="D33" s="383">
        <f>'Phụ lục số 2'!N14</f>
        <v>626239</v>
      </c>
      <c r="E33" s="383">
        <f>'Phụ lục số 2'!O14</f>
        <v>505246</v>
      </c>
    </row>
    <row r="34" spans="1:5" x14ac:dyDescent="0.25">
      <c r="A34" s="268" t="s">
        <v>435</v>
      </c>
      <c r="B34" s="232" t="s">
        <v>479</v>
      </c>
      <c r="C34" s="383">
        <f>D34+E34</f>
        <v>750000</v>
      </c>
      <c r="D34" s="383">
        <f>'Phụ lục số 2'!N15</f>
        <v>100000</v>
      </c>
      <c r="E34" s="383">
        <f>'Phụ lục số 2'!O15</f>
        <v>650000</v>
      </c>
    </row>
    <row r="35" spans="1:5" x14ac:dyDescent="0.25">
      <c r="A35" s="268" t="s">
        <v>436</v>
      </c>
      <c r="B35" s="232" t="s">
        <v>701</v>
      </c>
      <c r="C35" s="383">
        <f>D35+E35</f>
        <v>1500000</v>
      </c>
      <c r="D35" s="383">
        <f>'Phụ lục số 2'!N16</f>
        <v>1500000</v>
      </c>
      <c r="E35" s="383">
        <f>'Phụ lục số 2'!O16</f>
        <v>0</v>
      </c>
    </row>
    <row r="36" spans="1:5" x14ac:dyDescent="0.25">
      <c r="A36" s="268" t="s">
        <v>437</v>
      </c>
      <c r="B36" s="232" t="s">
        <v>581</v>
      </c>
      <c r="C36" s="383">
        <f>D36+E36</f>
        <v>0</v>
      </c>
      <c r="D36" s="383">
        <f>'Phụ lục số 2'!N17</f>
        <v>0</v>
      </c>
      <c r="E36" s="383">
        <f>'Phụ lục số 2'!O17</f>
        <v>0</v>
      </c>
    </row>
    <row r="37" spans="1:5" x14ac:dyDescent="0.25">
      <c r="A37" s="188">
        <v>2</v>
      </c>
      <c r="B37" s="153" t="s">
        <v>460</v>
      </c>
      <c r="C37" s="380">
        <f>D37+E37</f>
        <v>8465821</v>
      </c>
      <c r="D37" s="380">
        <f>'Phụ lục số 2'!N18</f>
        <v>2887729</v>
      </c>
      <c r="E37" s="380">
        <f>'Phụ lục số 2'!O18</f>
        <v>5578092</v>
      </c>
    </row>
    <row r="38" spans="1:5" x14ac:dyDescent="0.25">
      <c r="A38" s="188">
        <v>3</v>
      </c>
      <c r="B38" s="153" t="s">
        <v>461</v>
      </c>
      <c r="C38" s="380">
        <f>SUM(C39:C41)</f>
        <v>1370794</v>
      </c>
      <c r="D38" s="380">
        <f>SUM(D39:D41)</f>
        <v>1370794</v>
      </c>
      <c r="E38" s="380">
        <f>SUM(E39:E41)</f>
        <v>0</v>
      </c>
    </row>
    <row r="39" spans="1:5" x14ac:dyDescent="0.25">
      <c r="A39" s="190" t="s">
        <v>434</v>
      </c>
      <c r="B39" s="177" t="s">
        <v>576</v>
      </c>
      <c r="C39" s="381">
        <f t="shared" ref="C39:C47" si="1">D39+E39</f>
        <v>0</v>
      </c>
      <c r="D39" s="381">
        <f>'Phụ lục số 2'!N38</f>
        <v>0</v>
      </c>
      <c r="E39" s="381">
        <f>'Phụ lục số 2'!O38</f>
        <v>0</v>
      </c>
    </row>
    <row r="40" spans="1:5" ht="14.25" customHeight="1" x14ac:dyDescent="0.25">
      <c r="A40" s="190" t="s">
        <v>435</v>
      </c>
      <c r="B40" s="177" t="s">
        <v>577</v>
      </c>
      <c r="C40" s="381">
        <f t="shared" si="1"/>
        <v>1263824</v>
      </c>
      <c r="D40" s="381">
        <f>'Phụ lục số 2'!N39</f>
        <v>1263824</v>
      </c>
      <c r="E40" s="381">
        <f>'Phụ lục số 2'!O39</f>
        <v>0</v>
      </c>
    </row>
    <row r="41" spans="1:5" x14ac:dyDescent="0.25">
      <c r="A41" s="190" t="s">
        <v>436</v>
      </c>
      <c r="B41" s="177" t="s">
        <v>578</v>
      </c>
      <c r="C41" s="381">
        <f t="shared" si="1"/>
        <v>106970</v>
      </c>
      <c r="D41" s="381">
        <f>'Phụ lục số 2'!N40</f>
        <v>106970</v>
      </c>
      <c r="E41" s="381">
        <f>'Phụ lục số 2'!O40</f>
        <v>0</v>
      </c>
    </row>
    <row r="42" spans="1:5" x14ac:dyDescent="0.25">
      <c r="A42" s="188">
        <v>4</v>
      </c>
      <c r="B42" s="153" t="s">
        <v>462</v>
      </c>
      <c r="C42" s="380">
        <f t="shared" si="1"/>
        <v>2000</v>
      </c>
      <c r="D42" s="380">
        <f>'Phụ lục số 2'!N32</f>
        <v>2000</v>
      </c>
      <c r="E42" s="380">
        <f>'Phụ lục số 2'!O32</f>
        <v>0</v>
      </c>
    </row>
    <row r="43" spans="1:5" x14ac:dyDescent="0.25">
      <c r="A43" s="188">
        <v>5</v>
      </c>
      <c r="B43" s="153" t="s">
        <v>575</v>
      </c>
      <c r="C43" s="380">
        <f t="shared" si="1"/>
        <v>233960</v>
      </c>
      <c r="D43" s="380">
        <f>'Phụ lục số 2'!N33</f>
        <v>121038</v>
      </c>
      <c r="E43" s="380">
        <f>'Phụ lục số 2'!O33</f>
        <v>112922</v>
      </c>
    </row>
    <row r="44" spans="1:5" x14ac:dyDescent="0.25">
      <c r="A44" s="188">
        <v>6</v>
      </c>
      <c r="B44" s="153" t="s">
        <v>968</v>
      </c>
      <c r="C44" s="380">
        <f t="shared" si="1"/>
        <v>0</v>
      </c>
      <c r="D44" s="380">
        <f>'Phụ lục số 2'!N34</f>
        <v>0</v>
      </c>
      <c r="E44" s="380">
        <f>'Phụ lục số 2'!O34</f>
        <v>0</v>
      </c>
    </row>
    <row r="45" spans="1:5" x14ac:dyDescent="0.25">
      <c r="A45" s="188">
        <v>7</v>
      </c>
      <c r="B45" s="153" t="s">
        <v>579</v>
      </c>
      <c r="C45" s="380">
        <f t="shared" si="1"/>
        <v>606749</v>
      </c>
      <c r="D45" s="380">
        <f>'Phụ lục số 2'!N35</f>
        <v>0</v>
      </c>
      <c r="E45" s="380">
        <f>'Phụ lục số 2'!O35</f>
        <v>606749</v>
      </c>
    </row>
    <row r="46" spans="1:5" x14ac:dyDescent="0.25">
      <c r="A46" s="188">
        <v>8</v>
      </c>
      <c r="B46" s="153" t="s">
        <v>734</v>
      </c>
      <c r="C46" s="380">
        <f t="shared" si="1"/>
        <v>2100</v>
      </c>
      <c r="D46" s="380">
        <f>'Phụ lục số 2'!N36</f>
        <v>2100</v>
      </c>
      <c r="E46" s="380">
        <f>'Phụ lục số 2'!O36</f>
        <v>0</v>
      </c>
    </row>
    <row r="47" spans="1:5" x14ac:dyDescent="0.25">
      <c r="A47" s="188">
        <v>9</v>
      </c>
      <c r="B47" s="153" t="s">
        <v>939</v>
      </c>
      <c r="C47" s="380">
        <f t="shared" si="1"/>
        <v>61200</v>
      </c>
      <c r="D47" s="380">
        <f>'Phụ lục số 2'!N41</f>
        <v>61200</v>
      </c>
      <c r="E47" s="380">
        <f>'Phụ lục số 2'!O41</f>
        <v>0</v>
      </c>
    </row>
    <row r="48" spans="1:5" s="86" customFormat="1" x14ac:dyDescent="0.25">
      <c r="A48" s="186"/>
      <c r="B48" s="186" t="s">
        <v>1414</v>
      </c>
      <c r="C48" s="379">
        <f>D48+E48</f>
        <v>0</v>
      </c>
      <c r="D48" s="379">
        <f>D26-D31</f>
        <v>4537585</v>
      </c>
      <c r="E48" s="379">
        <f>E26-E31</f>
        <v>-4537585</v>
      </c>
    </row>
  </sheetData>
  <customSheetViews>
    <customSheetView guid="{88621519-296E-4458-B04E-813E881018FE}" hiddenRows="1" hiddenColumns="1" state="hidden">
      <selection sqref="A1:E1"/>
      <pageMargins left="0.7" right="0.7" top="0.75" bottom="0.75" header="0.3" footer="0.3"/>
      <pageSetup orientation="portrait" r:id="rId1"/>
    </customSheetView>
  </customSheetViews>
  <mergeCells count="1">
    <mergeCell ref="A1:E1"/>
  </mergeCells>
  <printOptions horizontalCentered="1"/>
  <pageMargins left="0" right="0" top="0.19685039370078741" bottom="0.19685039370078741" header="0" footer="0"/>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G45"/>
  <sheetViews>
    <sheetView topLeftCell="A5" zoomScale="75" zoomScaleNormal="75" workbookViewId="0">
      <pane xSplit="2" ySplit="12" topLeftCell="C35" activePane="bottomRight" state="frozen"/>
      <selection activeCell="D13" sqref="D13"/>
      <selection pane="topRight" activeCell="D13" sqref="D13"/>
      <selection pane="bottomLeft" activeCell="D13" sqref="D13"/>
      <selection pane="bottomRight" activeCell="D13" sqref="D13"/>
    </sheetView>
  </sheetViews>
  <sheetFormatPr defaultColWidth="7.75" defaultRowHeight="15.75" x14ac:dyDescent="0.25"/>
  <cols>
    <col min="1" max="1" width="30.625" style="209" customWidth="1"/>
    <col min="2" max="6" width="10.625" style="209" customWidth="1"/>
    <col min="7" max="7" width="7.25" style="209" customWidth="1"/>
    <col min="8" max="16384" width="7.75" style="209"/>
  </cols>
  <sheetData>
    <row r="6" spans="1:7" x14ac:dyDescent="0.25">
      <c r="A6" s="1428" t="s">
        <v>1652</v>
      </c>
      <c r="B6" s="1428"/>
      <c r="C6" s="1428"/>
      <c r="D6" s="1428"/>
      <c r="E6" s="1428"/>
      <c r="F6" s="1428"/>
      <c r="G6" s="1428"/>
    </row>
    <row r="7" spans="1:7" x14ac:dyDescent="0.25">
      <c r="A7" s="1291"/>
      <c r="B7" s="1292"/>
      <c r="C7" s="1293"/>
      <c r="D7" s="1291"/>
      <c r="E7" s="1291"/>
      <c r="F7" s="1291"/>
    </row>
    <row r="8" spans="1:7" x14ac:dyDescent="0.25">
      <c r="A8" s="1429"/>
      <c r="B8" s="1426" t="s">
        <v>1658</v>
      </c>
      <c r="C8" s="1430" t="s">
        <v>1023</v>
      </c>
      <c r="D8" s="1430"/>
      <c r="E8" s="1431" t="s">
        <v>1462</v>
      </c>
      <c r="F8" s="1431"/>
      <c r="G8" s="1431"/>
    </row>
    <row r="9" spans="1:7" ht="148.5" customHeight="1" x14ac:dyDescent="0.25">
      <c r="A9" s="1429"/>
      <c r="B9" s="1427"/>
      <c r="C9" s="1294" t="s">
        <v>1653</v>
      </c>
      <c r="D9" s="1294" t="s">
        <v>1654</v>
      </c>
      <c r="E9" s="1295" t="s">
        <v>1656</v>
      </c>
      <c r="F9" s="1295" t="s">
        <v>1655</v>
      </c>
      <c r="G9" s="1295" t="s">
        <v>1000</v>
      </c>
    </row>
    <row r="10" spans="1:7" x14ac:dyDescent="0.25">
      <c r="A10" s="1296">
        <v>1</v>
      </c>
      <c r="B10" s="1297">
        <f>A10+1</f>
        <v>2</v>
      </c>
      <c r="C10" s="1297">
        <v>3</v>
      </c>
      <c r="D10" s="1297">
        <f>C10+1</f>
        <v>4</v>
      </c>
      <c r="E10" s="1297" t="s">
        <v>1466</v>
      </c>
      <c r="F10" s="1297" t="s">
        <v>1659</v>
      </c>
      <c r="G10" s="1297" t="s">
        <v>1657</v>
      </c>
    </row>
    <row r="11" spans="1:7" ht="31.5" x14ac:dyDescent="0.25">
      <c r="A11" s="1298" t="s">
        <v>1021</v>
      </c>
      <c r="B11" s="1299">
        <f>SUM(B12,B16,B17,B18)</f>
        <v>12181277</v>
      </c>
      <c r="C11" s="1299">
        <f>SUM(C12,C16,C17,C18)</f>
        <v>11565820</v>
      </c>
      <c r="D11" s="1299">
        <f>SUM(D12,D16,D17,D18)</f>
        <v>12692115</v>
      </c>
      <c r="E11" s="1299">
        <f>SUM(E12,E16,E17,E18)</f>
        <v>-615457</v>
      </c>
      <c r="F11" s="1299">
        <f>SUM(F12,F16,F17,F18)</f>
        <v>510838</v>
      </c>
      <c r="G11" s="1299">
        <f t="shared" ref="G11:G16" si="0">C11/B11%</f>
        <v>94.947516586315203</v>
      </c>
    </row>
    <row r="12" spans="1:7" ht="37.5" customHeight="1" x14ac:dyDescent="0.25">
      <c r="A12" s="1300" t="s">
        <v>1001</v>
      </c>
      <c r="B12" s="1301">
        <f>'Phụ lục số 3-thu bs'!C8</f>
        <v>6718700</v>
      </c>
      <c r="C12" s="1301">
        <f>'Phụ lục số 3-thu bs'!I8+60</f>
        <v>6480500</v>
      </c>
      <c r="D12" s="1301">
        <f>'Phụ lục số 3-thu bs'!I8</f>
        <v>6480440</v>
      </c>
      <c r="E12" s="1302">
        <f t="shared" ref="E12:E18" si="1">C12-B12</f>
        <v>-238200</v>
      </c>
      <c r="F12" s="1302">
        <f>D12-B12</f>
        <v>-238260</v>
      </c>
      <c r="G12" s="1302">
        <f t="shared" si="0"/>
        <v>96.454671290577039</v>
      </c>
    </row>
    <row r="13" spans="1:7" x14ac:dyDescent="0.25">
      <c r="A13" s="218" t="s">
        <v>1465</v>
      </c>
      <c r="B13" s="1301">
        <f>'Phụ lục số 3-thu bs'!C9</f>
        <v>600000</v>
      </c>
      <c r="C13" s="1301">
        <f>'Phụ lục số 3-thu bs'!I9</f>
        <v>750000</v>
      </c>
      <c r="D13" s="1301">
        <f>'Phụ lục số 3-thu bs'!I9</f>
        <v>750000</v>
      </c>
      <c r="E13" s="1302">
        <f t="shared" si="1"/>
        <v>150000</v>
      </c>
      <c r="F13" s="1302">
        <f t="shared" ref="F13:F38" si="2">D13-B13</f>
        <v>150000</v>
      </c>
      <c r="G13" s="1302">
        <f t="shared" si="0"/>
        <v>125</v>
      </c>
    </row>
    <row r="14" spans="1:7" x14ac:dyDescent="0.25">
      <c r="A14" s="218" t="s">
        <v>644</v>
      </c>
      <c r="B14" s="1301">
        <f>'Phụ lục số 3-thu bs'!C10</f>
        <v>1460000</v>
      </c>
      <c r="C14" s="1301">
        <f>'Phụ lục số 3-thu bs'!I10</f>
        <v>1500000</v>
      </c>
      <c r="D14" s="1301">
        <f>'Phụ lục số 3-thu bs'!I10</f>
        <v>1500000</v>
      </c>
      <c r="E14" s="1302">
        <f t="shared" si="1"/>
        <v>40000</v>
      </c>
      <c r="F14" s="1302">
        <f t="shared" si="2"/>
        <v>40000</v>
      </c>
      <c r="G14" s="1302">
        <f t="shared" si="0"/>
        <v>102.73972602739725</v>
      </c>
    </row>
    <row r="15" spans="1:7" x14ac:dyDescent="0.25">
      <c r="A15" s="218" t="s">
        <v>643</v>
      </c>
      <c r="B15" s="1301">
        <f>B12-B13-B14</f>
        <v>4658700</v>
      </c>
      <c r="C15" s="1301">
        <f>C12-C13-C14</f>
        <v>4230500</v>
      </c>
      <c r="D15" s="1301">
        <f>'Phụ lục số 3-thu bs'!I11</f>
        <v>4230440</v>
      </c>
      <c r="E15" s="1302">
        <f t="shared" si="1"/>
        <v>-428200</v>
      </c>
      <c r="F15" s="1302">
        <f t="shared" si="2"/>
        <v>-428260</v>
      </c>
      <c r="G15" s="1302">
        <f t="shared" si="0"/>
        <v>90.808594672333484</v>
      </c>
    </row>
    <row r="16" spans="1:7" x14ac:dyDescent="0.25">
      <c r="A16" s="1303" t="s">
        <v>1002</v>
      </c>
      <c r="B16" s="1301">
        <f>'Phụ lục số 3'!C13</f>
        <v>4883126</v>
      </c>
      <c r="C16" s="1301">
        <f>B16</f>
        <v>4883126</v>
      </c>
      <c r="D16" s="1301">
        <f>C16</f>
        <v>4883126</v>
      </c>
      <c r="E16" s="1302">
        <f t="shared" si="1"/>
        <v>0</v>
      </c>
      <c r="F16" s="1302">
        <f t="shared" si="2"/>
        <v>0</v>
      </c>
      <c r="G16" s="1302">
        <f t="shared" si="0"/>
        <v>100</v>
      </c>
    </row>
    <row r="17" spans="1:7" ht="63" x14ac:dyDescent="0.25">
      <c r="A17" s="1300" t="s">
        <v>1459</v>
      </c>
      <c r="B17" s="1301">
        <f>'Phụ lục số 3-thu bs'!D15</f>
        <v>161157</v>
      </c>
      <c r="C17" s="1301">
        <f>'Phụ lục số 1'!N61</f>
        <v>202194</v>
      </c>
      <c r="D17" s="1301">
        <f>'Phụ lục số 3-thu bs'!J15</f>
        <v>511676</v>
      </c>
      <c r="E17" s="1301">
        <f t="shared" si="1"/>
        <v>41037</v>
      </c>
      <c r="F17" s="1301">
        <f t="shared" si="2"/>
        <v>350519</v>
      </c>
      <c r="G17" s="1301">
        <f t="shared" ref="G17:G37" si="3">C17/B17%</f>
        <v>125.46398853292132</v>
      </c>
    </row>
    <row r="18" spans="1:7" x14ac:dyDescent="0.25">
      <c r="A18" s="1300" t="s">
        <v>1660</v>
      </c>
      <c r="B18" s="1301">
        <f>'Phụ lục số 3-thu bs'!C16</f>
        <v>418294</v>
      </c>
      <c r="C18" s="1301"/>
      <c r="D18" s="1301">
        <f>'Phụ lục số 1'!N62</f>
        <v>816873</v>
      </c>
      <c r="E18" s="1304">
        <f t="shared" si="1"/>
        <v>-418294</v>
      </c>
      <c r="F18" s="1304">
        <f t="shared" si="2"/>
        <v>398579</v>
      </c>
      <c r="G18" s="1301">
        <f t="shared" si="3"/>
        <v>0</v>
      </c>
    </row>
    <row r="19" spans="1:7" x14ac:dyDescent="0.25">
      <c r="A19" s="1305" t="s">
        <v>1003</v>
      </c>
      <c r="B19" s="1306">
        <f>SUM(B20,B21,B22,B26,B31,B32)</f>
        <v>12181277</v>
      </c>
      <c r="C19" s="1306">
        <f>SUM(C20,C21,C22,C26,C31,C32)</f>
        <v>11565820</v>
      </c>
      <c r="D19" s="1306">
        <f>SUM(D20,D21,D22,D26,D31,D32)</f>
        <v>12692115</v>
      </c>
      <c r="E19" s="1306">
        <f>SUM(E20,E21,E22,E26,E31,E32)</f>
        <v>-615457</v>
      </c>
      <c r="F19" s="1306">
        <f>SUM(F20,F21,F22,F26,F31,F32)</f>
        <v>510838</v>
      </c>
      <c r="G19" s="1306">
        <f t="shared" si="3"/>
        <v>94.947516586315203</v>
      </c>
    </row>
    <row r="20" spans="1:7" s="14" customFormat="1" ht="31.5" x14ac:dyDescent="0.25">
      <c r="A20" s="1307" t="s">
        <v>1004</v>
      </c>
      <c r="B20" s="1308">
        <f>'Phụ lục số 3-thu bs'!C31</f>
        <v>378989</v>
      </c>
      <c r="C20" s="1308"/>
      <c r="D20" s="1308">
        <f>'Phụ lục số 2'!K35</f>
        <v>606749</v>
      </c>
      <c r="E20" s="1309">
        <f>C20-B20</f>
        <v>-378989</v>
      </c>
      <c r="F20" s="1309">
        <f t="shared" si="2"/>
        <v>227760</v>
      </c>
      <c r="G20" s="1309">
        <f t="shared" si="3"/>
        <v>0</v>
      </c>
    </row>
    <row r="21" spans="1:7" x14ac:dyDescent="0.25">
      <c r="A21" s="1310" t="s">
        <v>1005</v>
      </c>
      <c r="B21" s="1308">
        <f>'Phụ lục số 3-thu bs'!C34</f>
        <v>1000</v>
      </c>
      <c r="C21" s="1308">
        <f>'Phụ lục số 3'!I34</f>
        <v>2100</v>
      </c>
      <c r="D21" s="1308">
        <f>'Phụ lục số 2'!K36</f>
        <v>2100</v>
      </c>
      <c r="E21" s="1309">
        <f>C21-B21</f>
        <v>1100</v>
      </c>
      <c r="F21" s="1309">
        <f t="shared" si="2"/>
        <v>1100</v>
      </c>
      <c r="G21" s="1309">
        <f t="shared" si="3"/>
        <v>210</v>
      </c>
    </row>
    <row r="22" spans="1:7" x14ac:dyDescent="0.25">
      <c r="A22" s="1307" t="s">
        <v>1006</v>
      </c>
      <c r="B22" s="1308">
        <f>SUM(B23,B24,B25)</f>
        <v>3191485</v>
      </c>
      <c r="C22" s="1308">
        <f>SUM(C23,C24,C25)</f>
        <v>3236480</v>
      </c>
      <c r="D22" s="1308">
        <f>SUM(D23,D24,D25)</f>
        <v>3381485</v>
      </c>
      <c r="E22" s="1308">
        <f>SUM(E23,E24,E25)</f>
        <v>44995</v>
      </c>
      <c r="F22" s="1308">
        <f t="shared" si="2"/>
        <v>190000</v>
      </c>
      <c r="G22" s="1308">
        <f t="shared" si="3"/>
        <v>101.40984526012186</v>
      </c>
    </row>
    <row r="23" spans="1:7" ht="31.5" x14ac:dyDescent="0.25">
      <c r="A23" s="1311" t="s">
        <v>1007</v>
      </c>
      <c r="B23" s="1301">
        <f>'Phụ lục số 3-thu bs'!C21</f>
        <v>1131485</v>
      </c>
      <c r="C23" s="1301">
        <f>974980+11500</f>
        <v>986480</v>
      </c>
      <c r="D23" s="1301">
        <f>'Phụ lục số 3-thu bs'!I21</f>
        <v>1131485</v>
      </c>
      <c r="E23" s="1302">
        <f t="shared" ref="E23:E32" si="4">C23-B23</f>
        <v>-145005</v>
      </c>
      <c r="F23" s="1302">
        <f t="shared" si="2"/>
        <v>0</v>
      </c>
      <c r="G23" s="1302">
        <f t="shared" si="3"/>
        <v>87.184540670004466</v>
      </c>
    </row>
    <row r="24" spans="1:7" ht="31.5" x14ac:dyDescent="0.25">
      <c r="A24" s="1311" t="s">
        <v>361</v>
      </c>
      <c r="B24" s="1301">
        <f>'Phụ lục số 3-thu bs'!C22</f>
        <v>600000</v>
      </c>
      <c r="C24" s="1301">
        <f>'Phụ lục số 3-thu bs'!I22</f>
        <v>750000</v>
      </c>
      <c r="D24" s="1301">
        <f>'Phụ lục số 3-thu bs'!I22</f>
        <v>750000</v>
      </c>
      <c r="E24" s="1302">
        <f t="shared" si="4"/>
        <v>150000</v>
      </c>
      <c r="F24" s="1302">
        <f t="shared" si="2"/>
        <v>150000</v>
      </c>
      <c r="G24" s="1302">
        <f t="shared" si="3"/>
        <v>125</v>
      </c>
    </row>
    <row r="25" spans="1:7" x14ac:dyDescent="0.25">
      <c r="A25" s="1311" t="s">
        <v>1009</v>
      </c>
      <c r="B25" s="1301">
        <f>'Phụ lục số 3-thu bs'!C23</f>
        <v>1460000</v>
      </c>
      <c r="C25" s="1301">
        <f>'Phụ lục số 3-thu bs'!I23</f>
        <v>1500000</v>
      </c>
      <c r="D25" s="1301">
        <f>'Phụ lục số 3-thu bs'!I23</f>
        <v>1500000</v>
      </c>
      <c r="E25" s="1302">
        <f t="shared" si="4"/>
        <v>40000</v>
      </c>
      <c r="F25" s="1302">
        <f t="shared" si="2"/>
        <v>40000</v>
      </c>
      <c r="G25" s="1302">
        <f t="shared" si="3"/>
        <v>102.73972602739725</v>
      </c>
    </row>
    <row r="26" spans="1:7" x14ac:dyDescent="0.25">
      <c r="A26" s="1307" t="s">
        <v>1010</v>
      </c>
      <c r="B26" s="1308">
        <f>'Phụ lục số 3-thu bs'!C25</f>
        <v>8373843</v>
      </c>
      <c r="C26" s="1308">
        <v>8094524</v>
      </c>
      <c r="D26" s="1308">
        <f>'Phụ lục số 3-thu bs'!I25</f>
        <v>8465821</v>
      </c>
      <c r="E26" s="1309">
        <f t="shared" si="4"/>
        <v>-279319</v>
      </c>
      <c r="F26" s="1309">
        <f t="shared" si="2"/>
        <v>91978</v>
      </c>
      <c r="G26" s="1309">
        <f t="shared" si="3"/>
        <v>96.664386948740272</v>
      </c>
    </row>
    <row r="27" spans="1:7" x14ac:dyDescent="0.25">
      <c r="A27" s="1311" t="s">
        <v>1011</v>
      </c>
      <c r="B27" s="1301">
        <f>'Phụ lục số 3-thu bs'!C26</f>
        <v>3653123</v>
      </c>
      <c r="C27" s="1301">
        <f>3605724</f>
        <v>3605724</v>
      </c>
      <c r="D27" s="1301">
        <f>'Phụ lục số 3-thu bs'!I26</f>
        <v>3653191</v>
      </c>
      <c r="E27" s="1302">
        <f t="shared" si="4"/>
        <v>-47399</v>
      </c>
      <c r="F27" s="1302">
        <f t="shared" si="2"/>
        <v>68</v>
      </c>
      <c r="G27" s="1302">
        <f t="shared" si="3"/>
        <v>98.702507416257262</v>
      </c>
    </row>
    <row r="28" spans="1:7" x14ac:dyDescent="0.25">
      <c r="A28" s="1311" t="s">
        <v>1012</v>
      </c>
      <c r="B28" s="1301">
        <f>'Phụ lục số 3-thu bs'!C27</f>
        <v>31000</v>
      </c>
      <c r="C28" s="1301">
        <f>27026</f>
        <v>27026</v>
      </c>
      <c r="D28" s="1301">
        <f>'Phụ lục số 3-thu bs'!I27</f>
        <v>31000</v>
      </c>
      <c r="E28" s="1302">
        <f t="shared" si="4"/>
        <v>-3974</v>
      </c>
      <c r="F28" s="1302">
        <f t="shared" si="2"/>
        <v>0</v>
      </c>
      <c r="G28" s="1302">
        <f t="shared" si="3"/>
        <v>87.180645161290329</v>
      </c>
    </row>
    <row r="29" spans="1:7" x14ac:dyDescent="0.25">
      <c r="A29" s="1303" t="s">
        <v>1013</v>
      </c>
      <c r="B29" s="1301">
        <f>'Phụ lục số 3-thu bs'!C28</f>
        <v>143469</v>
      </c>
      <c r="C29" s="1301">
        <f>98085</f>
        <v>98085</v>
      </c>
      <c r="D29" s="1301">
        <f>'Phụ lục số 3-thu bs'!I28</f>
        <v>143470</v>
      </c>
      <c r="E29" s="1302">
        <f t="shared" si="4"/>
        <v>-45384</v>
      </c>
      <c r="F29" s="1302">
        <f t="shared" si="2"/>
        <v>1</v>
      </c>
      <c r="G29" s="1302">
        <f t="shared" si="3"/>
        <v>68.36668548606319</v>
      </c>
    </row>
    <row r="30" spans="1:7" x14ac:dyDescent="0.25">
      <c r="A30" s="1311" t="s">
        <v>1014</v>
      </c>
      <c r="B30" s="1301">
        <f>'Phụ lục số 3-thu bs'!C29</f>
        <v>4546251</v>
      </c>
      <c r="C30" s="1301">
        <f>C26-C27-C28-C29</f>
        <v>4363689</v>
      </c>
      <c r="D30" s="1301">
        <f>'Phụ lục số 3-thu bs'!I29</f>
        <v>4638160</v>
      </c>
      <c r="E30" s="1302">
        <f t="shared" si="4"/>
        <v>-182562</v>
      </c>
      <c r="F30" s="1302">
        <f t="shared" si="2"/>
        <v>91909</v>
      </c>
      <c r="G30" s="1302">
        <f t="shared" si="3"/>
        <v>95.984339624011071</v>
      </c>
    </row>
    <row r="31" spans="1:7" x14ac:dyDescent="0.25">
      <c r="A31" s="1307" t="s">
        <v>1015</v>
      </c>
      <c r="B31" s="1308">
        <f>'Phụ lục số 3-thu bs'!C33</f>
        <v>233960</v>
      </c>
      <c r="C31" s="1308">
        <f>231316</f>
        <v>231316</v>
      </c>
      <c r="D31" s="1308">
        <f>'Phụ lục số 3-thu bs'!I33</f>
        <v>233960</v>
      </c>
      <c r="E31" s="1309">
        <f t="shared" si="4"/>
        <v>-2644</v>
      </c>
      <c r="F31" s="1309">
        <f t="shared" si="2"/>
        <v>0</v>
      </c>
      <c r="G31" s="1309">
        <f t="shared" si="3"/>
        <v>98.869892289280216</v>
      </c>
    </row>
    <row r="32" spans="1:7" x14ac:dyDescent="0.25">
      <c r="A32" s="1307" t="s">
        <v>1016</v>
      </c>
      <c r="B32" s="1308">
        <f>'Phụ lục số 3-thu bs'!C32</f>
        <v>2000</v>
      </c>
      <c r="C32" s="1308">
        <v>1400</v>
      </c>
      <c r="D32" s="1308">
        <f>'Phụ lục số 3-thu bs'!I32</f>
        <v>2000</v>
      </c>
      <c r="E32" s="1309">
        <f t="shared" si="4"/>
        <v>-600</v>
      </c>
      <c r="F32" s="1309">
        <f t="shared" si="2"/>
        <v>0</v>
      </c>
      <c r="G32" s="1309">
        <f t="shared" si="3"/>
        <v>70</v>
      </c>
    </row>
    <row r="33" spans="1:7" x14ac:dyDescent="0.25">
      <c r="A33" s="49" t="s">
        <v>1664</v>
      </c>
      <c r="B33" s="1308">
        <f>SUM(B34:B36)</f>
        <v>1474513</v>
      </c>
      <c r="C33" s="1308">
        <f>SUM(C34:C36)</f>
        <v>1680276</v>
      </c>
      <c r="D33" s="1308">
        <f>SUM(D34:D36)</f>
        <v>1370794</v>
      </c>
      <c r="E33" s="1308">
        <f>SUM(E34:E36)</f>
        <v>0</v>
      </c>
      <c r="F33" s="1308">
        <f>SUM(F34:F36)</f>
        <v>-103719</v>
      </c>
      <c r="G33" s="1309">
        <f t="shared" si="3"/>
        <v>113.95464129512592</v>
      </c>
    </row>
    <row r="34" spans="1:7" x14ac:dyDescent="0.25">
      <c r="A34" s="1303" t="s">
        <v>1661</v>
      </c>
      <c r="B34" s="1301">
        <f>'Phụ lục số 2'!C38</f>
        <v>426575</v>
      </c>
      <c r="C34" s="1301">
        <f>'Phụ lục số 1'!N58</f>
        <v>0</v>
      </c>
      <c r="D34" s="1301">
        <f>'Phụ lục số 2'!K38</f>
        <v>0</v>
      </c>
      <c r="E34" s="1302"/>
      <c r="F34" s="1302">
        <f t="shared" si="2"/>
        <v>-426575</v>
      </c>
      <c r="G34" s="1302"/>
    </row>
    <row r="35" spans="1:7" ht="31.5" x14ac:dyDescent="0.25">
      <c r="A35" s="1303" t="s">
        <v>1662</v>
      </c>
      <c r="B35" s="1301">
        <f>'Phụ lục số 2'!C39</f>
        <v>906600</v>
      </c>
      <c r="C35" s="1301">
        <f>'Phụ lục số 1'!N59</f>
        <v>1263824</v>
      </c>
      <c r="D35" s="1301">
        <f>'Phụ lục số 2'!K39</f>
        <v>1263824</v>
      </c>
      <c r="E35" s="1302"/>
      <c r="F35" s="1302">
        <f t="shared" si="2"/>
        <v>357224</v>
      </c>
      <c r="G35" s="1302"/>
    </row>
    <row r="36" spans="1:7" ht="75" customHeight="1" x14ac:dyDescent="0.25">
      <c r="A36" s="1303" t="s">
        <v>1663</v>
      </c>
      <c r="B36" s="1301">
        <f>'Phụ lục số 2'!C40</f>
        <v>141338</v>
      </c>
      <c r="C36" s="1301">
        <f>'Phụ lục số 1'!N60</f>
        <v>416452</v>
      </c>
      <c r="D36" s="1301">
        <f>'Phụ lục số 2'!K40</f>
        <v>106970</v>
      </c>
      <c r="E36" s="1302">
        <v>0</v>
      </c>
      <c r="F36" s="1302">
        <f t="shared" si="2"/>
        <v>-34368</v>
      </c>
      <c r="G36" s="1302">
        <f t="shared" si="3"/>
        <v>294.64970496257195</v>
      </c>
    </row>
    <row r="37" spans="1:7" ht="31.5" x14ac:dyDescent="0.25">
      <c r="A37" s="1307" t="s">
        <v>1018</v>
      </c>
      <c r="B37" s="1306">
        <f>'Phụ lục số 1'!C63</f>
        <v>30900</v>
      </c>
      <c r="C37" s="1306">
        <f>'Phụ lục số 1'!N63</f>
        <v>61200</v>
      </c>
      <c r="D37" s="1306">
        <f>'Phụ lục số 1'!N63</f>
        <v>61200</v>
      </c>
      <c r="E37" s="1309"/>
      <c r="F37" s="1309">
        <f t="shared" si="2"/>
        <v>30300</v>
      </c>
      <c r="G37" s="1309">
        <f t="shared" si="3"/>
        <v>198.05825242718447</v>
      </c>
    </row>
    <row r="38" spans="1:7" x14ac:dyDescent="0.25">
      <c r="A38" s="1312"/>
      <c r="B38" s="1313"/>
      <c r="C38" s="1313"/>
      <c r="D38" s="1314"/>
      <c r="E38" s="1315"/>
      <c r="F38" s="1315">
        <f t="shared" si="2"/>
        <v>0</v>
      </c>
      <c r="G38" s="1315"/>
    </row>
    <row r="40" spans="1:7" x14ac:dyDescent="0.25">
      <c r="C40" s="1203">
        <f>C19-C11</f>
        <v>0</v>
      </c>
    </row>
    <row r="45" spans="1:7" x14ac:dyDescent="0.25">
      <c r="C45" s="1203">
        <f>C19-C11</f>
        <v>0</v>
      </c>
    </row>
  </sheetData>
  <mergeCells count="5">
    <mergeCell ref="B8:B9"/>
    <mergeCell ref="A6:G6"/>
    <mergeCell ref="A8:A9"/>
    <mergeCell ref="C8:D8"/>
    <mergeCell ref="E8:G8"/>
  </mergeCells>
  <printOptions horizontalCentered="1"/>
  <pageMargins left="0" right="0" top="0.19685039370078741" bottom="0.19685039370078741" header="0" footer="0"/>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27"/>
  <sheetViews>
    <sheetView zoomScale="118" zoomScaleNormal="118" workbookViewId="0">
      <pane xSplit="5" ySplit="9" topLeftCell="F31"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10" customWidth="1"/>
    <col min="2" max="2" width="32.125" style="210" customWidth="1"/>
    <col min="3" max="3" width="9.125" style="210" customWidth="1"/>
    <col min="4" max="4" width="8.75" style="210" customWidth="1"/>
    <col min="5" max="5" width="9.125" style="210" customWidth="1"/>
    <col min="6" max="6" width="9" style="210" customWidth="1"/>
    <col min="7" max="7" width="8.625" style="210" customWidth="1"/>
    <col min="8" max="8" width="7.625" style="210" customWidth="1"/>
    <col min="9" max="9" width="8.25" style="210" customWidth="1"/>
    <col min="10" max="10" width="8.75" style="210" customWidth="1"/>
    <col min="11" max="11" width="7.5" style="210" customWidth="1"/>
    <col min="12" max="12" width="7" style="210" customWidth="1"/>
    <col min="13" max="13" width="6.875" style="210" customWidth="1"/>
    <col min="14" max="14" width="7" style="210" customWidth="1"/>
    <col min="15" max="16" width="9" style="210"/>
    <col min="17" max="17" width="10" style="210" customWidth="1"/>
    <col min="18" max="18" width="11.25" style="210" customWidth="1"/>
    <col min="19" max="16384" width="9" style="210"/>
  </cols>
  <sheetData>
    <row r="1" spans="1:99" s="1" customFormat="1" ht="37.5" customHeight="1" x14ac:dyDescent="0.25">
      <c r="A1" s="1362" t="s">
        <v>1383</v>
      </c>
      <c r="B1" s="1362"/>
      <c r="C1" s="1362"/>
      <c r="D1" s="1362"/>
      <c r="E1" s="1362"/>
      <c r="F1" s="1362"/>
      <c r="G1" s="1362"/>
      <c r="H1" s="1362"/>
      <c r="I1" s="1362"/>
      <c r="J1" s="1362"/>
      <c r="K1" s="1362"/>
      <c r="L1" s="1362"/>
      <c r="M1" s="1362"/>
      <c r="N1" s="1362"/>
      <c r="AD1" s="1" t="s">
        <v>1537</v>
      </c>
      <c r="AI1" s="1263"/>
      <c r="AQ1" s="1263"/>
      <c r="AY1" s="1263"/>
      <c r="BG1" s="1263"/>
      <c r="BO1" s="1263"/>
      <c r="BW1" s="1263"/>
      <c r="CE1" s="1263"/>
      <c r="CM1" s="1263"/>
      <c r="CU1" s="1263"/>
    </row>
    <row r="2" spans="1:99" x14ac:dyDescent="0.25">
      <c r="B2" s="243"/>
      <c r="C2" s="463"/>
      <c r="D2" s="463"/>
      <c r="M2" s="31" t="s">
        <v>474</v>
      </c>
    </row>
    <row r="3" spans="1:99" s="7" customFormat="1" ht="24.75" customHeight="1" x14ac:dyDescent="0.25">
      <c r="A3" s="1432" t="s">
        <v>400</v>
      </c>
      <c r="B3" s="1432" t="s">
        <v>401</v>
      </c>
      <c r="C3" s="1434" t="s">
        <v>1619</v>
      </c>
      <c r="D3" s="1434" t="s">
        <v>1424</v>
      </c>
      <c r="E3" s="1432" t="s">
        <v>949</v>
      </c>
      <c r="F3" s="1434" t="s">
        <v>1620</v>
      </c>
      <c r="G3" s="1434" t="s">
        <v>1621</v>
      </c>
      <c r="H3" s="1432" t="s">
        <v>1425</v>
      </c>
      <c r="I3" s="1434" t="s">
        <v>1426</v>
      </c>
      <c r="J3" s="1432" t="s">
        <v>1427</v>
      </c>
      <c r="K3" s="1432" t="s">
        <v>1428</v>
      </c>
      <c r="L3" s="1432" t="s">
        <v>1429</v>
      </c>
      <c r="M3" s="1432" t="s">
        <v>1430</v>
      </c>
      <c r="N3" s="1432"/>
    </row>
    <row r="4" spans="1:99" s="7" customFormat="1" ht="27.75" customHeight="1" x14ac:dyDescent="0.25">
      <c r="A4" s="1433"/>
      <c r="B4" s="1433"/>
      <c r="C4" s="1435"/>
      <c r="D4" s="1435"/>
      <c r="E4" s="1432"/>
      <c r="F4" s="1435"/>
      <c r="G4" s="1435"/>
      <c r="H4" s="1432"/>
      <c r="I4" s="1435"/>
      <c r="J4" s="1432"/>
      <c r="K4" s="1432"/>
      <c r="L4" s="1432"/>
      <c r="M4" s="1432"/>
      <c r="N4" s="1432"/>
      <c r="P4" s="465">
        <f>+$H$9*5%</f>
        <v>270700</v>
      </c>
      <c r="Q4" s="465">
        <f>+P4+$K$9</f>
        <v>6056600</v>
      </c>
      <c r="R4" s="465">
        <f>Q4+$K$19+$K$26</f>
        <v>8306600</v>
      </c>
    </row>
    <row r="5" spans="1:99" s="7" customFormat="1" ht="49.5" customHeight="1" x14ac:dyDescent="0.25">
      <c r="A5" s="1433"/>
      <c r="B5" s="1433"/>
      <c r="C5" s="1436"/>
      <c r="D5" s="1436"/>
      <c r="E5" s="1432"/>
      <c r="F5" s="1436"/>
      <c r="G5" s="1436"/>
      <c r="H5" s="1432"/>
      <c r="I5" s="1436"/>
      <c r="J5" s="1432"/>
      <c r="K5" s="1432"/>
      <c r="L5" s="1432"/>
      <c r="M5" s="468" t="s">
        <v>779</v>
      </c>
      <c r="N5" s="468" t="s">
        <v>780</v>
      </c>
      <c r="P5" s="465">
        <f>+$H$9*12%</f>
        <v>649680</v>
      </c>
      <c r="Q5" s="465">
        <f>+P5+$K$9</f>
        <v>6435580</v>
      </c>
      <c r="R5" s="465">
        <f>Q5+$K$19+$K$26</f>
        <v>8685580</v>
      </c>
    </row>
    <row r="6" spans="1:99" s="465" customFormat="1" x14ac:dyDescent="0.25">
      <c r="A6" s="469">
        <v>1</v>
      </c>
      <c r="B6" s="469">
        <v>2</v>
      </c>
      <c r="C6" s="469"/>
      <c r="D6" s="469">
        <v>3</v>
      </c>
      <c r="E6" s="469">
        <v>4</v>
      </c>
      <c r="F6" s="469">
        <v>5</v>
      </c>
      <c r="G6" s="469" t="s">
        <v>781</v>
      </c>
      <c r="H6" s="469">
        <v>7</v>
      </c>
      <c r="I6" s="469" t="s">
        <v>782</v>
      </c>
      <c r="J6" s="469">
        <v>9</v>
      </c>
      <c r="K6" s="469">
        <v>10</v>
      </c>
      <c r="L6" s="469" t="s">
        <v>783</v>
      </c>
      <c r="M6" s="470" t="s">
        <v>784</v>
      </c>
      <c r="N6" s="468" t="s">
        <v>785</v>
      </c>
      <c r="P6" s="465">
        <f>+$H$9*10%</f>
        <v>541400</v>
      </c>
      <c r="Q6" s="465">
        <f>+P6+$K$9</f>
        <v>6327300</v>
      </c>
      <c r="R6" s="465">
        <f>Q6+$K$19+$K$26</f>
        <v>8577300</v>
      </c>
    </row>
    <row r="7" spans="1:99" s="18" customFormat="1" x14ac:dyDescent="0.25">
      <c r="A7" s="58"/>
      <c r="B7" s="19" t="s">
        <v>786</v>
      </c>
      <c r="C7" s="19">
        <f>SUM(C8,C27)</f>
        <v>6333869</v>
      </c>
      <c r="D7" s="471">
        <f>SUM(D8,D27)</f>
        <v>8771013</v>
      </c>
      <c r="E7" s="471">
        <f>SUM(E8,E27)</f>
        <v>8495000</v>
      </c>
      <c r="F7" s="471">
        <f>SUM(F8,F27)</f>
        <v>6363593</v>
      </c>
      <c r="G7" s="472">
        <f>F7/E7%</f>
        <v>74.909864626250737</v>
      </c>
      <c r="H7" s="471">
        <f>SUM(H8,H27)</f>
        <v>8050000</v>
      </c>
      <c r="I7" s="602">
        <f>H7/E7%</f>
        <v>94.761624484991174</v>
      </c>
      <c r="J7" s="471">
        <f>SUM(J8,J27)</f>
        <v>0</v>
      </c>
      <c r="K7" s="471">
        <f>SUM(K8,K27)</f>
        <v>8140900</v>
      </c>
      <c r="L7" s="471"/>
      <c r="M7" s="652">
        <f>K7/H7*100</f>
        <v>101.12919254658385</v>
      </c>
      <c r="N7" s="652">
        <f>IF(J7=0,0,J7/H7%)</f>
        <v>0</v>
      </c>
      <c r="O7" s="18">
        <f>+H7/D7%</f>
        <v>91.779592619461397</v>
      </c>
      <c r="P7" s="18">
        <f>K7/E7%</f>
        <v>95.831665685697473</v>
      </c>
      <c r="Q7" s="18">
        <f>+O7-100</f>
        <v>-8.2204073805386031</v>
      </c>
      <c r="S7" s="659">
        <f>+H7/$H$7</f>
        <v>1</v>
      </c>
      <c r="U7" s="659">
        <f>K7/$K$7</f>
        <v>1</v>
      </c>
      <c r="W7" s="1013">
        <f>F7/C7%</f>
        <v>100.4692866240208</v>
      </c>
      <c r="X7" s="1013">
        <f>W7-100</f>
        <v>0.46928662402079624</v>
      </c>
    </row>
    <row r="8" spans="1:99" s="18" customFormat="1" x14ac:dyDescent="0.25">
      <c r="A8" s="51" t="s">
        <v>409</v>
      </c>
      <c r="B8" s="49" t="s">
        <v>410</v>
      </c>
      <c r="C8" s="49">
        <f>SUM(C10,C11,C12,C13:C26)</f>
        <v>6268648</v>
      </c>
      <c r="D8" s="49">
        <f>SUM(D10,D11,D12,D13:D26)</f>
        <v>8644723</v>
      </c>
      <c r="E8" s="49">
        <f>SUM(E10,E11,E12,E13:E26)</f>
        <v>8425000</v>
      </c>
      <c r="F8" s="49">
        <f>SUM(F10,F11,F12,F13:F26)</f>
        <v>6285733</v>
      </c>
      <c r="G8" s="473">
        <f t="shared" ref="G8:G13" si="0">F8/E8%</f>
        <v>74.608106824925812</v>
      </c>
      <c r="H8" s="49">
        <f>SUM(H10,H11,H12,H13:H26)</f>
        <v>7964000</v>
      </c>
      <c r="I8" s="603">
        <f t="shared" ref="I8:I13" si="1">H8/E8%</f>
        <v>94.528189910979222</v>
      </c>
      <c r="J8" s="49">
        <f>SUM(J10,J11,J12,J13:J26)</f>
        <v>0</v>
      </c>
      <c r="K8" s="49">
        <f>SUM(K10,K11,K12,K13:K26)</f>
        <v>8035900</v>
      </c>
      <c r="L8" s="474"/>
      <c r="M8" s="603">
        <f t="shared" ref="M8:M13" si="2">K8/H8*100</f>
        <v>100.90281265695631</v>
      </c>
      <c r="N8" s="603">
        <f>IF(J8=0,0,J8/H8%)</f>
        <v>0</v>
      </c>
      <c r="O8" s="18">
        <f t="shared" ref="O8:O26" si="3">+H8/D8%</f>
        <v>92.125566082337173</v>
      </c>
      <c r="P8" s="18">
        <f>K8/E8%</f>
        <v>95.381602373887247</v>
      </c>
      <c r="Q8" s="18">
        <f t="shared" ref="Q8:Q27" si="4">+O8-100</f>
        <v>-7.8744339176628273</v>
      </c>
      <c r="S8" s="659">
        <f t="shared" ref="S8:S27" si="5">+H8/$H$7</f>
        <v>0.98931677018633546</v>
      </c>
      <c r="U8" s="659">
        <f t="shared" ref="U8:U27" si="6">K8/$K$7</f>
        <v>0.98710216315149435</v>
      </c>
      <c r="W8" s="1013">
        <f t="shared" ref="W8:W27" si="7">F8/C8%</f>
        <v>100.27254680754127</v>
      </c>
      <c r="X8" s="1013">
        <f t="shared" ref="X8:X27" si="8">W8-100</f>
        <v>0.27254680754127492</v>
      </c>
    </row>
    <row r="9" spans="1:99" s="18" customFormat="1" x14ac:dyDescent="0.25">
      <c r="A9" s="51"/>
      <c r="B9" s="49" t="s">
        <v>979</v>
      </c>
      <c r="C9" s="49">
        <f t="shared" ref="C9:H9" si="9">C8-C19-C26</f>
        <v>4652473</v>
      </c>
      <c r="D9" s="49">
        <f t="shared" si="9"/>
        <v>6156473</v>
      </c>
      <c r="E9" s="49">
        <f t="shared" si="9"/>
        <v>6365000</v>
      </c>
      <c r="F9" s="49">
        <f t="shared" si="9"/>
        <v>4095970</v>
      </c>
      <c r="G9" s="473">
        <f>F9/E9%</f>
        <v>64.351453260015717</v>
      </c>
      <c r="H9" s="49">
        <f t="shared" si="9"/>
        <v>5414000</v>
      </c>
      <c r="I9" s="603">
        <f>H9/E9%</f>
        <v>85.058915946582871</v>
      </c>
      <c r="J9" s="49">
        <f>5910000</f>
        <v>5910000</v>
      </c>
      <c r="K9" s="49">
        <f>K8-K19-K26</f>
        <v>5785900</v>
      </c>
      <c r="L9" s="474">
        <f>J9-K9</f>
        <v>124100</v>
      </c>
      <c r="M9" s="603">
        <f>K9/H9*100</f>
        <v>106.86922792759512</v>
      </c>
      <c r="N9" s="603">
        <f>IF(J9=0,0,J9/H9%)</f>
        <v>109.16143332101957</v>
      </c>
      <c r="O9" s="18">
        <f>+H9/D9%</f>
        <v>87.939961728086843</v>
      </c>
      <c r="P9" s="18">
        <f>K9/E9%</f>
        <v>90.901806755695205</v>
      </c>
      <c r="Q9" s="18">
        <f>+O9-100</f>
        <v>-12.060038271913157</v>
      </c>
      <c r="R9" s="18">
        <f>+J9-K9</f>
        <v>124100</v>
      </c>
      <c r="S9" s="659">
        <f t="shared" si="5"/>
        <v>0.67254658385093169</v>
      </c>
      <c r="U9" s="659">
        <f t="shared" si="6"/>
        <v>0.71071994496922941</v>
      </c>
      <c r="W9" s="1013">
        <f>F9/C9%</f>
        <v>88.03855497925511</v>
      </c>
      <c r="X9" s="1013">
        <f t="shared" si="8"/>
        <v>-11.96144502074489</v>
      </c>
      <c r="Y9" s="1013"/>
    </row>
    <row r="10" spans="1:99" s="249" customFormat="1" x14ac:dyDescent="0.25">
      <c r="A10" s="148">
        <v>1</v>
      </c>
      <c r="B10" s="282" t="s">
        <v>787</v>
      </c>
      <c r="C10" s="282">
        <f>168456+363613</f>
        <v>532069</v>
      </c>
      <c r="D10" s="476">
        <f>'Thu NSNN 2010-2025'!S10+'Thu NSNN 2010-2025'!S11</f>
        <v>703523</v>
      </c>
      <c r="E10" s="476">
        <f>'Phụ lục số 1'!C15+'Phụ lục số 1'!C21</f>
        <v>750000</v>
      </c>
      <c r="F10" s="476">
        <f>130491+330759</f>
        <v>461250</v>
      </c>
      <c r="G10" s="475">
        <f t="shared" si="0"/>
        <v>61.5</v>
      </c>
      <c r="H10" s="476">
        <f>'Thu NSNN 2010-2025'!V10+'Thu NSNN 2010-2025'!V11</f>
        <v>690000</v>
      </c>
      <c r="I10" s="604">
        <f t="shared" si="1"/>
        <v>92</v>
      </c>
      <c r="J10" s="476"/>
      <c r="K10" s="476">
        <f>'Phụ lục số 1'!N15+'Phụ lục số 1'!N21</f>
        <v>745000</v>
      </c>
      <c r="L10" s="476"/>
      <c r="M10" s="604">
        <f>K10/H10*100</f>
        <v>107.97101449275361</v>
      </c>
      <c r="N10" s="604">
        <f t="shared" ref="N10:N27" si="10">IF(J10=0,0,J10/H10%)</f>
        <v>0</v>
      </c>
      <c r="O10" s="18">
        <f>+H10/D10%</f>
        <v>98.077816929936915</v>
      </c>
      <c r="P10" s="18">
        <f>K10/E10%</f>
        <v>99.333333333333329</v>
      </c>
      <c r="Q10" s="18">
        <f>+O10-100</f>
        <v>-1.9221830700630846</v>
      </c>
      <c r="S10" s="659">
        <f t="shared" si="5"/>
        <v>8.5714285714285715E-2</v>
      </c>
      <c r="U10" s="659">
        <f t="shared" si="6"/>
        <v>9.1513223353683254E-2</v>
      </c>
      <c r="W10" s="1013">
        <f t="shared" si="7"/>
        <v>86.689884206747621</v>
      </c>
      <c r="X10" s="1013">
        <f t="shared" si="8"/>
        <v>-13.310115793252379</v>
      </c>
    </row>
    <row r="11" spans="1:99" s="249" customFormat="1" x14ac:dyDescent="0.25">
      <c r="A11" s="148">
        <v>2</v>
      </c>
      <c r="B11" s="282" t="s">
        <v>467</v>
      </c>
      <c r="C11" s="282">
        <v>59053</v>
      </c>
      <c r="D11" s="476">
        <f>'Thu NSNN 2010-2025'!S12</f>
        <v>76845</v>
      </c>
      <c r="E11" s="476">
        <f>'Phụ lục số 1'!C27</f>
        <v>60000</v>
      </c>
      <c r="F11" s="476">
        <v>62036</v>
      </c>
      <c r="G11" s="475">
        <f t="shared" si="0"/>
        <v>103.39333333333333</v>
      </c>
      <c r="H11" s="476">
        <f>'Thu NSNN 2010-2025'!V12</f>
        <v>70000</v>
      </c>
      <c r="I11" s="604">
        <f t="shared" si="1"/>
        <v>116.66666666666667</v>
      </c>
      <c r="J11" s="476"/>
      <c r="K11" s="476">
        <f>'Phụ lục số 1'!N27</f>
        <v>70000</v>
      </c>
      <c r="L11" s="476"/>
      <c r="M11" s="604">
        <f t="shared" si="2"/>
        <v>100</v>
      </c>
      <c r="N11" s="604">
        <f t="shared" si="10"/>
        <v>0</v>
      </c>
      <c r="O11" s="18">
        <f t="shared" si="3"/>
        <v>91.092458845728416</v>
      </c>
      <c r="P11" s="18">
        <f t="shared" ref="P11:P27" si="11">K11/E11%</f>
        <v>116.66666666666667</v>
      </c>
      <c r="Q11" s="18">
        <f t="shared" si="4"/>
        <v>-8.9075411542715841</v>
      </c>
      <c r="S11" s="659">
        <f t="shared" si="5"/>
        <v>8.6956521739130436E-3</v>
      </c>
      <c r="U11" s="659">
        <f t="shared" si="6"/>
        <v>8.5985578990037965E-3</v>
      </c>
      <c r="W11" s="1013">
        <f t="shared" si="7"/>
        <v>105.05139451001644</v>
      </c>
      <c r="X11" s="1013">
        <f t="shared" si="8"/>
        <v>5.0513945100164364</v>
      </c>
    </row>
    <row r="12" spans="1:99" s="9" customFormat="1" x14ac:dyDescent="0.25">
      <c r="A12" s="148">
        <v>3</v>
      </c>
      <c r="B12" s="282" t="s">
        <v>788</v>
      </c>
      <c r="C12" s="282">
        <v>1079504</v>
      </c>
      <c r="D12" s="476">
        <f>'Thu NSNN 2010-2025'!S13</f>
        <v>1430938</v>
      </c>
      <c r="E12" s="476">
        <f>'Phụ lục số 1'!C32</f>
        <v>1410000</v>
      </c>
      <c r="F12" s="476">
        <v>943946</v>
      </c>
      <c r="G12" s="475">
        <f t="shared" si="0"/>
        <v>66.946524822695039</v>
      </c>
      <c r="H12" s="476">
        <f>'Thu NSNN 2010-2025'!V13</f>
        <v>1210000</v>
      </c>
      <c r="I12" s="604">
        <f t="shared" si="1"/>
        <v>85.815602836879435</v>
      </c>
      <c r="J12" s="476"/>
      <c r="K12" s="476">
        <f>'Phụ lục số 1'!N32</f>
        <v>1315000</v>
      </c>
      <c r="L12" s="476"/>
      <c r="M12" s="604">
        <f t="shared" si="2"/>
        <v>108.67768595041323</v>
      </c>
      <c r="N12" s="604">
        <f t="shared" si="10"/>
        <v>0</v>
      </c>
      <c r="O12" s="18">
        <f t="shared" si="3"/>
        <v>84.559918039775312</v>
      </c>
      <c r="P12" s="18">
        <f t="shared" si="11"/>
        <v>93.262411347517727</v>
      </c>
      <c r="Q12" s="18">
        <f t="shared" si="4"/>
        <v>-15.440081960224688</v>
      </c>
      <c r="S12" s="659">
        <f t="shared" si="5"/>
        <v>0.15031055900621118</v>
      </c>
      <c r="U12" s="659">
        <f t="shared" si="6"/>
        <v>0.16153005195985701</v>
      </c>
      <c r="W12" s="1013">
        <f t="shared" si="7"/>
        <v>87.442566215595306</v>
      </c>
      <c r="X12" s="1013">
        <f t="shared" si="8"/>
        <v>-12.557433784404694</v>
      </c>
    </row>
    <row r="13" spans="1:99" s="249" customFormat="1" x14ac:dyDescent="0.25">
      <c r="A13" s="148">
        <v>4</v>
      </c>
      <c r="B13" s="282" t="s">
        <v>416</v>
      </c>
      <c r="C13" s="282">
        <v>229667</v>
      </c>
      <c r="D13" s="476">
        <f>'Thu NSNN 2010-2025'!S14</f>
        <v>317324</v>
      </c>
      <c r="E13" s="476">
        <f>'Phụ lục số 1'!C38</f>
        <v>345000</v>
      </c>
      <c r="F13" s="476">
        <v>196343</v>
      </c>
      <c r="G13" s="475">
        <f t="shared" si="0"/>
        <v>56.911014492753623</v>
      </c>
      <c r="H13" s="476">
        <f>'Thu NSNN 2010-2025'!V14</f>
        <v>250000</v>
      </c>
      <c r="I13" s="604">
        <f t="shared" si="1"/>
        <v>72.463768115942031</v>
      </c>
      <c r="J13" s="476"/>
      <c r="K13" s="476">
        <f>'Phụ lục số 1'!N38</f>
        <v>280000</v>
      </c>
      <c r="L13" s="476"/>
      <c r="M13" s="604">
        <f t="shared" si="2"/>
        <v>112.00000000000001</v>
      </c>
      <c r="N13" s="604">
        <f t="shared" si="10"/>
        <v>0</v>
      </c>
      <c r="O13" s="18">
        <f t="shared" si="3"/>
        <v>78.783829776506039</v>
      </c>
      <c r="P13" s="18">
        <f t="shared" si="11"/>
        <v>81.159420289855078</v>
      </c>
      <c r="Q13" s="18">
        <f t="shared" si="4"/>
        <v>-21.216170223493961</v>
      </c>
      <c r="S13" s="659">
        <f t="shared" si="5"/>
        <v>3.1055900621118012E-2</v>
      </c>
      <c r="U13" s="659">
        <f t="shared" si="6"/>
        <v>3.4394231596015186E-2</v>
      </c>
      <c r="W13" s="1013">
        <f t="shared" si="7"/>
        <v>85.490296821049597</v>
      </c>
      <c r="X13" s="1013">
        <f t="shared" si="8"/>
        <v>-14.509703178950403</v>
      </c>
    </row>
    <row r="14" spans="1:99" s="249" customFormat="1" x14ac:dyDescent="0.25">
      <c r="A14" s="148">
        <v>5</v>
      </c>
      <c r="B14" s="282" t="s">
        <v>468</v>
      </c>
      <c r="C14" s="282">
        <v>977</v>
      </c>
      <c r="D14" s="476">
        <f>'Thu NSNN 2010-2025'!S15</f>
        <v>1035</v>
      </c>
      <c r="E14" s="476">
        <f>'Phụ lục số 1'!C39</f>
        <v>0</v>
      </c>
      <c r="F14" s="476">
        <v>633</v>
      </c>
      <c r="G14" s="475"/>
      <c r="H14" s="476">
        <f>'Thu NSNN 2010-2025'!V15</f>
        <v>800</v>
      </c>
      <c r="I14" s="604"/>
      <c r="J14" s="476"/>
      <c r="K14" s="476">
        <f>'Phụ lục số 1'!N39</f>
        <v>0</v>
      </c>
      <c r="L14" s="476"/>
      <c r="M14" s="604"/>
      <c r="N14" s="604">
        <f t="shared" si="10"/>
        <v>0</v>
      </c>
      <c r="O14" s="18">
        <f t="shared" si="3"/>
        <v>77.294685990338166</v>
      </c>
      <c r="P14" s="18"/>
      <c r="Q14" s="18">
        <f t="shared" si="4"/>
        <v>-22.705314009661834</v>
      </c>
      <c r="S14" s="659">
        <f t="shared" si="5"/>
        <v>9.9378881987577641E-5</v>
      </c>
      <c r="U14" s="659">
        <f t="shared" si="6"/>
        <v>0</v>
      </c>
      <c r="W14" s="1013">
        <f t="shared" si="7"/>
        <v>64.790174002047081</v>
      </c>
      <c r="X14" s="1013">
        <f t="shared" si="8"/>
        <v>-35.209825997952919</v>
      </c>
    </row>
    <row r="15" spans="1:99" s="249" customFormat="1" x14ac:dyDescent="0.25">
      <c r="A15" s="148">
        <v>6</v>
      </c>
      <c r="B15" s="282" t="s">
        <v>789</v>
      </c>
      <c r="C15" s="282">
        <v>9413</v>
      </c>
      <c r="D15" s="476">
        <f>'Thu NSNN 2010-2025'!S16</f>
        <v>11281</v>
      </c>
      <c r="E15" s="476">
        <f>'Phụ lục số 1'!C40</f>
        <v>8000</v>
      </c>
      <c r="F15" s="476">
        <v>9030</v>
      </c>
      <c r="G15" s="475">
        <f t="shared" ref="G15:G20" si="12">F15/E15%</f>
        <v>112.875</v>
      </c>
      <c r="H15" s="476">
        <f>'Thu NSNN 2010-2025'!V16</f>
        <v>8000</v>
      </c>
      <c r="I15" s="604">
        <f t="shared" ref="I15:I20" si="13">H15/E15%</f>
        <v>100</v>
      </c>
      <c r="J15" s="476"/>
      <c r="K15" s="476">
        <f>'Phụ lục số 1'!N40</f>
        <v>8000</v>
      </c>
      <c r="L15" s="476"/>
      <c r="M15" s="604">
        <f t="shared" ref="M15:M20" si="14">K15/H15*100</f>
        <v>100</v>
      </c>
      <c r="N15" s="604">
        <f t="shared" si="10"/>
        <v>0</v>
      </c>
      <c r="O15" s="18">
        <f t="shared" si="3"/>
        <v>70.915698962857903</v>
      </c>
      <c r="P15" s="18">
        <f t="shared" si="11"/>
        <v>100</v>
      </c>
      <c r="Q15" s="18">
        <f t="shared" si="4"/>
        <v>-29.084301037142097</v>
      </c>
      <c r="S15" s="659">
        <f t="shared" si="5"/>
        <v>9.9378881987577643E-4</v>
      </c>
      <c r="U15" s="659">
        <f t="shared" si="6"/>
        <v>9.8269233131471944E-4</v>
      </c>
      <c r="W15" s="1013">
        <f t="shared" si="7"/>
        <v>95.931159035376609</v>
      </c>
      <c r="X15" s="1013">
        <f t="shared" si="8"/>
        <v>-4.0688409646233907</v>
      </c>
    </row>
    <row r="16" spans="1:99" s="249" customFormat="1" x14ac:dyDescent="0.25">
      <c r="A16" s="148">
        <v>7</v>
      </c>
      <c r="B16" s="282" t="s">
        <v>527</v>
      </c>
      <c r="C16" s="282">
        <v>403888</v>
      </c>
      <c r="D16" s="476">
        <f>'Thu NSNN 2010-2025'!S17</f>
        <v>521482</v>
      </c>
      <c r="E16" s="476">
        <f>'Phụ lục số 1'!C41</f>
        <v>580000</v>
      </c>
      <c r="F16" s="476">
        <v>403329</v>
      </c>
      <c r="G16" s="475">
        <f t="shared" si="12"/>
        <v>69.539482758620693</v>
      </c>
      <c r="H16" s="476">
        <f>'Thu NSNN 2010-2025'!V17</f>
        <v>470000</v>
      </c>
      <c r="I16" s="604">
        <f t="shared" si="13"/>
        <v>81.034482758620683</v>
      </c>
      <c r="J16" s="476"/>
      <c r="K16" s="476">
        <f>'Phụ lục số 1'!N41</f>
        <v>465000</v>
      </c>
      <c r="L16" s="476"/>
      <c r="M16" s="604">
        <f t="shared" si="14"/>
        <v>98.936170212765958</v>
      </c>
      <c r="N16" s="604">
        <f t="shared" si="10"/>
        <v>0</v>
      </c>
      <c r="O16" s="18">
        <f t="shared" si="3"/>
        <v>90.127751293429114</v>
      </c>
      <c r="P16" s="18">
        <f t="shared" si="11"/>
        <v>80.172413793103445</v>
      </c>
      <c r="Q16" s="18">
        <f t="shared" si="4"/>
        <v>-9.8722487065708862</v>
      </c>
      <c r="S16" s="659">
        <f t="shared" si="5"/>
        <v>5.8385093167701865E-2</v>
      </c>
      <c r="U16" s="659">
        <f t="shared" si="6"/>
        <v>5.7118991757668068E-2</v>
      </c>
      <c r="W16" s="1013">
        <f t="shared" si="7"/>
        <v>99.861595293744799</v>
      </c>
      <c r="X16" s="1013">
        <f t="shared" si="8"/>
        <v>-0.1384047062552014</v>
      </c>
    </row>
    <row r="17" spans="1:24" s="249" customFormat="1" x14ac:dyDescent="0.25">
      <c r="A17" s="148">
        <v>8</v>
      </c>
      <c r="B17" s="282" t="s">
        <v>790</v>
      </c>
      <c r="C17" s="282">
        <v>1717321</v>
      </c>
      <c r="D17" s="476">
        <f>'Thu NSNN 2010-2025'!S18</f>
        <v>2280939</v>
      </c>
      <c r="E17" s="476">
        <f>'Phụ lục số 1'!C42</f>
        <v>2510000</v>
      </c>
      <c r="F17" s="476">
        <v>1517395</v>
      </c>
      <c r="G17" s="475">
        <f t="shared" si="12"/>
        <v>60.453984063745018</v>
      </c>
      <c r="H17" s="476">
        <f>'Thu NSNN 2010-2025'!V18</f>
        <v>2130000</v>
      </c>
      <c r="I17" s="604">
        <f t="shared" si="13"/>
        <v>84.860557768924309</v>
      </c>
      <c r="J17" s="476"/>
      <c r="K17" s="476">
        <f>'Phụ lục số 1'!N42</f>
        <v>2270000</v>
      </c>
      <c r="L17" s="476"/>
      <c r="M17" s="604">
        <f t="shared" si="14"/>
        <v>106.57276995305165</v>
      </c>
      <c r="N17" s="604">
        <f t="shared" si="10"/>
        <v>0</v>
      </c>
      <c r="O17" s="18">
        <f t="shared" si="3"/>
        <v>93.382593747575015</v>
      </c>
      <c r="P17" s="18">
        <f t="shared" si="11"/>
        <v>90.438247011952186</v>
      </c>
      <c r="Q17" s="18">
        <f t="shared" si="4"/>
        <v>-6.6174062524249848</v>
      </c>
      <c r="S17" s="659">
        <f t="shared" si="5"/>
        <v>0.26459627329192548</v>
      </c>
      <c r="U17" s="659">
        <f t="shared" si="6"/>
        <v>0.27883894901055167</v>
      </c>
      <c r="W17" s="1013">
        <f t="shared" si="7"/>
        <v>88.358262666094461</v>
      </c>
      <c r="X17" s="1013">
        <f t="shared" si="8"/>
        <v>-11.641737333905539</v>
      </c>
    </row>
    <row r="18" spans="1:24" s="249" customFormat="1" x14ac:dyDescent="0.25">
      <c r="A18" s="148">
        <v>9</v>
      </c>
      <c r="B18" s="282" t="s">
        <v>417</v>
      </c>
      <c r="C18" s="282">
        <v>126065</v>
      </c>
      <c r="D18" s="476">
        <f>'Thu NSNN 2010-2025'!S19</f>
        <v>172887</v>
      </c>
      <c r="E18" s="476">
        <f>'Phụ lục số 1'!C43</f>
        <v>187000</v>
      </c>
      <c r="F18" s="476">
        <v>129935</v>
      </c>
      <c r="G18" s="475">
        <f t="shared" si="12"/>
        <v>69.483957219251337</v>
      </c>
      <c r="H18" s="476">
        <f>'Thu NSNN 2010-2025'!V19</f>
        <v>165000</v>
      </c>
      <c r="I18" s="604">
        <f t="shared" si="13"/>
        <v>88.235294117647058</v>
      </c>
      <c r="J18" s="476"/>
      <c r="K18" s="476">
        <f>'Phụ lục số 1'!N43</f>
        <v>192900</v>
      </c>
      <c r="L18" s="476"/>
      <c r="M18" s="604">
        <f t="shared" si="14"/>
        <v>116.90909090909092</v>
      </c>
      <c r="N18" s="604">
        <f t="shared" si="10"/>
        <v>0</v>
      </c>
      <c r="O18" s="18">
        <f t="shared" si="3"/>
        <v>95.438060698606606</v>
      </c>
      <c r="P18" s="18">
        <f t="shared" si="11"/>
        <v>103.15508021390374</v>
      </c>
      <c r="Q18" s="18">
        <f t="shared" si="4"/>
        <v>-4.5619393013933944</v>
      </c>
      <c r="S18" s="659">
        <f t="shared" si="5"/>
        <v>2.0496894409937887E-2</v>
      </c>
      <c r="U18" s="659">
        <f t="shared" si="6"/>
        <v>2.3695168838826174E-2</v>
      </c>
      <c r="W18" s="1013">
        <f t="shared" si="7"/>
        <v>103.06984492127077</v>
      </c>
      <c r="X18" s="1013">
        <f t="shared" si="8"/>
        <v>3.0698449212707715</v>
      </c>
    </row>
    <row r="19" spans="1:24" s="249" customFormat="1" x14ac:dyDescent="0.25">
      <c r="A19" s="148">
        <v>10</v>
      </c>
      <c r="B19" s="282" t="s">
        <v>418</v>
      </c>
      <c r="C19" s="282">
        <v>494324</v>
      </c>
      <c r="D19" s="476">
        <f>'Thu NSNN 2010-2025'!S20</f>
        <v>964965</v>
      </c>
      <c r="E19" s="476">
        <f>'Phụ lục số 1'!C44</f>
        <v>600000</v>
      </c>
      <c r="F19" s="476">
        <v>648570</v>
      </c>
      <c r="G19" s="475">
        <f t="shared" si="12"/>
        <v>108.095</v>
      </c>
      <c r="H19" s="476">
        <f>'Thu NSNN 2010-2025'!V20</f>
        <v>750000</v>
      </c>
      <c r="I19" s="604">
        <f t="shared" si="13"/>
        <v>125</v>
      </c>
      <c r="J19" s="476"/>
      <c r="K19" s="476">
        <f>'Phụ lục số 1'!N44</f>
        <v>750000</v>
      </c>
      <c r="L19" s="476"/>
      <c r="M19" s="604">
        <f t="shared" si="14"/>
        <v>100</v>
      </c>
      <c r="N19" s="604">
        <f>IF(J19=0,0,J19/H19%)</f>
        <v>0</v>
      </c>
      <c r="O19" s="18">
        <f t="shared" si="3"/>
        <v>77.723026223749045</v>
      </c>
      <c r="P19" s="18">
        <f t="shared" si="11"/>
        <v>125</v>
      </c>
      <c r="Q19" s="18">
        <f t="shared" si="4"/>
        <v>-22.276973776250955</v>
      </c>
      <c r="S19" s="659">
        <f t="shared" si="5"/>
        <v>9.3167701863354033E-2</v>
      </c>
      <c r="U19" s="659">
        <f t="shared" si="6"/>
        <v>9.2127406060754952E-2</v>
      </c>
      <c r="W19" s="1013">
        <f t="shared" si="7"/>
        <v>131.20342123789257</v>
      </c>
      <c r="X19" s="1013">
        <f t="shared" si="8"/>
        <v>31.20342123789257</v>
      </c>
    </row>
    <row r="20" spans="1:24" s="249" customFormat="1" x14ac:dyDescent="0.25">
      <c r="A20" s="148">
        <v>11</v>
      </c>
      <c r="B20" s="282" t="s">
        <v>529</v>
      </c>
      <c r="C20" s="282">
        <v>125392</v>
      </c>
      <c r="D20" s="476">
        <f>'Thu NSNN 2010-2025'!S21</f>
        <v>177724</v>
      </c>
      <c r="E20" s="476">
        <f>'Phụ lục số 1'!C45</f>
        <v>140000</v>
      </c>
      <c r="F20" s="476">
        <v>52696</v>
      </c>
      <c r="G20" s="475">
        <f t="shared" si="12"/>
        <v>37.64</v>
      </c>
      <c r="H20" s="476">
        <f>'Thu NSNN 2010-2025'!V21</f>
        <v>72000</v>
      </c>
      <c r="I20" s="604">
        <f t="shared" si="13"/>
        <v>51.428571428571431</v>
      </c>
      <c r="J20" s="476"/>
      <c r="K20" s="476">
        <f>'Phụ lục số 1'!N45</f>
        <v>76000</v>
      </c>
      <c r="L20" s="476"/>
      <c r="M20" s="604">
        <f t="shared" si="14"/>
        <v>105.55555555555556</v>
      </c>
      <c r="N20" s="604">
        <f>IF(J20=0,0,J20/H20%)</f>
        <v>0</v>
      </c>
      <c r="O20" s="18">
        <f t="shared" si="3"/>
        <v>40.512254957124533</v>
      </c>
      <c r="P20" s="18">
        <f t="shared" si="11"/>
        <v>54.285714285714285</v>
      </c>
      <c r="Q20" s="18">
        <f t="shared" si="4"/>
        <v>-59.487745042875467</v>
      </c>
      <c r="S20" s="659">
        <f t="shared" si="5"/>
        <v>8.944099378881987E-3</v>
      </c>
      <c r="U20" s="659">
        <f t="shared" si="6"/>
        <v>9.3355771474898357E-3</v>
      </c>
      <c r="W20" s="1013">
        <f t="shared" si="7"/>
        <v>42.025009569988512</v>
      </c>
      <c r="X20" s="1013">
        <f t="shared" si="8"/>
        <v>-57.974990430011488</v>
      </c>
    </row>
    <row r="21" spans="1:24" s="249" customFormat="1" x14ac:dyDescent="0.25">
      <c r="A21" s="148">
        <v>12</v>
      </c>
      <c r="B21" s="282" t="s">
        <v>518</v>
      </c>
      <c r="C21" s="282">
        <v>11221</v>
      </c>
      <c r="D21" s="476">
        <f>'Thu NSNN 2010-2025'!S22</f>
        <v>3951</v>
      </c>
      <c r="E21" s="476">
        <f>'Phụ lục số 1'!C46</f>
        <v>0</v>
      </c>
      <c r="F21" s="476">
        <v>121</v>
      </c>
      <c r="G21" s="282"/>
      <c r="H21" s="476">
        <f>'Thu NSNN 2010-2025'!V22</f>
        <v>200</v>
      </c>
      <c r="I21" s="605"/>
      <c r="J21" s="476"/>
      <c r="K21" s="476">
        <f>'Phụ lục số 1'!N46</f>
        <v>0</v>
      </c>
      <c r="L21" s="476"/>
      <c r="M21" s="604"/>
      <c r="N21" s="605">
        <f>IF(J21=0,0,J21/H21%)</f>
        <v>0</v>
      </c>
      <c r="O21" s="18">
        <f t="shared" si="3"/>
        <v>5.0620096178182745</v>
      </c>
      <c r="P21" s="18"/>
      <c r="Q21" s="18">
        <f t="shared" si="4"/>
        <v>-94.937990382181724</v>
      </c>
      <c r="S21" s="659">
        <f t="shared" si="5"/>
        <v>2.484472049689441E-5</v>
      </c>
      <c r="U21" s="659">
        <f t="shared" si="6"/>
        <v>0</v>
      </c>
      <c r="W21" s="1013">
        <f t="shared" si="7"/>
        <v>1.078335264236699</v>
      </c>
      <c r="X21" s="1013">
        <f t="shared" si="8"/>
        <v>-98.921664735763301</v>
      </c>
    </row>
    <row r="22" spans="1:24" s="249" customFormat="1" x14ac:dyDescent="0.25">
      <c r="A22" s="148">
        <v>13</v>
      </c>
      <c r="B22" s="282" t="s">
        <v>419</v>
      </c>
      <c r="C22" s="282">
        <v>210468</v>
      </c>
      <c r="D22" s="476">
        <f>'Thu NSNN 2010-2025'!S23</f>
        <v>300917</v>
      </c>
      <c r="E22" s="476">
        <f>'Phụ lục số 1'!C47</f>
        <v>310000</v>
      </c>
      <c r="F22" s="476">
        <v>239344</v>
      </c>
      <c r="G22" s="475">
        <f>F22/E22%</f>
        <v>77.207741935483867</v>
      </c>
      <c r="H22" s="476">
        <f>'Thu NSNN 2010-2025'!V23</f>
        <v>270000</v>
      </c>
      <c r="I22" s="604">
        <f t="shared" ref="I22:I27" si="15">H22/E22%</f>
        <v>87.096774193548384</v>
      </c>
      <c r="J22" s="476"/>
      <c r="K22" s="476">
        <f>'Phụ lục số 1'!N47</f>
        <v>280000</v>
      </c>
      <c r="L22" s="476"/>
      <c r="M22" s="604">
        <f>K22/H22*100</f>
        <v>103.7037037037037</v>
      </c>
      <c r="N22" s="604">
        <f>IF(J22=0,0,J22/H22%)</f>
        <v>0</v>
      </c>
      <c r="O22" s="18">
        <f t="shared" si="3"/>
        <v>89.725738326515284</v>
      </c>
      <c r="P22" s="18">
        <f t="shared" si="11"/>
        <v>90.322580645161295</v>
      </c>
      <c r="Q22" s="18">
        <f t="shared" si="4"/>
        <v>-10.274261673484716</v>
      </c>
      <c r="S22" s="659">
        <f t="shared" si="5"/>
        <v>3.354037267080745E-2</v>
      </c>
      <c r="U22" s="659">
        <f t="shared" si="6"/>
        <v>3.4394231596015186E-2</v>
      </c>
      <c r="W22" s="1013">
        <f t="shared" si="7"/>
        <v>113.71990041241425</v>
      </c>
      <c r="X22" s="1013">
        <f t="shared" si="8"/>
        <v>13.719900412414248</v>
      </c>
    </row>
    <row r="23" spans="1:24" s="249" customFormat="1" x14ac:dyDescent="0.25">
      <c r="A23" s="148">
        <v>14</v>
      </c>
      <c r="B23" s="26" t="s">
        <v>632</v>
      </c>
      <c r="C23" s="282">
        <v>17671</v>
      </c>
      <c r="D23" s="476">
        <f>'Thu NSNN 2010-2025'!S24</f>
        <v>25517</v>
      </c>
      <c r="E23" s="476">
        <f>'Phụ lục số 1'!C48</f>
        <v>6000</v>
      </c>
      <c r="F23" s="476">
        <v>26346</v>
      </c>
      <c r="G23" s="475"/>
      <c r="H23" s="476">
        <f>'Thu NSNN 2010-2025'!V24</f>
        <v>11000</v>
      </c>
      <c r="I23" s="604">
        <f t="shared" si="15"/>
        <v>183.33333333333334</v>
      </c>
      <c r="J23" s="476"/>
      <c r="K23" s="476">
        <f>'Phụ lục số 1'!N48</f>
        <v>11000</v>
      </c>
      <c r="L23" s="476"/>
      <c r="M23" s="604"/>
      <c r="N23" s="604"/>
      <c r="O23" s="18">
        <f t="shared" si="3"/>
        <v>43.108515891366544</v>
      </c>
      <c r="P23" s="18">
        <f t="shared" si="11"/>
        <v>183.33333333333334</v>
      </c>
      <c r="Q23" s="18">
        <f t="shared" si="4"/>
        <v>-56.891484108633456</v>
      </c>
      <c r="S23" s="659">
        <f t="shared" si="5"/>
        <v>1.3664596273291925E-3</v>
      </c>
      <c r="U23" s="659">
        <f t="shared" si="6"/>
        <v>1.3512019555577393E-3</v>
      </c>
      <c r="W23" s="1013">
        <f t="shared" si="7"/>
        <v>149.0917322166261</v>
      </c>
      <c r="X23" s="1013">
        <f t="shared" si="8"/>
        <v>49.091732216626099</v>
      </c>
    </row>
    <row r="24" spans="1:24" s="249" customFormat="1" x14ac:dyDescent="0.25">
      <c r="A24" s="148">
        <v>15</v>
      </c>
      <c r="B24" s="26" t="s">
        <v>633</v>
      </c>
      <c r="C24" s="282">
        <v>128186</v>
      </c>
      <c r="D24" s="476">
        <f>'Thu NSNN 2010-2025'!S25</f>
        <v>129025</v>
      </c>
      <c r="E24" s="476">
        <f>'Phụ lục số 1'!C49</f>
        <v>55000</v>
      </c>
      <c r="F24" s="476">
        <v>52872</v>
      </c>
      <c r="G24" s="475"/>
      <c r="H24" s="476">
        <f>'Thu NSNN 2010-2025'!V25</f>
        <v>64000</v>
      </c>
      <c r="I24" s="604">
        <f t="shared" si="15"/>
        <v>116.36363636363636</v>
      </c>
      <c r="J24" s="476"/>
      <c r="K24" s="476">
        <f>'Phụ lục số 1'!N49</f>
        <v>70000</v>
      </c>
      <c r="L24" s="476"/>
      <c r="M24" s="604"/>
      <c r="N24" s="604"/>
      <c r="O24" s="18">
        <f t="shared" si="3"/>
        <v>49.602790156946327</v>
      </c>
      <c r="P24" s="18">
        <f t="shared" si="11"/>
        <v>127.27272727272727</v>
      </c>
      <c r="Q24" s="18">
        <f t="shared" si="4"/>
        <v>-50.397209843053673</v>
      </c>
      <c r="S24" s="659">
        <f t="shared" si="5"/>
        <v>7.9503105590062115E-3</v>
      </c>
      <c r="U24" s="659">
        <f t="shared" si="6"/>
        <v>8.5985578990037965E-3</v>
      </c>
      <c r="W24" s="1013">
        <f t="shared" si="7"/>
        <v>41.246313950041348</v>
      </c>
      <c r="X24" s="1013">
        <f t="shared" si="8"/>
        <v>-58.753686049958652</v>
      </c>
    </row>
    <row r="25" spans="1:24" s="249" customFormat="1" x14ac:dyDescent="0.25">
      <c r="A25" s="148">
        <v>16</v>
      </c>
      <c r="B25" s="282" t="s">
        <v>420</v>
      </c>
      <c r="C25" s="282">
        <v>1578</v>
      </c>
      <c r="D25" s="476">
        <f>'Thu NSNN 2010-2025'!S26</f>
        <v>3085</v>
      </c>
      <c r="E25" s="476">
        <f>'Phụ lục số 1'!C50</f>
        <v>4000</v>
      </c>
      <c r="F25" s="476">
        <v>694</v>
      </c>
      <c r="G25" s="475">
        <f>F25/E25%</f>
        <v>17.350000000000001</v>
      </c>
      <c r="H25" s="476">
        <f>'Thu NSNN 2010-2025'!V26</f>
        <v>3000</v>
      </c>
      <c r="I25" s="604">
        <f t="shared" si="15"/>
        <v>75</v>
      </c>
      <c r="J25" s="476"/>
      <c r="K25" s="476">
        <f>'Phụ lục số 1'!N50</f>
        <v>3000</v>
      </c>
      <c r="L25" s="476"/>
      <c r="M25" s="604">
        <f>K25/H25*100</f>
        <v>100</v>
      </c>
      <c r="N25" s="604">
        <f>IF(J25=0,0,J25/H25%)</f>
        <v>0</v>
      </c>
      <c r="O25" s="18">
        <f t="shared" si="3"/>
        <v>97.244732576985413</v>
      </c>
      <c r="P25" s="18">
        <f t="shared" si="11"/>
        <v>75</v>
      </c>
      <c r="Q25" s="18">
        <f t="shared" si="4"/>
        <v>-2.7552674230145868</v>
      </c>
      <c r="S25" s="659">
        <f t="shared" si="5"/>
        <v>3.7267080745341616E-4</v>
      </c>
      <c r="U25" s="659">
        <f t="shared" si="6"/>
        <v>3.6850962424301979E-4</v>
      </c>
      <c r="W25" s="1013">
        <f t="shared" si="7"/>
        <v>43.979721166032952</v>
      </c>
      <c r="X25" s="1013">
        <f t="shared" si="8"/>
        <v>-56.020278833967048</v>
      </c>
    </row>
    <row r="26" spans="1:24" s="249" customFormat="1" x14ac:dyDescent="0.25">
      <c r="A26" s="148">
        <v>17</v>
      </c>
      <c r="B26" s="282" t="s">
        <v>226</v>
      </c>
      <c r="C26" s="282">
        <v>1121851</v>
      </c>
      <c r="D26" s="476">
        <f>'Thu NSNN 2010-2025'!S27</f>
        <v>1523285</v>
      </c>
      <c r="E26" s="476">
        <f>'Phụ lục số 1'!C51</f>
        <v>1460000</v>
      </c>
      <c r="F26" s="476">
        <v>1541193</v>
      </c>
      <c r="G26" s="475"/>
      <c r="H26" s="476">
        <f>'Thu NSNN 2010-2025'!V27</f>
        <v>1800000</v>
      </c>
      <c r="I26" s="604">
        <f t="shared" si="15"/>
        <v>123.28767123287672</v>
      </c>
      <c r="J26" s="476"/>
      <c r="K26" s="476">
        <f>'Phụ lục số 1'!N51</f>
        <v>1500000</v>
      </c>
      <c r="L26" s="476"/>
      <c r="M26" s="604">
        <f>K26/H26*100</f>
        <v>83.333333333333343</v>
      </c>
      <c r="N26" s="604"/>
      <c r="O26" s="18">
        <f t="shared" si="3"/>
        <v>118.16567484088664</v>
      </c>
      <c r="P26" s="18">
        <f t="shared" si="11"/>
        <v>102.73972602739725</v>
      </c>
      <c r="Q26" s="18">
        <f t="shared" si="4"/>
        <v>18.165674840886638</v>
      </c>
      <c r="S26" s="659">
        <f t="shared" si="5"/>
        <v>0.2236024844720497</v>
      </c>
      <c r="U26" s="659">
        <f t="shared" si="6"/>
        <v>0.1842548121215099</v>
      </c>
      <c r="W26" s="1013">
        <f t="shared" si="7"/>
        <v>137.3794737447308</v>
      </c>
      <c r="X26" s="1013">
        <f t="shared" si="8"/>
        <v>37.379473744730802</v>
      </c>
    </row>
    <row r="27" spans="1:24" s="37" customFormat="1" x14ac:dyDescent="0.25">
      <c r="A27" s="62" t="s">
        <v>421</v>
      </c>
      <c r="B27" s="196" t="s">
        <v>775</v>
      </c>
      <c r="C27" s="196">
        <v>65221</v>
      </c>
      <c r="D27" s="480">
        <f>'Thu NSNN 2010-2025'!S28</f>
        <v>126290</v>
      </c>
      <c r="E27" s="480">
        <f>'Phụ lục số 1'!C52</f>
        <v>70000</v>
      </c>
      <c r="F27" s="480">
        <v>77860</v>
      </c>
      <c r="G27" s="481">
        <f>F27/E27%</f>
        <v>111.22857142857143</v>
      </c>
      <c r="H27" s="480">
        <f>'Thu NSNN 2010-2025'!V28</f>
        <v>86000</v>
      </c>
      <c r="I27" s="606">
        <f t="shared" si="15"/>
        <v>122.85714285714286</v>
      </c>
      <c r="J27" s="480"/>
      <c r="K27" s="480">
        <f>'Phụ lục số 1'!N52</f>
        <v>105000</v>
      </c>
      <c r="L27" s="480"/>
      <c r="M27" s="606">
        <f>K27/H27*100</f>
        <v>122.09302325581395</v>
      </c>
      <c r="N27" s="606">
        <f t="shared" si="10"/>
        <v>0</v>
      </c>
      <c r="O27" s="18">
        <f>+H27/D27%</f>
        <v>68.097236519122646</v>
      </c>
      <c r="P27" s="18">
        <f t="shared" si="11"/>
        <v>150</v>
      </c>
      <c r="Q27" s="18">
        <f t="shared" si="4"/>
        <v>-31.902763480877354</v>
      </c>
      <c r="S27" s="659">
        <f t="shared" si="5"/>
        <v>1.0683229813664596E-2</v>
      </c>
      <c r="U27" s="659">
        <f t="shared" si="6"/>
        <v>1.2897836848505694E-2</v>
      </c>
      <c r="W27" s="1013">
        <f t="shared" si="7"/>
        <v>119.37872771040001</v>
      </c>
      <c r="X27" s="1013">
        <f t="shared" si="8"/>
        <v>19.378727710400014</v>
      </c>
    </row>
  </sheetData>
  <customSheetViews>
    <customSheetView guid="{88621519-296E-4458-B04E-813E881018FE}" hiddenRows="1" hiddenColumns="1" topLeftCell="A4">
      <selection activeCell="I9" sqref="I9"/>
      <pageMargins left="0" right="0" top="0.19685039370078741" bottom="0.19685039370078741" header="0.19685039370078741" footer="0.19685039370078741"/>
      <printOptions horizontalCentered="1"/>
      <pageSetup paperSize="9" orientation="landscape" r:id="rId1"/>
    </customSheetView>
  </customSheetViews>
  <mergeCells count="14">
    <mergeCell ref="A1:N1"/>
    <mergeCell ref="A3:A5"/>
    <mergeCell ref="B3:B5"/>
    <mergeCell ref="C3:C5"/>
    <mergeCell ref="D3:D5"/>
    <mergeCell ref="E3:E5"/>
    <mergeCell ref="F3:F5"/>
    <mergeCell ref="G3:G5"/>
    <mergeCell ref="H3:H5"/>
    <mergeCell ref="I3:I5"/>
    <mergeCell ref="J3:J5"/>
    <mergeCell ref="K3:K5"/>
    <mergeCell ref="L3:L5"/>
    <mergeCell ref="M3:N4"/>
  </mergeCells>
  <printOptions horizontalCentered="1"/>
  <pageMargins left="0" right="0" top="0.19685039370078741" bottom="0.19685039370078741" header="0.19685039370078741" footer="0.19685039370078741"/>
  <pageSetup paperSize="9" orientation="landscape"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62"/>
  <sheetViews>
    <sheetView topLeftCell="A6" zoomScaleNormal="100" workbookViewId="0">
      <pane xSplit="3" ySplit="6" topLeftCell="L12"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875" style="1033" customWidth="1"/>
    <col min="2" max="2" width="34" style="879" customWidth="1"/>
    <col min="3" max="11" width="8.625" style="879" hidden="1" customWidth="1"/>
    <col min="12" max="14" width="8.625" style="879" customWidth="1"/>
    <col min="15" max="15" width="8.625" style="230" customWidth="1"/>
    <col min="16" max="16" width="10" style="230" customWidth="1"/>
    <col min="17" max="18" width="8.625" style="230" customWidth="1"/>
    <col min="19" max="20" width="8.625" style="230" hidden="1" customWidth="1"/>
    <col min="21" max="22" width="8.625" style="230" customWidth="1"/>
    <col min="23" max="23" width="9.75" style="230" customWidth="1"/>
    <col min="24" max="28" width="8.625" style="230" customWidth="1"/>
    <col min="29" max="29" width="8.25" style="230" customWidth="1"/>
    <col min="30" max="16384" width="9" style="230"/>
  </cols>
  <sheetData>
    <row r="1" spans="1:99" x14ac:dyDescent="0.25">
      <c r="A1" s="1032"/>
      <c r="B1" s="501"/>
      <c r="C1" s="501" t="s">
        <v>1541</v>
      </c>
      <c r="D1" s="501"/>
      <c r="E1" s="501" t="s">
        <v>1537</v>
      </c>
      <c r="F1" s="501"/>
      <c r="G1" s="501"/>
      <c r="H1" s="501"/>
      <c r="I1" s="501"/>
      <c r="J1" s="501"/>
      <c r="K1" s="501"/>
      <c r="L1" s="501"/>
      <c r="M1" s="501"/>
      <c r="N1" s="501"/>
      <c r="AD1" s="230" t="s">
        <v>1537</v>
      </c>
      <c r="AI1" s="501" t="s">
        <v>1541</v>
      </c>
      <c r="AQ1" s="501" t="s">
        <v>1541</v>
      </c>
      <c r="AY1" s="501" t="s">
        <v>1541</v>
      </c>
      <c r="BG1" s="501" t="s">
        <v>1541</v>
      </c>
      <c r="BO1" s="501" t="s">
        <v>1541</v>
      </c>
      <c r="BW1" s="501" t="s">
        <v>1541</v>
      </c>
      <c r="CE1" s="501" t="s">
        <v>1541</v>
      </c>
      <c r="CM1" s="501" t="s">
        <v>1541</v>
      </c>
      <c r="CU1" s="501" t="s">
        <v>1541</v>
      </c>
    </row>
    <row r="2" spans="1:99" x14ac:dyDescent="0.25">
      <c r="A2" s="1364" t="s">
        <v>1180</v>
      </c>
      <c r="B2" s="1364"/>
      <c r="C2" s="1364"/>
      <c r="D2" s="1364"/>
      <c r="E2" s="1364"/>
      <c r="F2" s="1364"/>
      <c r="G2" s="1364"/>
      <c r="H2" s="1364"/>
      <c r="I2" s="1364"/>
      <c r="J2" s="1364"/>
      <c r="K2" s="1364"/>
      <c r="L2" s="1364"/>
      <c r="M2" s="1364"/>
      <c r="N2" s="1364"/>
      <c r="O2" s="1364"/>
      <c r="P2" s="1364"/>
      <c r="Q2" s="1364"/>
      <c r="R2" s="1364"/>
      <c r="S2" s="1364"/>
      <c r="T2" s="1364"/>
      <c r="U2" s="1364"/>
      <c r="V2" s="1364"/>
      <c r="W2" s="1364"/>
      <c r="X2" s="1364"/>
      <c r="Y2" s="1364"/>
      <c r="Z2" s="1364"/>
      <c r="AA2" s="1364"/>
      <c r="AB2" s="1364"/>
      <c r="AC2" s="1364"/>
    </row>
    <row r="4" spans="1:99" x14ac:dyDescent="0.25">
      <c r="A4" s="1032" t="s">
        <v>1542</v>
      </c>
      <c r="B4" s="879" t="s">
        <v>1531</v>
      </c>
      <c r="AC4" s="11" t="s">
        <v>516</v>
      </c>
    </row>
    <row r="5" spans="1:99" s="708" customFormat="1" x14ac:dyDescent="0.25">
      <c r="A5" s="1365" t="s">
        <v>400</v>
      </c>
      <c r="B5" s="1358" t="s">
        <v>427</v>
      </c>
      <c r="C5" s="1358" t="s">
        <v>1177</v>
      </c>
      <c r="D5" s="1358" t="s">
        <v>1041</v>
      </c>
      <c r="E5" s="1358" t="s">
        <v>1042</v>
      </c>
      <c r="F5" s="1358" t="s">
        <v>1043</v>
      </c>
      <c r="G5" s="1358" t="s">
        <v>1044</v>
      </c>
      <c r="H5" s="1358" t="s">
        <v>1031</v>
      </c>
      <c r="I5" s="1358" t="s">
        <v>1045</v>
      </c>
      <c r="J5" s="1358" t="s">
        <v>1058</v>
      </c>
      <c r="K5" s="1358" t="s">
        <v>1040</v>
      </c>
      <c r="L5" s="1358" t="s">
        <v>1032</v>
      </c>
      <c r="M5" s="1358" t="s">
        <v>1033</v>
      </c>
      <c r="N5" s="1358" t="s">
        <v>947</v>
      </c>
      <c r="O5" s="1358" t="s">
        <v>948</v>
      </c>
      <c r="P5" s="1358" t="s">
        <v>1425</v>
      </c>
      <c r="Q5" s="1358" t="s">
        <v>1038</v>
      </c>
      <c r="R5" s="1358" t="s">
        <v>1059</v>
      </c>
      <c r="S5" s="1358" t="s">
        <v>1040</v>
      </c>
      <c r="T5" s="1358" t="s">
        <v>1078</v>
      </c>
      <c r="U5" s="1358" t="s">
        <v>1023</v>
      </c>
      <c r="V5" s="1358" t="s">
        <v>1024</v>
      </c>
      <c r="W5" s="1358" t="s">
        <v>1025</v>
      </c>
      <c r="X5" s="1358" t="s">
        <v>1026</v>
      </c>
      <c r="Y5" s="1358" t="s">
        <v>1027</v>
      </c>
      <c r="Z5" s="1358" t="s">
        <v>1039</v>
      </c>
      <c r="AA5" s="1358" t="s">
        <v>1057</v>
      </c>
      <c r="AB5" s="1358" t="s">
        <v>1040</v>
      </c>
      <c r="AC5" s="1358" t="s">
        <v>1046</v>
      </c>
    </row>
    <row r="6" spans="1:99" s="708" customFormat="1" ht="151.5" customHeight="1" x14ac:dyDescent="0.25">
      <c r="A6" s="1366"/>
      <c r="B6" s="1360"/>
      <c r="C6" s="1360"/>
      <c r="D6" s="1360"/>
      <c r="E6" s="1360"/>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row>
    <row r="7" spans="1:99" hidden="1" x14ac:dyDescent="0.25">
      <c r="A7" s="28">
        <v>1</v>
      </c>
      <c r="B7" s="28">
        <v>2</v>
      </c>
      <c r="C7" s="28"/>
      <c r="D7" s="28"/>
      <c r="E7" s="28"/>
      <c r="F7" s="28"/>
      <c r="G7" s="28"/>
      <c r="H7" s="28"/>
      <c r="I7" s="482"/>
      <c r="J7" s="482"/>
      <c r="K7" s="482"/>
      <c r="L7" s="28"/>
      <c r="M7" s="28"/>
      <c r="N7" s="28"/>
      <c r="O7" s="482"/>
      <c r="P7" s="482"/>
      <c r="Q7" s="482"/>
      <c r="R7" s="482"/>
      <c r="S7" s="482"/>
      <c r="T7" s="482"/>
      <c r="U7" s="482"/>
      <c r="V7" s="482"/>
      <c r="W7" s="482"/>
      <c r="X7" s="482"/>
      <c r="Y7" s="482"/>
      <c r="Z7" s="482"/>
      <c r="AA7" s="482"/>
      <c r="AB7" s="482"/>
      <c r="AC7" s="482"/>
    </row>
    <row r="8" spans="1:99" x14ac:dyDescent="0.25">
      <c r="A8" s="1108"/>
      <c r="B8" s="1108" t="s">
        <v>1255</v>
      </c>
      <c r="C8" s="1007">
        <f t="shared" ref="C8:I8" si="0">C10+C129</f>
        <v>4688367.4799180003</v>
      </c>
      <c r="D8" s="1007">
        <f t="shared" si="0"/>
        <v>5517506.8434038907</v>
      </c>
      <c r="E8" s="1007">
        <f t="shared" si="0"/>
        <v>6676915.5707400003</v>
      </c>
      <c r="F8" s="1007">
        <f t="shared" si="0"/>
        <v>7325262.428568</v>
      </c>
      <c r="G8" s="1007">
        <f t="shared" si="0"/>
        <v>8159969.570863001</v>
      </c>
      <c r="H8" s="1007">
        <f t="shared" si="0"/>
        <v>8838259.1655269992</v>
      </c>
      <c r="I8" s="1007">
        <f t="shared" si="0"/>
        <v>36517913.57910189</v>
      </c>
      <c r="J8" s="1008"/>
      <c r="K8" s="1008"/>
      <c r="L8" s="1007">
        <f t="shared" ref="L8:Q8" si="1">L10+L129</f>
        <v>9435659.6461590007</v>
      </c>
      <c r="M8" s="1007">
        <f t="shared" si="1"/>
        <v>10825318.322280001</v>
      </c>
      <c r="N8" s="1007">
        <f t="shared" si="1"/>
        <v>12245988.832636001</v>
      </c>
      <c r="O8" s="1007">
        <f t="shared" si="1"/>
        <v>11165362</v>
      </c>
      <c r="P8" s="1007">
        <f t="shared" si="1"/>
        <v>13457450</v>
      </c>
      <c r="Q8" s="1007">
        <f t="shared" si="1"/>
        <v>57129778.801075004</v>
      </c>
      <c r="R8" s="1009"/>
      <c r="S8" s="1009"/>
      <c r="T8" s="1009">
        <f>Q8/I8</f>
        <v>1.5644316227794752</v>
      </c>
      <c r="U8" s="1007">
        <f t="shared" ref="U8:Z8" si="2">U10+U129</f>
        <v>14062909</v>
      </c>
      <c r="V8" s="1007">
        <f t="shared" si="2"/>
        <v>15090564</v>
      </c>
      <c r="W8" s="1007">
        <f t="shared" si="2"/>
        <v>16101219</v>
      </c>
      <c r="X8" s="1007">
        <f t="shared" si="2"/>
        <v>17045409</v>
      </c>
      <c r="Y8" s="1007">
        <f t="shared" si="2"/>
        <v>18096969</v>
      </c>
      <c r="Z8" s="1007">
        <f t="shared" si="2"/>
        <v>80397070</v>
      </c>
      <c r="AA8" s="1009"/>
      <c r="AB8" s="1009"/>
      <c r="AC8" s="1009">
        <f>Z8/Q8-1</f>
        <v>0.40727080845072661</v>
      </c>
    </row>
    <row r="9" spans="1:99" s="715" customFormat="1" x14ac:dyDescent="0.25">
      <c r="A9" s="1109" t="s">
        <v>564</v>
      </c>
      <c r="B9" s="1110" t="s">
        <v>1173</v>
      </c>
      <c r="C9" s="1010"/>
      <c r="D9" s="994">
        <f>D8/C8</f>
        <v>1.1768503358658209</v>
      </c>
      <c r="E9" s="994">
        <f>E8/D8</f>
        <v>1.2101327212166793</v>
      </c>
      <c r="F9" s="994">
        <f>F8/E8</f>
        <v>1.0971027491599903</v>
      </c>
      <c r="G9" s="994">
        <f>G8/F8</f>
        <v>1.1139491110980138</v>
      </c>
      <c r="H9" s="994">
        <f>H8/G8</f>
        <v>1.0831240348108628</v>
      </c>
      <c r="I9" s="994"/>
      <c r="J9" s="994">
        <f>(D9*E9*F9*G9*H9)^(1/5)-1</f>
        <v>0.13519120436932264</v>
      </c>
      <c r="K9" s="994"/>
      <c r="L9" s="994">
        <f>L8/H8</f>
        <v>1.0675925506871444</v>
      </c>
      <c r="M9" s="994">
        <f>M8/L8</f>
        <v>1.147277321166061</v>
      </c>
      <c r="N9" s="994">
        <f>N8/M8</f>
        <v>1.1312359108583498</v>
      </c>
      <c r="O9" s="994">
        <f>O8/N8</f>
        <v>0.91175667008971206</v>
      </c>
      <c r="P9" s="994">
        <f>P8/O8</f>
        <v>1.2052855966515013</v>
      </c>
      <c r="Q9" s="994"/>
      <c r="R9" s="994">
        <f>(L9*M9*N9*O9*P9)^(1/5)-1</f>
        <v>8.7725245848502942E-2</v>
      </c>
      <c r="S9" s="994"/>
      <c r="T9" s="994"/>
      <c r="U9" s="994">
        <f>U8/P8</f>
        <v>1.0449906185792999</v>
      </c>
      <c r="V9" s="994">
        <f>V8/U8</f>
        <v>1.0730755635267213</v>
      </c>
      <c r="W9" s="994">
        <f>W8/V8</f>
        <v>1.0669726459527955</v>
      </c>
      <c r="X9" s="994">
        <f>X8/W8</f>
        <v>1.0586409016609239</v>
      </c>
      <c r="Y9" s="994">
        <f>Y8/X8</f>
        <v>1.0616916848401818</v>
      </c>
      <c r="Z9" s="994">
        <f>AVERAGE(U9:Y9)</f>
        <v>1.0610742829119846</v>
      </c>
      <c r="AA9" s="994">
        <f>(U9*V9*W9*X9*Y9)^(1/5)-1</f>
        <v>6.1032320988450461E-2</v>
      </c>
      <c r="AB9" s="994"/>
      <c r="AC9" s="994"/>
    </row>
    <row r="10" spans="1:99" s="709" customFormat="1" x14ac:dyDescent="0.25">
      <c r="A10" s="1085" t="s">
        <v>407</v>
      </c>
      <c r="B10" s="1111" t="s">
        <v>506</v>
      </c>
      <c r="C10" s="41">
        <f t="shared" ref="C10:H10" si="3">SUM(C11,C16,C30,C31,C33,C34,C32,C35)</f>
        <v>4308494.4799180003</v>
      </c>
      <c r="D10" s="41">
        <f t="shared" si="3"/>
        <v>5000022.8434038907</v>
      </c>
      <c r="E10" s="41">
        <f t="shared" si="3"/>
        <v>5990803.5707400003</v>
      </c>
      <c r="F10" s="41">
        <f t="shared" si="3"/>
        <v>6551207.428568</v>
      </c>
      <c r="G10" s="41">
        <f t="shared" si="3"/>
        <v>7628457.570863001</v>
      </c>
      <c r="H10" s="41">
        <f t="shared" si="3"/>
        <v>8304427.1655269992</v>
      </c>
      <c r="I10" s="41">
        <f>SUM(D10:H10)</f>
        <v>33474918.57910189</v>
      </c>
      <c r="J10" s="985"/>
      <c r="K10" s="985">
        <f>I10/$I$10</f>
        <v>1</v>
      </c>
      <c r="L10" s="41">
        <f>SUM(L11,L16,L30,L31,L33,L34,L32,L35)</f>
        <v>8674809.6461590007</v>
      </c>
      <c r="M10" s="41">
        <f>SUM(M11,M16,M30,M31,M33,M34,M32,M35)</f>
        <v>10083459.322280001</v>
      </c>
      <c r="N10" s="41">
        <f>SUM(N11,N16,N30,N31,N33,N34,N32,N35)</f>
        <v>10427702.832636001</v>
      </c>
      <c r="O10" s="41">
        <f>SUM(O11,O16,O30,O31,O33,O34,O32,O35)</f>
        <v>10277325</v>
      </c>
      <c r="P10" s="41">
        <f>SUM(P11,P16,P30,P31,P33,P34,P32,P35)</f>
        <v>11982937</v>
      </c>
      <c r="Q10" s="41">
        <f>L10+M10+N10+O10+P10</f>
        <v>51446233.801075004</v>
      </c>
      <c r="R10" s="985"/>
      <c r="S10" s="985">
        <f>Q10/$Q$10</f>
        <v>1</v>
      </c>
      <c r="T10" s="985">
        <f t="shared" ref="T10:T30" si="4">Q10/I10-1</f>
        <v>0.53685911675950893</v>
      </c>
      <c r="U10" s="41">
        <f>SUM(U11,U16,U30,U31,U33,U34,U32,U35)</f>
        <v>12692115</v>
      </c>
      <c r="V10" s="41">
        <f>SUM(V11,V16,V30,V31,V33,V34,V32,V35)</f>
        <v>13491594</v>
      </c>
      <c r="W10" s="41">
        <f>SUM(W11,W16,W30,W31,W33,W34,W32,W35)</f>
        <v>14233249</v>
      </c>
      <c r="X10" s="41">
        <f>SUM(X11,X16,X30,X31,X33,X34,X32,X35)</f>
        <v>14860439</v>
      </c>
      <c r="Y10" s="41">
        <f>SUM(Y11,Y16,Y30,Y31,Y33,Y34,Y32,Y35)</f>
        <v>15536999</v>
      </c>
      <c r="Z10" s="41">
        <f>SUM(U10:Y10)</f>
        <v>70814396</v>
      </c>
      <c r="AA10" s="985"/>
      <c r="AB10" s="985">
        <f>Z10/$Z$10</f>
        <v>1</v>
      </c>
      <c r="AC10" s="985">
        <f>+Z10/Q10-1</f>
        <v>0.37647385956015866</v>
      </c>
    </row>
    <row r="11" spans="1:99" x14ac:dyDescent="0.25">
      <c r="A11" s="1097" t="s">
        <v>409</v>
      </c>
      <c r="B11" s="1112" t="s">
        <v>431</v>
      </c>
      <c r="C11" s="26">
        <f>SUM(C12:C15)</f>
        <v>881389.27447200008</v>
      </c>
      <c r="D11" s="26">
        <f>SUM(D12:D15)</f>
        <v>1296865.3711568909</v>
      </c>
      <c r="E11" s="26">
        <f>SUM(E12:E15)</f>
        <v>1283487.4238549999</v>
      </c>
      <c r="F11" s="26">
        <f>SUM(F12:F15)</f>
        <v>1221622.2457999999</v>
      </c>
      <c r="G11" s="26">
        <f>SUM(G12:G15)</f>
        <v>1952654.9714940002</v>
      </c>
      <c r="H11" s="26">
        <f t="shared" ref="H11:N11" si="5">SUM(H12:H15)</f>
        <v>1868861</v>
      </c>
      <c r="I11" s="26">
        <f>SUM(D11:H11)</f>
        <v>7623491.0123058911</v>
      </c>
      <c r="J11" s="822"/>
      <c r="K11" s="822">
        <f>I11/$I$10</f>
        <v>0.22773740268528009</v>
      </c>
      <c r="L11" s="26">
        <f t="shared" si="5"/>
        <v>2029265</v>
      </c>
      <c r="M11" s="26">
        <f t="shared" si="5"/>
        <v>1800118</v>
      </c>
      <c r="N11" s="26">
        <f t="shared" si="5"/>
        <v>2605155</v>
      </c>
      <c r="O11" s="26">
        <f>SUM(O12:O15)</f>
        <v>1880652</v>
      </c>
      <c r="P11" s="26">
        <f>SUM(P12:P15)</f>
        <v>3182962</v>
      </c>
      <c r="Q11" s="26">
        <f t="shared" ref="Q11:Q42" si="6">L11+M11+N11+O11+P11</f>
        <v>11498152</v>
      </c>
      <c r="R11" s="822"/>
      <c r="S11" s="822">
        <f>Q11/$Q$10</f>
        <v>0.22349842059302966</v>
      </c>
      <c r="T11" s="822">
        <f t="shared" si="4"/>
        <v>0.50825284393194736</v>
      </c>
      <c r="U11" s="26">
        <f>SUM(U12:U15)</f>
        <v>3381485</v>
      </c>
      <c r="V11" s="26">
        <f>SUM(V12:V15)</f>
        <v>3545000</v>
      </c>
      <c r="W11" s="26">
        <f>SUM(W12:W15)</f>
        <v>3656000</v>
      </c>
      <c r="X11" s="26">
        <f>SUM(X12:X15)</f>
        <v>3719190</v>
      </c>
      <c r="Y11" s="26">
        <f>SUM(Y12:Y15)</f>
        <v>3787000</v>
      </c>
      <c r="Z11" s="26">
        <f>SUM(U11:Y11)</f>
        <v>18088675</v>
      </c>
      <c r="AA11" s="822"/>
      <c r="AB11" s="822">
        <f t="shared" ref="AB11:AB35" si="7">Z11/$Z$10</f>
        <v>0.25543782086343009</v>
      </c>
      <c r="AC11" s="822">
        <f>+Z11/Q11-1</f>
        <v>0.57318106422666881</v>
      </c>
    </row>
    <row r="12" spans="1:99" x14ac:dyDescent="0.25">
      <c r="A12" s="257">
        <v>1</v>
      </c>
      <c r="B12" s="252" t="s">
        <v>390</v>
      </c>
      <c r="C12" s="208">
        <v>249673.54338399999</v>
      </c>
      <c r="D12" s="208">
        <v>478645.8879538909</v>
      </c>
      <c r="E12" s="208">
        <v>473880.659055</v>
      </c>
      <c r="F12" s="208">
        <v>347996.01699999999</v>
      </c>
      <c r="G12" s="208">
        <v>453930.929489</v>
      </c>
      <c r="H12" s="208">
        <v>494263</v>
      </c>
      <c r="I12" s="208">
        <f t="shared" ref="I12:I40" si="8">SUM(D12:H12)</f>
        <v>2248716.4934978909</v>
      </c>
      <c r="J12" s="992"/>
      <c r="K12" s="992">
        <f>I12/$I$10</f>
        <v>6.7176160210341646E-2</v>
      </c>
      <c r="L12" s="208">
        <v>755259</v>
      </c>
      <c r="M12" s="208">
        <v>553506</v>
      </c>
      <c r="N12" s="208">
        <v>1113443</v>
      </c>
      <c r="O12" s="208">
        <v>435314</v>
      </c>
      <c r="P12" s="208">
        <f>'Phụ lục số 2'!F14</f>
        <v>1131485</v>
      </c>
      <c r="Q12" s="208">
        <f t="shared" si="6"/>
        <v>3989007</v>
      </c>
      <c r="R12" s="992"/>
      <c r="S12" s="992">
        <f t="shared" ref="S12:S35" si="9">Q12/$Q$10</f>
        <v>7.7537395942803636E-2</v>
      </c>
      <c r="T12" s="992">
        <f>Q12/I12-1</f>
        <v>0.77390391876171005</v>
      </c>
      <c r="U12" s="208">
        <f>'Phụ lục số 2'!K14</f>
        <v>1131485</v>
      </c>
      <c r="V12" s="208">
        <f>'Phụ lục số 2'!P14</f>
        <v>1195000</v>
      </c>
      <c r="W12" s="208">
        <f>'Phụ lục số 2'!U14</f>
        <v>1256000</v>
      </c>
      <c r="X12" s="208">
        <f>'Phụ lục số 2'!Z14</f>
        <v>1319190</v>
      </c>
      <c r="Y12" s="208">
        <f>'Phụ lục số 2'!AE14</f>
        <v>1387000</v>
      </c>
      <c r="Z12" s="208">
        <f>SUM(U12:Y12)</f>
        <v>6288675</v>
      </c>
      <c r="AA12" s="992"/>
      <c r="AB12" s="992">
        <f t="shared" si="7"/>
        <v>8.8805036196312401E-2</v>
      </c>
      <c r="AC12" s="992">
        <f>+Z12/Q12-1</f>
        <v>0.57650136988979961</v>
      </c>
    </row>
    <row r="13" spans="1:99" x14ac:dyDescent="0.25">
      <c r="A13" s="257">
        <v>2</v>
      </c>
      <c r="B13" s="252" t="s">
        <v>479</v>
      </c>
      <c r="C13" s="208">
        <v>282628.00725800003</v>
      </c>
      <c r="D13" s="208">
        <v>262379.85220299999</v>
      </c>
      <c r="E13" s="208">
        <v>291839.82780000003</v>
      </c>
      <c r="F13" s="208">
        <v>303789.2758</v>
      </c>
      <c r="G13" s="208">
        <v>355825.039116</v>
      </c>
      <c r="H13" s="208">
        <v>317091</v>
      </c>
      <c r="I13" s="208">
        <f t="shared" si="8"/>
        <v>1530924.994919</v>
      </c>
      <c r="J13" s="992"/>
      <c r="K13" s="992">
        <f>I13/$I$10</f>
        <v>4.5733494207055178E-2</v>
      </c>
      <c r="L13" s="208">
        <v>333567</v>
      </c>
      <c r="M13" s="208">
        <v>351441</v>
      </c>
      <c r="N13" s="208">
        <v>281847</v>
      </c>
      <c r="O13" s="208">
        <v>323534</v>
      </c>
      <c r="P13" s="208">
        <f>'Phụ lục số 2'!F15</f>
        <v>560182</v>
      </c>
      <c r="Q13" s="208">
        <f t="shared" si="6"/>
        <v>1850571</v>
      </c>
      <c r="R13" s="992"/>
      <c r="S13" s="992">
        <f t="shared" si="9"/>
        <v>3.5970971308716695E-2</v>
      </c>
      <c r="T13" s="992">
        <f t="shared" si="4"/>
        <v>0.20879272736540067</v>
      </c>
      <c r="U13" s="208">
        <f>'Phụ lục số 2'!K15</f>
        <v>750000</v>
      </c>
      <c r="V13" s="208">
        <f>'Phụ lục số 2'!P15</f>
        <v>800000</v>
      </c>
      <c r="W13" s="208">
        <f>'Phụ lục số 2'!U15</f>
        <v>800000</v>
      </c>
      <c r="X13" s="208">
        <f>'Phụ lục số 2'!Z15</f>
        <v>800000</v>
      </c>
      <c r="Y13" s="208">
        <f>'Phụ lục số 2'!AE15</f>
        <v>800000</v>
      </c>
      <c r="Z13" s="208">
        <f>SUM(U13:Y13)</f>
        <v>3950000</v>
      </c>
      <c r="AA13" s="992"/>
      <c r="AB13" s="992">
        <f t="shared" si="7"/>
        <v>5.5779618596196172E-2</v>
      </c>
      <c r="AC13" s="992">
        <f>+Z13/Q13-1</f>
        <v>1.1344763318997217</v>
      </c>
    </row>
    <row r="14" spans="1:99" x14ac:dyDescent="0.25">
      <c r="A14" s="257">
        <v>3</v>
      </c>
      <c r="B14" s="252" t="s">
        <v>30</v>
      </c>
      <c r="C14" s="208">
        <v>349087.72382999997</v>
      </c>
      <c r="D14" s="208">
        <v>555839.63100000005</v>
      </c>
      <c r="E14" s="208">
        <v>517766.93699999998</v>
      </c>
      <c r="F14" s="208">
        <v>569836.95299999998</v>
      </c>
      <c r="G14" s="208">
        <v>1142899.0028890001</v>
      </c>
      <c r="H14" s="208">
        <v>1057507</v>
      </c>
      <c r="I14" s="208">
        <f t="shared" si="8"/>
        <v>3843849.5238890001</v>
      </c>
      <c r="J14" s="992"/>
      <c r="K14" s="992">
        <f>I14/$I$10</f>
        <v>0.11482774826788325</v>
      </c>
      <c r="L14" s="208">
        <v>940439</v>
      </c>
      <c r="M14" s="208">
        <v>895171</v>
      </c>
      <c r="N14" s="208">
        <v>1209865</v>
      </c>
      <c r="O14" s="208">
        <v>1121804</v>
      </c>
      <c r="P14" s="208">
        <f>'Phụ lục số 2'!F16</f>
        <v>1491295</v>
      </c>
      <c r="Q14" s="208">
        <f t="shared" si="6"/>
        <v>5658574</v>
      </c>
      <c r="R14" s="992"/>
      <c r="S14" s="992">
        <f t="shared" si="9"/>
        <v>0.10999005334150933</v>
      </c>
      <c r="T14" s="992">
        <f t="shared" si="4"/>
        <v>0.47211121684986246</v>
      </c>
      <c r="U14" s="208">
        <f>'Phụ lục số 2'!K16</f>
        <v>1500000</v>
      </c>
      <c r="V14" s="208">
        <f>'Phụ lục số 2'!P16</f>
        <v>1550000</v>
      </c>
      <c r="W14" s="208">
        <f>'Phụ lục số 2'!U16</f>
        <v>1600000</v>
      </c>
      <c r="X14" s="208">
        <f>'Phụ lục số 2'!Z16</f>
        <v>1600000</v>
      </c>
      <c r="Y14" s="208">
        <f>'Phụ lục số 2'!AE16</f>
        <v>1600000</v>
      </c>
      <c r="Z14" s="208">
        <f t="shared" ref="Z14:Z35" si="10">SUM(U14:Y14)</f>
        <v>7850000</v>
      </c>
      <c r="AA14" s="992"/>
      <c r="AB14" s="992">
        <f t="shared" si="7"/>
        <v>0.11085316607092151</v>
      </c>
      <c r="AC14" s="992">
        <f>+Z14/Q14-1</f>
        <v>0.38727530999859683</v>
      </c>
    </row>
    <row r="15" spans="1:99" ht="31.5" hidden="1" x14ac:dyDescent="0.25">
      <c r="A15" s="257">
        <v>4</v>
      </c>
      <c r="B15" s="252" t="s">
        <v>1037</v>
      </c>
      <c r="C15" s="208"/>
      <c r="D15" s="208"/>
      <c r="E15" s="208"/>
      <c r="F15" s="208"/>
      <c r="G15" s="208"/>
      <c r="H15" s="208"/>
      <c r="I15" s="208"/>
      <c r="J15" s="992"/>
      <c r="K15" s="992"/>
      <c r="L15" s="208"/>
      <c r="M15" s="208"/>
      <c r="N15" s="208"/>
      <c r="O15" s="208">
        <f>'Phụ lục số 2'!F17</f>
        <v>0</v>
      </c>
      <c r="P15" s="208">
        <f>'Phụ lục số 2'!F17</f>
        <v>0</v>
      </c>
      <c r="Q15" s="208">
        <f t="shared" si="6"/>
        <v>0</v>
      </c>
      <c r="R15" s="992"/>
      <c r="S15" s="992"/>
      <c r="T15" s="992"/>
      <c r="U15" s="208">
        <f>'Phụ lục số 2'!K17</f>
        <v>0</v>
      </c>
      <c r="V15" s="208">
        <f>'Phụ lục số 2'!P17</f>
        <v>0</v>
      </c>
      <c r="W15" s="208">
        <f>'Phụ lục số 2'!U17</f>
        <v>0</v>
      </c>
      <c r="X15" s="208">
        <f>'Phụ lục số 2'!Z17</f>
        <v>0</v>
      </c>
      <c r="Y15" s="208">
        <f>'Phụ lục số 2'!AE17</f>
        <v>0</v>
      </c>
      <c r="Z15" s="208">
        <f t="shared" si="10"/>
        <v>0</v>
      </c>
      <c r="AA15" s="992"/>
      <c r="AB15" s="992"/>
      <c r="AC15" s="992"/>
    </row>
    <row r="16" spans="1:99" s="11" customFormat="1" x14ac:dyDescent="0.25">
      <c r="A16" s="1097" t="s">
        <v>421</v>
      </c>
      <c r="B16" s="1112" t="s">
        <v>433</v>
      </c>
      <c r="C16" s="26">
        <f>SUM(C17,C18,C19,C20)</f>
        <v>2567842.2054460002</v>
      </c>
      <c r="D16" s="26">
        <f>SUM(D17,D18,D19,D20)</f>
        <v>3701157.4722469999</v>
      </c>
      <c r="E16" s="26">
        <f>SUM(E17,E18,E19,E20)</f>
        <v>4705316.1468850002</v>
      </c>
      <c r="F16" s="26">
        <f>SUM(F17,F18,F19,F20)</f>
        <v>5327585.1827680003</v>
      </c>
      <c r="G16" s="26">
        <f>SUM(G17,G18,G19,G20)</f>
        <v>5673802.5993690006</v>
      </c>
      <c r="H16" s="26">
        <f t="shared" ref="H16:N16" si="11">SUM(H17,H18,H19,H20)</f>
        <v>5943201.1655269992</v>
      </c>
      <c r="I16" s="26">
        <f t="shared" si="8"/>
        <v>25351062.566796005</v>
      </c>
      <c r="J16" s="822"/>
      <c r="K16" s="822">
        <f t="shared" ref="K16:K30" si="12">I16/$I$10</f>
        <v>0.7573151375078313</v>
      </c>
      <c r="L16" s="26">
        <f t="shared" si="11"/>
        <v>6231312.6461589998</v>
      </c>
      <c r="M16" s="26">
        <f t="shared" si="11"/>
        <v>7010541.32228</v>
      </c>
      <c r="N16" s="26">
        <f t="shared" si="11"/>
        <v>7541051.8326360006</v>
      </c>
      <c r="O16" s="26">
        <f>SUM(O17,O18,O19,O20)</f>
        <v>8394673</v>
      </c>
      <c r="P16" s="26">
        <f>SUM(P17,P18,P19,P20)</f>
        <v>8607804</v>
      </c>
      <c r="Q16" s="26">
        <f t="shared" si="6"/>
        <v>37785382.801074997</v>
      </c>
      <c r="R16" s="822"/>
      <c r="S16" s="822">
        <f>Q16/$Q$10</f>
        <v>0.73446353618766635</v>
      </c>
      <c r="T16" s="822">
        <f t="shared" si="4"/>
        <v>0.49048517006009273</v>
      </c>
      <c r="U16" s="26">
        <f>SUM(U17,U18,U19,U20)</f>
        <v>8465821</v>
      </c>
      <c r="V16" s="26">
        <f>SUM(V17,V18,V19,V20)</f>
        <v>8975000</v>
      </c>
      <c r="W16" s="26">
        <f>SUM(W17,W18,W19,W20)</f>
        <v>9473000</v>
      </c>
      <c r="X16" s="26">
        <f>SUM(X17,X18,X19,X20)</f>
        <v>10000000</v>
      </c>
      <c r="Y16" s="26">
        <f>SUM(Y17,Y18,Y19,Y20)</f>
        <v>10563000</v>
      </c>
      <c r="Z16" s="26">
        <f t="shared" si="10"/>
        <v>47476821</v>
      </c>
      <c r="AA16" s="822"/>
      <c r="AB16" s="822">
        <f t="shared" si="7"/>
        <v>0.67044024494680432</v>
      </c>
      <c r="AC16" s="822">
        <f t="shared" ref="AC16:AC30" si="13">+Z16/Q16-1</f>
        <v>0.25648643683052175</v>
      </c>
    </row>
    <row r="17" spans="1:29" s="11" customFormat="1" ht="31.5" x14ac:dyDescent="0.25">
      <c r="A17" s="1097">
        <v>1</v>
      </c>
      <c r="B17" s="1112" t="s">
        <v>394</v>
      </c>
      <c r="C17" s="26">
        <v>1195670.773844</v>
      </c>
      <c r="D17" s="26">
        <v>1428490.927049</v>
      </c>
      <c r="E17" s="26">
        <v>1957330.7359720001</v>
      </c>
      <c r="F17" s="26">
        <v>2188274.0349940001</v>
      </c>
      <c r="G17" s="26">
        <v>2397442.1445920002</v>
      </c>
      <c r="H17" s="26">
        <v>2477605.390437</v>
      </c>
      <c r="I17" s="26">
        <f t="shared" si="8"/>
        <v>10449143.233044</v>
      </c>
      <c r="J17" s="822"/>
      <c r="K17" s="822">
        <f t="shared" si="12"/>
        <v>0.31214842863179698</v>
      </c>
      <c r="L17" s="26">
        <v>2573258.7171829999</v>
      </c>
      <c r="M17" s="26">
        <v>2856667.320301</v>
      </c>
      <c r="N17" s="26">
        <v>3044195.1281700004</v>
      </c>
      <c r="O17" s="26">
        <v>3320884</v>
      </c>
      <c r="P17" s="26">
        <f>'Phụ lục số 2'!F23</f>
        <v>3653123</v>
      </c>
      <c r="Q17" s="26">
        <f t="shared" si="6"/>
        <v>15448128.165654</v>
      </c>
      <c r="R17" s="822"/>
      <c r="S17" s="822">
        <f t="shared" si="9"/>
        <v>0.30027714420042156</v>
      </c>
      <c r="T17" s="822">
        <f t="shared" si="4"/>
        <v>0.47841098749621747</v>
      </c>
      <c r="U17" s="26">
        <f>'Phụ lục số 2'!K23</f>
        <v>3653191</v>
      </c>
      <c r="V17" s="26">
        <f>'Phụ lục số 2'!P23</f>
        <v>3882000</v>
      </c>
      <c r="W17" s="26">
        <f>'Phụ lục số 2'!U23</f>
        <v>4109000</v>
      </c>
      <c r="X17" s="26">
        <f>'Phụ lục số 2'!Z23</f>
        <v>4350000</v>
      </c>
      <c r="Y17" s="26">
        <f>'Phụ lục số 2'!AE23</f>
        <v>4609000</v>
      </c>
      <c r="Z17" s="26">
        <f t="shared" si="10"/>
        <v>20603191</v>
      </c>
      <c r="AA17" s="822"/>
      <c r="AB17" s="822">
        <f t="shared" si="7"/>
        <v>0.29094636350495739</v>
      </c>
      <c r="AC17" s="822">
        <f t="shared" si="13"/>
        <v>0.3337014542517398</v>
      </c>
    </row>
    <row r="18" spans="1:29" s="11" customFormat="1" x14ac:dyDescent="0.25">
      <c r="A18" s="1097">
        <v>2</v>
      </c>
      <c r="B18" s="1112" t="s">
        <v>528</v>
      </c>
      <c r="C18" s="26">
        <v>10103.887626</v>
      </c>
      <c r="D18" s="26">
        <v>16708.203065999998</v>
      </c>
      <c r="E18" s="26">
        <v>13732.921410000001</v>
      </c>
      <c r="F18" s="26">
        <v>21991.801834000002</v>
      </c>
      <c r="G18" s="26">
        <v>21685.136095999998</v>
      </c>
      <c r="H18" s="26">
        <v>19615.733521999999</v>
      </c>
      <c r="I18" s="26">
        <f t="shared" si="8"/>
        <v>93733.795927999992</v>
      </c>
      <c r="J18" s="822"/>
      <c r="K18" s="822">
        <f t="shared" si="12"/>
        <v>2.8001202066109641E-3</v>
      </c>
      <c r="L18" s="26">
        <v>17427.107277999999</v>
      </c>
      <c r="M18" s="26">
        <v>20608.003771</v>
      </c>
      <c r="N18" s="26">
        <v>18902.695590000003</v>
      </c>
      <c r="O18" s="26">
        <v>21132</v>
      </c>
      <c r="P18" s="26">
        <f>'Phụ lục số 2'!F22</f>
        <v>31000</v>
      </c>
      <c r="Q18" s="26">
        <f t="shared" si="6"/>
        <v>109069.806639</v>
      </c>
      <c r="R18" s="822"/>
      <c r="S18" s="822">
        <f t="shared" si="9"/>
        <v>2.1200736882069082E-3</v>
      </c>
      <c r="T18" s="822">
        <f t="shared" si="4"/>
        <v>0.16361239357872703</v>
      </c>
      <c r="U18" s="26">
        <f>'Phụ lục số 2'!K22</f>
        <v>31000</v>
      </c>
      <c r="V18" s="26">
        <f>'Phụ lục số 2'!P22</f>
        <v>32000</v>
      </c>
      <c r="W18" s="26">
        <f>'Phụ lục số 2'!U22</f>
        <v>33000</v>
      </c>
      <c r="X18" s="26">
        <f>'Phụ lục số 2'!Z22</f>
        <v>34000</v>
      </c>
      <c r="Y18" s="26">
        <f>'Phụ lục số 2'!AE22</f>
        <v>35000</v>
      </c>
      <c r="Z18" s="26">
        <f t="shared" si="10"/>
        <v>165000</v>
      </c>
      <c r="AA18" s="822"/>
      <c r="AB18" s="822">
        <f t="shared" si="7"/>
        <v>2.3300347008537643E-3</v>
      </c>
      <c r="AC18" s="822">
        <f t="shared" si="13"/>
        <v>0.51279263330976765</v>
      </c>
    </row>
    <row r="19" spans="1:29" s="11" customFormat="1" x14ac:dyDescent="0.25">
      <c r="A19" s="1097">
        <v>3</v>
      </c>
      <c r="B19" s="1112" t="s">
        <v>502</v>
      </c>
      <c r="C19" s="26">
        <v>34249.1469</v>
      </c>
      <c r="D19" s="26">
        <v>55015.130089999999</v>
      </c>
      <c r="E19" s="26">
        <v>58794.641531000001</v>
      </c>
      <c r="F19" s="26">
        <v>63064.983071000002</v>
      </c>
      <c r="G19" s="26">
        <v>73254.026125999997</v>
      </c>
      <c r="H19" s="26">
        <v>66554.003003000005</v>
      </c>
      <c r="I19" s="26">
        <f t="shared" si="8"/>
        <v>316682.78382099996</v>
      </c>
      <c r="J19" s="822"/>
      <c r="K19" s="822">
        <f t="shared" si="12"/>
        <v>9.460300346143407E-3</v>
      </c>
      <c r="L19" s="26">
        <v>69874.356060000006</v>
      </c>
      <c r="M19" s="26">
        <v>114730.499979</v>
      </c>
      <c r="N19" s="26">
        <v>174534.90139499999</v>
      </c>
      <c r="O19" s="26">
        <v>143120</v>
      </c>
      <c r="P19" s="26">
        <f>'Phụ lục số 2'!F20</f>
        <v>143469</v>
      </c>
      <c r="Q19" s="26">
        <f t="shared" si="6"/>
        <v>645728.75743400003</v>
      </c>
      <c r="R19" s="822"/>
      <c r="S19" s="822">
        <f t="shared" si="9"/>
        <v>1.255152631640272E-2</v>
      </c>
      <c r="T19" s="822">
        <f t="shared" si="4"/>
        <v>1.0390396650011393</v>
      </c>
      <c r="U19" s="26">
        <f>'Phụ lục số 2'!K20</f>
        <v>143470</v>
      </c>
      <c r="V19" s="26">
        <f>'Phụ lục số 2'!P20</f>
        <v>152000</v>
      </c>
      <c r="W19" s="26">
        <f>'Phụ lục số 2'!U20</f>
        <v>160000</v>
      </c>
      <c r="X19" s="26">
        <f>'Phụ lục số 2'!Z20</f>
        <v>169000</v>
      </c>
      <c r="Y19" s="26">
        <f>'Phụ lục số 2'!AE20</f>
        <v>178000</v>
      </c>
      <c r="Z19" s="26">
        <f t="shared" si="10"/>
        <v>802470</v>
      </c>
      <c r="AA19" s="822"/>
      <c r="AB19" s="822">
        <f>Z19/$Z$10</f>
        <v>1.1332017856934062E-2</v>
      </c>
      <c r="AC19" s="822">
        <f t="shared" si="13"/>
        <v>0.2427354222055389</v>
      </c>
    </row>
    <row r="20" spans="1:29" s="11" customFormat="1" x14ac:dyDescent="0.25">
      <c r="A20" s="1097">
        <v>4</v>
      </c>
      <c r="B20" s="1112" t="s">
        <v>364</v>
      </c>
      <c r="C20" s="26">
        <f>SUM(C21:C29)</f>
        <v>1327818.397076</v>
      </c>
      <c r="D20" s="26">
        <f>SUM(D21:D29)</f>
        <v>2200943.2120419997</v>
      </c>
      <c r="E20" s="26">
        <f>SUM(E21:E29)</f>
        <v>2675457.847972</v>
      </c>
      <c r="F20" s="26">
        <f>SUM(F21:F29)</f>
        <v>3054254.3628690001</v>
      </c>
      <c r="G20" s="26">
        <f>SUM(G21:G29)</f>
        <v>3181421.2925549997</v>
      </c>
      <c r="H20" s="26">
        <f t="shared" ref="H20:N20" si="14">SUM(H21:H29)</f>
        <v>3379426.0385650001</v>
      </c>
      <c r="I20" s="26">
        <f t="shared" si="8"/>
        <v>14491502.754003001</v>
      </c>
      <c r="J20" s="822"/>
      <c r="K20" s="822">
        <f t="shared" si="12"/>
        <v>0.43290628832327988</v>
      </c>
      <c r="L20" s="26">
        <f t="shared" si="14"/>
        <v>3570752.4656379996</v>
      </c>
      <c r="M20" s="26">
        <f t="shared" si="14"/>
        <v>4018535.4982289998</v>
      </c>
      <c r="N20" s="26">
        <f t="shared" si="14"/>
        <v>4303419.107481</v>
      </c>
      <c r="O20" s="26">
        <f>SUM(O21:O29)</f>
        <v>4909537</v>
      </c>
      <c r="P20" s="26">
        <f>SUM(P21:P29)</f>
        <v>4780212</v>
      </c>
      <c r="Q20" s="26">
        <f t="shared" si="6"/>
        <v>21582456.071348</v>
      </c>
      <c r="R20" s="822"/>
      <c r="S20" s="822">
        <f t="shared" si="9"/>
        <v>0.4195147919826353</v>
      </c>
      <c r="T20" s="822">
        <f t="shared" si="4"/>
        <v>0.4893180119215903</v>
      </c>
      <c r="U20" s="26">
        <f>SUM(U21:U29)</f>
        <v>4638160</v>
      </c>
      <c r="V20" s="26">
        <f>SUM(V21:V29)</f>
        <v>4909000</v>
      </c>
      <c r="W20" s="26">
        <f>SUM(W21:W29)</f>
        <v>5171000</v>
      </c>
      <c r="X20" s="26">
        <f>SUM(X21:X29)</f>
        <v>5447000</v>
      </c>
      <c r="Y20" s="26">
        <f>SUM(Y21:Y29)</f>
        <v>5741000</v>
      </c>
      <c r="Z20" s="26">
        <f t="shared" si="10"/>
        <v>25906160</v>
      </c>
      <c r="AA20" s="822"/>
      <c r="AB20" s="822">
        <f t="shared" si="7"/>
        <v>0.36583182888405913</v>
      </c>
      <c r="AC20" s="822">
        <f t="shared" si="13"/>
        <v>0.20033419340035064</v>
      </c>
    </row>
    <row r="21" spans="1:29" x14ac:dyDescent="0.25">
      <c r="A21" s="257" t="s">
        <v>564</v>
      </c>
      <c r="B21" s="252" t="s">
        <v>791</v>
      </c>
      <c r="C21" s="208">
        <v>203470.804259</v>
      </c>
      <c r="D21" s="208">
        <v>437527.82894199999</v>
      </c>
      <c r="E21" s="208">
        <v>556462.56830799999</v>
      </c>
      <c r="F21" s="208">
        <v>576982.66837099998</v>
      </c>
      <c r="G21" s="208">
        <v>616646.97566200001</v>
      </c>
      <c r="H21" s="208">
        <v>662261.89618699998</v>
      </c>
      <c r="I21" s="208">
        <f>SUM(D21:H21)</f>
        <v>2849881.9374699998</v>
      </c>
      <c r="J21" s="992"/>
      <c r="K21" s="992">
        <f t="shared" si="12"/>
        <v>8.5134842994036647E-2</v>
      </c>
      <c r="L21" s="208">
        <v>698207.90548199997</v>
      </c>
      <c r="M21" s="208">
        <v>712910.13209700002</v>
      </c>
      <c r="N21" s="208">
        <v>722455.72826600005</v>
      </c>
      <c r="O21" s="208">
        <v>780602</v>
      </c>
      <c r="P21" s="208">
        <f>'Phụ lục số 2'!F24</f>
        <v>764071</v>
      </c>
      <c r="Q21" s="208">
        <f t="shared" si="6"/>
        <v>3678246.7658449998</v>
      </c>
      <c r="R21" s="992"/>
      <c r="S21" s="992">
        <f t="shared" si="9"/>
        <v>7.1496910348530521E-2</v>
      </c>
      <c r="T21" s="992">
        <f t="shared" si="4"/>
        <v>0.2906663667304008</v>
      </c>
      <c r="U21" s="208">
        <f>'Phụ lục số 2'!K24</f>
        <v>770000</v>
      </c>
      <c r="V21" s="208">
        <f>'Phụ lục số 2'!P24</f>
        <v>807000</v>
      </c>
      <c r="W21" s="208">
        <f>'Phụ lục số 2'!U24</f>
        <v>840000</v>
      </c>
      <c r="X21" s="208">
        <f>'Phụ lục số 2'!Z24</f>
        <v>874000</v>
      </c>
      <c r="Y21" s="208">
        <f>'Phụ lục số 2'!AE24</f>
        <v>909000</v>
      </c>
      <c r="Z21" s="208">
        <f t="shared" si="10"/>
        <v>4200000</v>
      </c>
      <c r="AA21" s="992"/>
      <c r="AB21" s="992">
        <f t="shared" si="7"/>
        <v>5.9309974203550365E-2</v>
      </c>
      <c r="AC21" s="992">
        <f t="shared" si="13"/>
        <v>0.14184834987141981</v>
      </c>
    </row>
    <row r="22" spans="1:29" x14ac:dyDescent="0.25">
      <c r="A22" s="257" t="s">
        <v>564</v>
      </c>
      <c r="B22" s="252" t="s">
        <v>285</v>
      </c>
      <c r="C22" s="208">
        <v>154262.51921500001</v>
      </c>
      <c r="D22" s="208">
        <v>490696.08976399997</v>
      </c>
      <c r="E22" s="208">
        <v>548010.31741000002</v>
      </c>
      <c r="F22" s="208">
        <v>764485.16498500004</v>
      </c>
      <c r="G22" s="208">
        <v>783114.82380200003</v>
      </c>
      <c r="H22" s="208">
        <v>796081.78902999999</v>
      </c>
      <c r="I22" s="208">
        <f t="shared" si="8"/>
        <v>3382388.1849910002</v>
      </c>
      <c r="J22" s="992"/>
      <c r="K22" s="992">
        <f t="shared" si="12"/>
        <v>0.10104246189571307</v>
      </c>
      <c r="L22" s="208">
        <v>765575.05895500001</v>
      </c>
      <c r="M22" s="208">
        <v>975931.92331099999</v>
      </c>
      <c r="N22" s="208">
        <v>1107514.761126</v>
      </c>
      <c r="O22" s="208">
        <v>1591367</v>
      </c>
      <c r="P22" s="208">
        <f>'Phụ lục số 2'!F19</f>
        <v>1582205</v>
      </c>
      <c r="Q22" s="208">
        <f t="shared" si="6"/>
        <v>6022593.743392</v>
      </c>
      <c r="R22" s="992"/>
      <c r="S22" s="992">
        <f t="shared" si="9"/>
        <v>0.11706578496453814</v>
      </c>
      <c r="T22" s="992">
        <f t="shared" si="4"/>
        <v>0.78057437940347607</v>
      </c>
      <c r="U22" s="208">
        <f>'Phụ lục số 2'!K19</f>
        <v>1604001</v>
      </c>
      <c r="V22" s="208">
        <f>'Phụ lục số 2'!P19</f>
        <v>1702000</v>
      </c>
      <c r="W22" s="208">
        <f>'Phụ lục số 2'!U19</f>
        <v>1797000</v>
      </c>
      <c r="X22" s="208">
        <f>'Phụ lục số 2'!Z19</f>
        <v>1899000</v>
      </c>
      <c r="Y22" s="208">
        <f>'Phụ lục số 2'!AE19</f>
        <v>2008000</v>
      </c>
      <c r="Z22" s="208">
        <f t="shared" si="10"/>
        <v>9010001</v>
      </c>
      <c r="AA22" s="992"/>
      <c r="AB22" s="992">
        <f t="shared" si="7"/>
        <v>0.12723403021046736</v>
      </c>
      <c r="AC22" s="992">
        <f t="shared" si="13"/>
        <v>0.49603333445590425</v>
      </c>
    </row>
    <row r="23" spans="1:29" x14ac:dyDescent="0.25">
      <c r="A23" s="257" t="s">
        <v>564</v>
      </c>
      <c r="B23" s="252" t="s">
        <v>1564</v>
      </c>
      <c r="C23" s="208">
        <v>43533.981120999997</v>
      </c>
      <c r="D23" s="208">
        <v>39757.294290999998</v>
      </c>
      <c r="E23" s="208">
        <v>52360.173611999999</v>
      </c>
      <c r="F23" s="208">
        <v>52303.291445000003</v>
      </c>
      <c r="G23" s="208">
        <v>63059.284599999999</v>
      </c>
      <c r="H23" s="208">
        <v>67830.687684999997</v>
      </c>
      <c r="I23" s="208">
        <f t="shared" si="8"/>
        <v>275310.73163300002</v>
      </c>
      <c r="J23" s="992"/>
      <c r="K23" s="992">
        <f t="shared" si="12"/>
        <v>8.2243883874559796E-3</v>
      </c>
      <c r="L23" s="208">
        <v>71963.686795999995</v>
      </c>
      <c r="M23" s="208">
        <v>82277.291335000002</v>
      </c>
      <c r="N23" s="208">
        <v>83162.060146000003</v>
      </c>
      <c r="O23" s="208">
        <v>83133</v>
      </c>
      <c r="P23" s="208">
        <f>'Phụ lục số 2'!F25</f>
        <v>77000</v>
      </c>
      <c r="Q23" s="208">
        <f t="shared" si="6"/>
        <v>397536.03827700001</v>
      </c>
      <c r="R23" s="992"/>
      <c r="S23" s="992">
        <f t="shared" si="9"/>
        <v>7.7272136151722197E-3</v>
      </c>
      <c r="T23" s="992">
        <f t="shared" si="4"/>
        <v>0.44395402212991497</v>
      </c>
      <c r="U23" s="208">
        <f>'Phụ lục số 2'!K25</f>
        <v>77733</v>
      </c>
      <c r="V23" s="208">
        <f>'Phụ lục số 2'!P25</f>
        <v>82000</v>
      </c>
      <c r="W23" s="208">
        <f>'Phụ lục số 2'!U25</f>
        <v>87000</v>
      </c>
      <c r="X23" s="208">
        <f>'Phụ lục số 2'!Z25</f>
        <v>92000</v>
      </c>
      <c r="Y23" s="208">
        <f>'Phụ lục số 2'!AE25</f>
        <v>97000</v>
      </c>
      <c r="Z23" s="208">
        <f t="shared" si="10"/>
        <v>435733</v>
      </c>
      <c r="AA23" s="992"/>
      <c r="AB23" s="992">
        <f t="shared" si="7"/>
        <v>6.1531697594370497E-3</v>
      </c>
      <c r="AC23" s="992">
        <f t="shared" si="13"/>
        <v>9.6084274242288048E-2</v>
      </c>
    </row>
    <row r="24" spans="1:29" x14ac:dyDescent="0.25">
      <c r="A24" s="257" t="s">
        <v>564</v>
      </c>
      <c r="B24" s="252" t="s">
        <v>792</v>
      </c>
      <c r="C24" s="208">
        <v>14485.369694999999</v>
      </c>
      <c r="D24" s="208">
        <v>13384.146613999999</v>
      </c>
      <c r="E24" s="208">
        <v>18335.384052000001</v>
      </c>
      <c r="F24" s="208">
        <v>21908.077399999998</v>
      </c>
      <c r="G24" s="208">
        <v>19416.014755</v>
      </c>
      <c r="H24" s="208">
        <v>20078.266750999999</v>
      </c>
      <c r="I24" s="208">
        <f t="shared" si="8"/>
        <v>93121.889572</v>
      </c>
      <c r="J24" s="992"/>
      <c r="K24" s="992">
        <f t="shared" si="12"/>
        <v>2.7818406593566806E-3</v>
      </c>
      <c r="L24" s="208">
        <v>20810.145353</v>
      </c>
      <c r="M24" s="208">
        <v>22929.685490999997</v>
      </c>
      <c r="N24" s="208">
        <v>21712.812980000002</v>
      </c>
      <c r="O24" s="208">
        <v>21575</v>
      </c>
      <c r="P24" s="208">
        <f>'Phụ lục số 2'!F26</f>
        <v>34956</v>
      </c>
      <c r="Q24" s="208">
        <f t="shared" si="6"/>
        <v>121983.643824</v>
      </c>
      <c r="R24" s="992"/>
      <c r="S24" s="992">
        <f t="shared" si="9"/>
        <v>2.3710898701675429E-3</v>
      </c>
      <c r="T24" s="992">
        <f t="shared" si="4"/>
        <v>0.30993522988689648</v>
      </c>
      <c r="U24" s="208">
        <f>'Phụ lục số 2'!K26</f>
        <v>36574</v>
      </c>
      <c r="V24" s="208">
        <f>'Phụ lục số 2'!P26</f>
        <v>39000</v>
      </c>
      <c r="W24" s="208">
        <f>'Phụ lục số 2'!U26</f>
        <v>41000</v>
      </c>
      <c r="X24" s="208">
        <f>'Phụ lục số 2'!Z26</f>
        <v>43000</v>
      </c>
      <c r="Y24" s="208">
        <f>'Phụ lục số 2'!AE26</f>
        <v>45000</v>
      </c>
      <c r="Z24" s="208">
        <f t="shared" si="10"/>
        <v>204574</v>
      </c>
      <c r="AA24" s="992"/>
      <c r="AB24" s="992">
        <f>Z24/$Z$10</f>
        <v>2.8888758720755029E-3</v>
      </c>
      <c r="AC24" s="992">
        <f t="shared" si="13"/>
        <v>0.67706090412549669</v>
      </c>
    </row>
    <row r="25" spans="1:29" x14ac:dyDescent="0.25">
      <c r="A25" s="257" t="s">
        <v>564</v>
      </c>
      <c r="B25" s="252" t="s">
        <v>793</v>
      </c>
      <c r="C25" s="208">
        <v>23029.594314000002</v>
      </c>
      <c r="D25" s="208">
        <v>31166.499995999999</v>
      </c>
      <c r="E25" s="208">
        <v>23136.025249999999</v>
      </c>
      <c r="F25" s="208">
        <v>29067.688738000001</v>
      </c>
      <c r="G25" s="208">
        <v>25959.988635000002</v>
      </c>
      <c r="H25" s="208">
        <v>29270.382845</v>
      </c>
      <c r="I25" s="208">
        <f t="shared" si="8"/>
        <v>138600.585464</v>
      </c>
      <c r="J25" s="992"/>
      <c r="K25" s="992">
        <f t="shared" si="12"/>
        <v>4.1404308463509508E-3</v>
      </c>
      <c r="L25" s="208">
        <v>25568.900889</v>
      </c>
      <c r="M25" s="208">
        <v>31644.635216999995</v>
      </c>
      <c r="N25" s="208">
        <v>33093.863715</v>
      </c>
      <c r="O25" s="208">
        <v>32699</v>
      </c>
      <c r="P25" s="208">
        <f>'Phụ lục số 2'!F27</f>
        <v>34000</v>
      </c>
      <c r="Q25" s="208">
        <f t="shared" si="6"/>
        <v>157006.399821</v>
      </c>
      <c r="R25" s="992"/>
      <c r="S25" s="992">
        <f t="shared" si="9"/>
        <v>3.0518541051632675E-3</v>
      </c>
      <c r="T25" s="992">
        <f t="shared" si="4"/>
        <v>0.13279752243024046</v>
      </c>
      <c r="U25" s="208">
        <f>'Phụ lục số 2'!K27</f>
        <v>34237</v>
      </c>
      <c r="V25" s="208">
        <f>'Phụ lục số 2'!P27</f>
        <v>36000</v>
      </c>
      <c r="W25" s="208">
        <f>'Phụ lục số 2'!U27</f>
        <v>38000</v>
      </c>
      <c r="X25" s="208">
        <f>'Phụ lục số 2'!Z27</f>
        <v>40000</v>
      </c>
      <c r="Y25" s="208">
        <f>'Phụ lục số 2'!AE27</f>
        <v>42000</v>
      </c>
      <c r="Z25" s="208">
        <f t="shared" si="10"/>
        <v>190237</v>
      </c>
      <c r="AA25" s="992"/>
      <c r="AB25" s="992">
        <f t="shared" si="7"/>
        <v>2.686417038704955E-3</v>
      </c>
      <c r="AC25" s="992">
        <f t="shared" si="13"/>
        <v>0.21165124617140174</v>
      </c>
    </row>
    <row r="26" spans="1:29" x14ac:dyDescent="0.25">
      <c r="A26" s="257" t="s">
        <v>564</v>
      </c>
      <c r="B26" s="252" t="s">
        <v>1565</v>
      </c>
      <c r="C26" s="208">
        <v>43901.085969</v>
      </c>
      <c r="D26" s="208">
        <v>218884.160164</v>
      </c>
      <c r="E26" s="208">
        <v>202429.24258699999</v>
      </c>
      <c r="F26" s="208">
        <v>246506.12884799999</v>
      </c>
      <c r="G26" s="208">
        <v>220529.87967299999</v>
      </c>
      <c r="H26" s="208">
        <v>268672.20944100001</v>
      </c>
      <c r="I26" s="208">
        <f t="shared" si="8"/>
        <v>1157021.620713</v>
      </c>
      <c r="J26" s="992"/>
      <c r="K26" s="992">
        <f t="shared" si="12"/>
        <v>3.4563836741796257E-2</v>
      </c>
      <c r="L26" s="208">
        <v>429583.572162</v>
      </c>
      <c r="M26" s="208">
        <v>427772.94375599996</v>
      </c>
      <c r="N26" s="208">
        <v>484349.07345999999</v>
      </c>
      <c r="O26" s="208">
        <v>412864</v>
      </c>
      <c r="P26" s="208">
        <f>'Phụ lục số 2'!F28</f>
        <v>653961</v>
      </c>
      <c r="Q26" s="208">
        <f t="shared" si="6"/>
        <v>2408530.5893779998</v>
      </c>
      <c r="R26" s="992"/>
      <c r="S26" s="992">
        <f t="shared" si="9"/>
        <v>4.6816460825703281E-2</v>
      </c>
      <c r="T26" s="992">
        <f t="shared" si="4"/>
        <v>1.0816642889471444</v>
      </c>
      <c r="U26" s="208">
        <f>'Phụ lục số 2'!K28</f>
        <v>427859</v>
      </c>
      <c r="V26" s="208">
        <f>'Phụ lục số 2'!P28</f>
        <v>455000</v>
      </c>
      <c r="W26" s="208">
        <f>'Phụ lục số 2'!U28</f>
        <v>482000</v>
      </c>
      <c r="X26" s="208">
        <f>'Phụ lục số 2'!Z28</f>
        <v>510000</v>
      </c>
      <c r="Y26" s="208">
        <f>'Phụ lục số 2'!AE28</f>
        <v>540000</v>
      </c>
      <c r="Z26" s="208">
        <f t="shared" si="10"/>
        <v>2414859</v>
      </c>
      <c r="AA26" s="992"/>
      <c r="AB26" s="992">
        <f t="shared" si="7"/>
        <v>3.4101244046478914E-2</v>
      </c>
      <c r="AC26" s="992">
        <f t="shared" si="13"/>
        <v>2.6274985461713918E-3</v>
      </c>
    </row>
    <row r="27" spans="1:29" x14ac:dyDescent="0.25">
      <c r="A27" s="257" t="s">
        <v>564</v>
      </c>
      <c r="B27" s="252" t="s">
        <v>794</v>
      </c>
      <c r="C27" s="208">
        <v>622912.42801599996</v>
      </c>
      <c r="D27" s="208">
        <v>717228.87336099998</v>
      </c>
      <c r="E27" s="208">
        <v>908800.16295799997</v>
      </c>
      <c r="F27" s="208">
        <v>916290.82646599994</v>
      </c>
      <c r="G27" s="208">
        <v>1102294.9754869998</v>
      </c>
      <c r="H27" s="208">
        <v>1151725.5044160001</v>
      </c>
      <c r="I27" s="208">
        <f t="shared" si="8"/>
        <v>4796340.3426879998</v>
      </c>
      <c r="J27" s="992"/>
      <c r="K27" s="992">
        <f t="shared" si="12"/>
        <v>0.14328161340718884</v>
      </c>
      <c r="L27" s="208">
        <v>1165502.862461</v>
      </c>
      <c r="M27" s="208">
        <v>1339203.8982509999</v>
      </c>
      <c r="N27" s="208">
        <v>1385398.590177</v>
      </c>
      <c r="O27" s="208">
        <v>1476156</v>
      </c>
      <c r="P27" s="208">
        <f>'Phụ lục số 2'!F29</f>
        <v>1344176</v>
      </c>
      <c r="Q27" s="208">
        <f t="shared" si="6"/>
        <v>6710437.3508889992</v>
      </c>
      <c r="R27" s="992"/>
      <c r="S27" s="992">
        <f t="shared" si="9"/>
        <v>0.13043593000093973</v>
      </c>
      <c r="T27" s="992">
        <f t="shared" si="4"/>
        <v>0.39907447583844458</v>
      </c>
      <c r="U27" s="208">
        <f>'Phụ lục số 2'!K29</f>
        <v>1351525</v>
      </c>
      <c r="V27" s="208">
        <f>'Phụ lục số 2'!P29</f>
        <v>1433000</v>
      </c>
      <c r="W27" s="208">
        <f>'Phụ lục số 2'!U29</f>
        <v>1513000</v>
      </c>
      <c r="X27" s="208">
        <f>'Phụ lục số 2'!Z29</f>
        <v>1598000</v>
      </c>
      <c r="Y27" s="208">
        <f>'Phụ lục số 2'!AE29</f>
        <v>1689000</v>
      </c>
      <c r="Z27" s="208">
        <f t="shared" si="10"/>
        <v>7584525</v>
      </c>
      <c r="AA27" s="992"/>
      <c r="AB27" s="992">
        <f t="shared" si="7"/>
        <v>0.10710428145147211</v>
      </c>
      <c r="AC27" s="992">
        <f t="shared" si="13"/>
        <v>0.13025792558739879</v>
      </c>
    </row>
    <row r="28" spans="1:29" x14ac:dyDescent="0.25">
      <c r="A28" s="257" t="s">
        <v>564</v>
      </c>
      <c r="B28" s="252" t="s">
        <v>795</v>
      </c>
      <c r="C28" s="208">
        <v>94193.786722000004</v>
      </c>
      <c r="D28" s="208">
        <v>152596.82905999999</v>
      </c>
      <c r="E28" s="208">
        <v>178848.46695199999</v>
      </c>
      <c r="F28" s="208">
        <v>238787.16765700001</v>
      </c>
      <c r="G28" s="208">
        <v>225609.581118</v>
      </c>
      <c r="H28" s="208">
        <v>248340.399725</v>
      </c>
      <c r="I28" s="208">
        <f t="shared" si="8"/>
        <v>1044182.444512</v>
      </c>
      <c r="J28" s="992"/>
      <c r="K28" s="992">
        <f t="shared" si="12"/>
        <v>3.1192979365866905E-2</v>
      </c>
      <c r="L28" s="208">
        <v>281758.40066300001</v>
      </c>
      <c r="M28" s="208">
        <v>323370.00026400003</v>
      </c>
      <c r="N28" s="208">
        <v>369167.60954500001</v>
      </c>
      <c r="O28" s="208">
        <v>398306</v>
      </c>
      <c r="P28" s="208">
        <f>'Phụ lục số 2'!F30</f>
        <v>227688</v>
      </c>
      <c r="Q28" s="208">
        <f t="shared" si="6"/>
        <v>1600290.0104720001</v>
      </c>
      <c r="R28" s="992"/>
      <c r="S28" s="992">
        <f t="shared" si="9"/>
        <v>3.1106067290752021E-2</v>
      </c>
      <c r="T28" s="992">
        <f t="shared" si="4"/>
        <v>0.53257701169252836</v>
      </c>
      <c r="U28" s="208">
        <f>'Phụ lục số 2'!K30</f>
        <v>271557</v>
      </c>
      <c r="V28" s="208">
        <f>'Phụ lục số 2'!P30</f>
        <v>287000</v>
      </c>
      <c r="W28" s="208">
        <f>'Phụ lục số 2'!U30</f>
        <v>302000</v>
      </c>
      <c r="X28" s="208">
        <f>'Phụ lục số 2'!Z30</f>
        <v>317000</v>
      </c>
      <c r="Y28" s="208">
        <f>'Phụ lục số 2'!AE30</f>
        <v>333000</v>
      </c>
      <c r="Z28" s="208">
        <f t="shared" si="10"/>
        <v>1510557</v>
      </c>
      <c r="AA28" s="992"/>
      <c r="AB28" s="992">
        <f t="shared" si="7"/>
        <v>2.1331213500712484E-2</v>
      </c>
      <c r="AC28" s="992">
        <f t="shared" si="13"/>
        <v>-5.6072967952561115E-2</v>
      </c>
    </row>
    <row r="29" spans="1:29" x14ac:dyDescent="0.25">
      <c r="A29" s="257" t="s">
        <v>564</v>
      </c>
      <c r="B29" s="252" t="s">
        <v>507</v>
      </c>
      <c r="C29" s="208">
        <v>128028.82776499999</v>
      </c>
      <c r="D29" s="208">
        <v>99701.489849999984</v>
      </c>
      <c r="E29" s="208">
        <v>187075.50684300001</v>
      </c>
      <c r="F29" s="208">
        <v>207923.348959</v>
      </c>
      <c r="G29" s="208">
        <v>124789.76882299999</v>
      </c>
      <c r="H29" s="208">
        <v>135164.902485</v>
      </c>
      <c r="I29" s="208">
        <f t="shared" si="8"/>
        <v>754655.01695999992</v>
      </c>
      <c r="J29" s="992"/>
      <c r="K29" s="992">
        <f t="shared" si="12"/>
        <v>2.2543894025514516E-2</v>
      </c>
      <c r="L29" s="208">
        <v>111781.932877</v>
      </c>
      <c r="M29" s="208">
        <v>102494.98850700002</v>
      </c>
      <c r="N29" s="208">
        <v>96564.608066000015</v>
      </c>
      <c r="O29" s="208">
        <v>112835</v>
      </c>
      <c r="P29" s="208">
        <f>'Phụ lục số 2'!F31</f>
        <v>62155</v>
      </c>
      <c r="Q29" s="208">
        <f t="shared" si="6"/>
        <v>485831.52945000003</v>
      </c>
      <c r="R29" s="992"/>
      <c r="S29" s="992">
        <f t="shared" si="9"/>
        <v>9.4434809616685336E-3</v>
      </c>
      <c r="T29" s="992">
        <f t="shared" si="4"/>
        <v>-0.35622036754345032</v>
      </c>
      <c r="U29" s="208">
        <f>'Phụ lục số 2'!K31</f>
        <v>64674</v>
      </c>
      <c r="V29" s="208">
        <f>'Phụ lục số 2'!P31</f>
        <v>68000</v>
      </c>
      <c r="W29" s="208">
        <f>'Phụ lục số 2'!U31</f>
        <v>71000</v>
      </c>
      <c r="X29" s="208">
        <f>'Phụ lục số 2'!Z31</f>
        <v>74000</v>
      </c>
      <c r="Y29" s="208">
        <f>'Phụ lục số 2'!AE31</f>
        <v>78000</v>
      </c>
      <c r="Z29" s="208">
        <f t="shared" si="10"/>
        <v>355674</v>
      </c>
      <c r="AA29" s="992"/>
      <c r="AB29" s="992">
        <f t="shared" si="7"/>
        <v>5.0226228011603742E-3</v>
      </c>
      <c r="AC29" s="992">
        <f t="shared" si="13"/>
        <v>-0.26790671572375868</v>
      </c>
    </row>
    <row r="30" spans="1:29" s="11" customFormat="1" x14ac:dyDescent="0.25">
      <c r="A30" s="1097" t="s">
        <v>449</v>
      </c>
      <c r="B30" s="1112" t="s">
        <v>465</v>
      </c>
      <c r="C30" s="26">
        <v>2000</v>
      </c>
      <c r="D30" s="26">
        <v>2000</v>
      </c>
      <c r="E30" s="26">
        <v>2000</v>
      </c>
      <c r="F30" s="26">
        <v>2000</v>
      </c>
      <c r="G30" s="26">
        <v>2000</v>
      </c>
      <c r="H30" s="26">
        <v>2000</v>
      </c>
      <c r="I30" s="26">
        <f t="shared" si="8"/>
        <v>10000</v>
      </c>
      <c r="J30" s="822"/>
      <c r="K30" s="822">
        <f t="shared" si="12"/>
        <v>2.9873112241841015E-4</v>
      </c>
      <c r="L30" s="26">
        <v>2000</v>
      </c>
      <c r="M30" s="26">
        <v>2000</v>
      </c>
      <c r="N30" s="26">
        <v>2000</v>
      </c>
      <c r="O30" s="26">
        <f>'Phụ lục số 2'!F32</f>
        <v>2000</v>
      </c>
      <c r="P30" s="26">
        <f>'Phụ lục số 2'!F32</f>
        <v>2000</v>
      </c>
      <c r="Q30" s="26">
        <f t="shared" si="6"/>
        <v>10000</v>
      </c>
      <c r="R30" s="822"/>
      <c r="S30" s="822">
        <f t="shared" si="9"/>
        <v>1.9437768833898669E-4</v>
      </c>
      <c r="T30" s="822">
        <f t="shared" si="4"/>
        <v>0</v>
      </c>
      <c r="U30" s="26">
        <f>'Phụ lục số 2'!K32</f>
        <v>2000</v>
      </c>
      <c r="V30" s="26">
        <f>'Phụ lục số 2'!P32</f>
        <v>2000</v>
      </c>
      <c r="W30" s="26">
        <f>'Phụ lục số 2'!U32</f>
        <v>2000</v>
      </c>
      <c r="X30" s="26">
        <f>'Phụ lục số 2'!Z32</f>
        <v>2000</v>
      </c>
      <c r="Y30" s="26">
        <f>'Phụ lục số 2'!AE32</f>
        <v>2000</v>
      </c>
      <c r="Z30" s="26">
        <f t="shared" si="10"/>
        <v>10000</v>
      </c>
      <c r="AA30" s="822"/>
      <c r="AB30" s="822">
        <f t="shared" si="7"/>
        <v>1.4121422429416754E-4</v>
      </c>
      <c r="AC30" s="822">
        <f t="shared" si="13"/>
        <v>0</v>
      </c>
    </row>
    <row r="31" spans="1:29" s="11" customFormat="1" x14ac:dyDescent="0.25">
      <c r="A31" s="1097" t="s">
        <v>450</v>
      </c>
      <c r="B31" s="1112" t="s">
        <v>487</v>
      </c>
      <c r="C31" s="26"/>
      <c r="D31" s="26"/>
      <c r="E31" s="26"/>
      <c r="F31" s="26"/>
      <c r="G31" s="26"/>
      <c r="H31" s="26"/>
      <c r="I31" s="26"/>
      <c r="J31" s="985"/>
      <c r="K31" s="985"/>
      <c r="L31" s="26"/>
      <c r="M31" s="26"/>
      <c r="N31" s="26"/>
      <c r="O31" s="26">
        <f>'Phụ lục số 2'!F33</f>
        <v>0</v>
      </c>
      <c r="P31" s="26">
        <f>'Phụ lục số 2'!F33</f>
        <v>0</v>
      </c>
      <c r="Q31" s="26">
        <f t="shared" si="6"/>
        <v>0</v>
      </c>
      <c r="R31" s="822"/>
      <c r="S31" s="822"/>
      <c r="T31" s="822"/>
      <c r="U31" s="26">
        <f>'Phụ lục số 2'!K33</f>
        <v>233960</v>
      </c>
      <c r="V31" s="26">
        <f>'Phụ lục số 2'!P33</f>
        <v>247000</v>
      </c>
      <c r="W31" s="26">
        <f>'Phụ lục số 2'!U33</f>
        <v>260000</v>
      </c>
      <c r="X31" s="26">
        <f>'Phụ lục số 2'!Z33</f>
        <v>273000</v>
      </c>
      <c r="Y31" s="26">
        <f>'Phụ lục số 2'!AE33</f>
        <v>288000</v>
      </c>
      <c r="Z31" s="26">
        <f t="shared" si="10"/>
        <v>1301960</v>
      </c>
      <c r="AA31" s="822"/>
      <c r="AB31" s="822">
        <f t="shared" si="7"/>
        <v>1.8385527146203437E-2</v>
      </c>
      <c r="AC31" s="822"/>
    </row>
    <row r="32" spans="1:29" s="11" customFormat="1" ht="31.5" hidden="1" x14ac:dyDescent="0.25">
      <c r="A32" s="1097" t="s">
        <v>472</v>
      </c>
      <c r="B32" s="1112" t="s">
        <v>620</v>
      </c>
      <c r="C32" s="26"/>
      <c r="D32" s="26"/>
      <c r="E32" s="26"/>
      <c r="F32" s="26"/>
      <c r="G32" s="26"/>
      <c r="H32" s="26"/>
      <c r="I32" s="26">
        <f t="shared" si="8"/>
        <v>0</v>
      </c>
      <c r="J32" s="985"/>
      <c r="K32" s="985"/>
      <c r="L32" s="26"/>
      <c r="M32" s="26"/>
      <c r="N32" s="26"/>
      <c r="O32" s="26">
        <f>'Phụ lục số 2'!F34</f>
        <v>0</v>
      </c>
      <c r="P32" s="26">
        <f>'Phụ lục số 2'!F34</f>
        <v>0</v>
      </c>
      <c r="Q32" s="26">
        <f t="shared" si="6"/>
        <v>0</v>
      </c>
      <c r="R32" s="822"/>
      <c r="S32" s="822">
        <f t="shared" si="9"/>
        <v>0</v>
      </c>
      <c r="T32" s="822"/>
      <c r="U32" s="26">
        <f>'Phụ lục số 2'!K34</f>
        <v>0</v>
      </c>
      <c r="V32" s="26">
        <f>'Phụ lục số 2'!P34</f>
        <v>0</v>
      </c>
      <c r="W32" s="26">
        <f>'Phụ lục số 2'!U34</f>
        <v>0</v>
      </c>
      <c r="X32" s="26">
        <f>'Phụ lục số 2'!Z34</f>
        <v>0</v>
      </c>
      <c r="Y32" s="26">
        <f>'Phụ lục số 2'!AE34</f>
        <v>0</v>
      </c>
      <c r="Z32" s="26">
        <f t="shared" si="10"/>
        <v>0</v>
      </c>
      <c r="AA32" s="822"/>
      <c r="AB32" s="822">
        <f t="shared" si="7"/>
        <v>0</v>
      </c>
      <c r="AC32" s="822"/>
    </row>
    <row r="33" spans="1:29" s="11" customFormat="1" x14ac:dyDescent="0.25">
      <c r="A33" s="1097" t="s">
        <v>473</v>
      </c>
      <c r="B33" s="1112" t="s">
        <v>526</v>
      </c>
      <c r="C33" s="26"/>
      <c r="D33" s="26"/>
      <c r="E33" s="26"/>
      <c r="F33" s="26"/>
      <c r="G33" s="26"/>
      <c r="H33" s="26"/>
      <c r="I33" s="26">
        <f t="shared" si="8"/>
        <v>0</v>
      </c>
      <c r="J33" s="985"/>
      <c r="K33" s="985"/>
      <c r="L33" s="26"/>
      <c r="M33" s="26"/>
      <c r="N33" s="26"/>
      <c r="O33" s="26"/>
      <c r="P33" s="26">
        <f>'Phụ lục số 2'!F35</f>
        <v>189171</v>
      </c>
      <c r="Q33" s="26">
        <f t="shared" si="6"/>
        <v>189171</v>
      </c>
      <c r="R33" s="822"/>
      <c r="S33" s="822">
        <f t="shared" si="9"/>
        <v>3.6770621680774452E-3</v>
      </c>
      <c r="T33" s="822"/>
      <c r="U33" s="26">
        <f>'Phụ lục số 2'!K35</f>
        <v>606749</v>
      </c>
      <c r="V33" s="26">
        <f>'Phụ lục số 2'!P35</f>
        <v>721594</v>
      </c>
      <c r="W33" s="26">
        <f>'Phụ lục số 2'!U35</f>
        <v>841249</v>
      </c>
      <c r="X33" s="26">
        <f>'Phụ lục số 2'!Z35</f>
        <v>865249</v>
      </c>
      <c r="Y33" s="26">
        <f>'Phụ lục số 2'!AE35</f>
        <v>895999</v>
      </c>
      <c r="Z33" s="26">
        <f>SUM(U33:Y33)</f>
        <v>3930840</v>
      </c>
      <c r="AA33" s="822"/>
      <c r="AB33" s="822">
        <f t="shared" si="7"/>
        <v>5.5509052142448549E-2</v>
      </c>
      <c r="AC33" s="822"/>
    </row>
    <row r="34" spans="1:29" s="11" customFormat="1" ht="31.5" x14ac:dyDescent="0.25">
      <c r="A34" s="1097" t="s">
        <v>512</v>
      </c>
      <c r="B34" s="1112" t="s">
        <v>1325</v>
      </c>
      <c r="C34" s="26">
        <f>4688367-3831104</f>
        <v>857263</v>
      </c>
      <c r="D34" s="26"/>
      <c r="E34" s="26"/>
      <c r="F34" s="26"/>
      <c r="G34" s="26"/>
      <c r="H34" s="26">
        <f>8838259-8347894</f>
        <v>490365</v>
      </c>
      <c r="I34" s="26">
        <f t="shared" si="8"/>
        <v>490365</v>
      </c>
      <c r="J34" s="985"/>
      <c r="K34" s="985"/>
      <c r="L34" s="26">
        <f>9435660-9023428</f>
        <v>412232</v>
      </c>
      <c r="M34" s="26">
        <f>10825318-9554518</f>
        <v>1270800</v>
      </c>
      <c r="N34" s="26">
        <f>12245989-11966493</f>
        <v>279496</v>
      </c>
      <c r="O34" s="26"/>
      <c r="P34" s="26"/>
      <c r="Q34" s="26">
        <f t="shared" si="6"/>
        <v>1962528</v>
      </c>
      <c r="R34" s="822"/>
      <c r="S34" s="822">
        <f t="shared" si="9"/>
        <v>3.8147165594053491E-2</v>
      </c>
      <c r="T34" s="822"/>
      <c r="U34" s="26"/>
      <c r="V34" s="26"/>
      <c r="W34" s="26"/>
      <c r="X34" s="26"/>
      <c r="Y34" s="26"/>
      <c r="Z34" s="26">
        <f t="shared" si="10"/>
        <v>0</v>
      </c>
      <c r="AA34" s="822"/>
      <c r="AB34" s="822">
        <f t="shared" si="7"/>
        <v>0</v>
      </c>
      <c r="AC34" s="822"/>
    </row>
    <row r="35" spans="1:29" s="11" customFormat="1" ht="31.5" x14ac:dyDescent="0.25">
      <c r="A35" s="1097" t="s">
        <v>513</v>
      </c>
      <c r="B35" s="1112" t="s">
        <v>1197</v>
      </c>
      <c r="C35" s="26"/>
      <c r="D35" s="26"/>
      <c r="E35" s="26"/>
      <c r="F35" s="26"/>
      <c r="G35" s="26"/>
      <c r="H35" s="26"/>
      <c r="I35" s="26">
        <f t="shared" si="8"/>
        <v>0</v>
      </c>
      <c r="J35" s="985"/>
      <c r="K35" s="985"/>
      <c r="L35" s="26"/>
      <c r="M35" s="26"/>
      <c r="N35" s="26"/>
      <c r="O35" s="26"/>
      <c r="P35" s="26">
        <f>'Phụ lục số 2'!F36</f>
        <v>1000</v>
      </c>
      <c r="Q35" s="26">
        <f t="shared" si="6"/>
        <v>1000</v>
      </c>
      <c r="R35" s="822"/>
      <c r="S35" s="822">
        <f t="shared" si="9"/>
        <v>1.9437768833898669E-5</v>
      </c>
      <c r="T35" s="822"/>
      <c r="U35" s="26">
        <f>'Phụ lục số 2'!K36</f>
        <v>2100</v>
      </c>
      <c r="V35" s="26">
        <f>'Phụ lục số 2'!P36</f>
        <v>1000</v>
      </c>
      <c r="W35" s="26">
        <f>'Phụ lục số 2'!U36</f>
        <v>1000</v>
      </c>
      <c r="X35" s="26">
        <f>'Phụ lục số 2'!Z36</f>
        <v>1000</v>
      </c>
      <c r="Y35" s="26">
        <f>'Phụ lục số 2'!AE36</f>
        <v>1000</v>
      </c>
      <c r="Z35" s="26">
        <f t="shared" si="10"/>
        <v>6100</v>
      </c>
      <c r="AA35" s="822"/>
      <c r="AB35" s="822">
        <f t="shared" si="7"/>
        <v>8.6140676819442192E-5</v>
      </c>
      <c r="AC35" s="822"/>
    </row>
    <row r="36" spans="1:29" s="11" customFormat="1" ht="31.5" x14ac:dyDescent="0.25">
      <c r="A36" s="1097" t="s">
        <v>464</v>
      </c>
      <c r="B36" s="1112" t="s">
        <v>920</v>
      </c>
      <c r="C36" s="26"/>
      <c r="D36" s="26"/>
      <c r="E36" s="26"/>
      <c r="F36" s="26"/>
      <c r="G36" s="26"/>
      <c r="H36" s="26"/>
      <c r="I36" s="26"/>
      <c r="J36" s="985"/>
      <c r="K36" s="985"/>
      <c r="L36" s="26"/>
      <c r="M36" s="26"/>
      <c r="N36" s="26"/>
      <c r="O36" s="26"/>
      <c r="P36" s="26">
        <f>'Phụ lục số 2'!F41</f>
        <v>30900</v>
      </c>
      <c r="Q36" s="26">
        <f t="shared" si="6"/>
        <v>30900</v>
      </c>
      <c r="R36" s="822"/>
      <c r="S36" s="822"/>
      <c r="T36" s="822"/>
      <c r="U36" s="26">
        <f>'Phụ lục số 2'!K41</f>
        <v>61200</v>
      </c>
      <c r="V36" s="26">
        <f>'Phụ lục số 2'!P41</f>
        <v>96096</v>
      </c>
      <c r="W36" s="26">
        <f>'Phụ lục số 2'!U41</f>
        <v>0</v>
      </c>
      <c r="X36" s="26">
        <f>'Phụ lục số 2'!Z41</f>
        <v>0</v>
      </c>
      <c r="Y36" s="26">
        <f>'Phụ lục số 2'!AE41</f>
        <v>0</v>
      </c>
      <c r="Z36" s="26">
        <f>SUM(U36:Y36)</f>
        <v>157296</v>
      </c>
      <c r="AA36" s="822"/>
      <c r="AB36" s="822"/>
      <c r="AC36" s="822"/>
    </row>
    <row r="37" spans="1:29" s="17" customFormat="1" x14ac:dyDescent="0.25">
      <c r="A37" s="1085" t="s">
        <v>740</v>
      </c>
      <c r="B37" s="1111" t="s">
        <v>1064</v>
      </c>
      <c r="C37" s="41"/>
      <c r="D37" s="41"/>
      <c r="E37" s="41"/>
      <c r="F37" s="41"/>
      <c r="G37" s="41"/>
      <c r="H37" s="41"/>
      <c r="I37" s="41"/>
      <c r="J37" s="985"/>
      <c r="K37" s="985"/>
      <c r="L37" s="41"/>
      <c r="M37" s="41"/>
      <c r="N37" s="41"/>
      <c r="O37" s="41"/>
      <c r="P37" s="41"/>
      <c r="Q37" s="41">
        <f t="shared" si="6"/>
        <v>0</v>
      </c>
      <c r="R37" s="985"/>
      <c r="S37" s="985"/>
      <c r="T37" s="985"/>
      <c r="U37" s="41"/>
      <c r="V37" s="41"/>
      <c r="W37" s="41"/>
      <c r="X37" s="41"/>
      <c r="Y37" s="41"/>
      <c r="Z37" s="41"/>
      <c r="AA37" s="985"/>
      <c r="AB37" s="985"/>
      <c r="AC37" s="985"/>
    </row>
    <row r="38" spans="1:29" s="11" customFormat="1" x14ac:dyDescent="0.25">
      <c r="A38" s="1097" t="s">
        <v>407</v>
      </c>
      <c r="B38" s="1112" t="s">
        <v>1061</v>
      </c>
      <c r="C38" s="26"/>
      <c r="D38" s="26">
        <f>1609847+91395</f>
        <v>1701242</v>
      </c>
      <c r="E38" s="26">
        <v>2568878</v>
      </c>
      <c r="F38" s="26">
        <v>2531523</v>
      </c>
      <c r="G38" s="26">
        <v>2752464</v>
      </c>
      <c r="H38" s="26">
        <v>2928002</v>
      </c>
      <c r="I38" s="26">
        <f t="shared" si="8"/>
        <v>12482109</v>
      </c>
      <c r="J38" s="822"/>
      <c r="K38" s="822"/>
      <c r="L38" s="26">
        <v>3063372</v>
      </c>
      <c r="M38" s="26">
        <v>3626119</v>
      </c>
      <c r="N38" s="26">
        <v>3812056</v>
      </c>
      <c r="O38" s="26">
        <v>4137585</v>
      </c>
      <c r="P38" s="26">
        <v>4277080</v>
      </c>
      <c r="Q38" s="26">
        <f t="shared" si="6"/>
        <v>18916212</v>
      </c>
      <c r="R38" s="994"/>
      <c r="S38" s="822"/>
      <c r="T38" s="822">
        <f t="shared" ref="T38:T63" si="15">Q38/I38-1</f>
        <v>0.51546601619966625</v>
      </c>
      <c r="U38" s="26">
        <f>P38*(1+$R$39)</f>
        <v>4613840.473430654</v>
      </c>
      <c r="V38" s="26">
        <f>U38*(1+$R$39)</f>
        <v>4977116.143318994</v>
      </c>
      <c r="W38" s="26">
        <f>V38*(1+$R$39)</f>
        <v>5368994.7120489348</v>
      </c>
      <c r="X38" s="26">
        <f>W38*(1+$R$39)</f>
        <v>5791728.2594869714</v>
      </c>
      <c r="Y38" s="26">
        <f>X38*(1+$R$39)</f>
        <v>6247746.1854192736</v>
      </c>
      <c r="Z38" s="26">
        <f>SUM(U38:Y38)</f>
        <v>26999425.773704827</v>
      </c>
      <c r="AA38" s="822"/>
      <c r="AB38" s="822"/>
      <c r="AC38" s="822"/>
    </row>
    <row r="39" spans="1:29" s="11" customFormat="1" x14ac:dyDescent="0.25">
      <c r="A39" s="1109" t="s">
        <v>564</v>
      </c>
      <c r="B39" s="1110" t="s">
        <v>1173</v>
      </c>
      <c r="C39" s="994"/>
      <c r="D39" s="994"/>
      <c r="E39" s="994">
        <f>E38/D38</f>
        <v>1.5100015165390932</v>
      </c>
      <c r="F39" s="994">
        <f>F38/E38</f>
        <v>0.98545863213434037</v>
      </c>
      <c r="G39" s="994">
        <f>G38/F38</f>
        <v>1.0872759204636893</v>
      </c>
      <c r="H39" s="994">
        <f>H38/G38</f>
        <v>1.0637748577274762</v>
      </c>
      <c r="I39" s="994"/>
      <c r="J39" s="994">
        <f>(E39*F39*G39*H39)^(1/4)-1</f>
        <v>0.14538454370462239</v>
      </c>
      <c r="K39" s="994"/>
      <c r="L39" s="994">
        <f>L38/H38</f>
        <v>1.0462328919174235</v>
      </c>
      <c r="M39" s="994">
        <f>M38/L38</f>
        <v>1.1837018161685882</v>
      </c>
      <c r="N39" s="994">
        <f>N38/M38</f>
        <v>1.0512771367955658</v>
      </c>
      <c r="O39" s="994">
        <f>O38/N38</f>
        <v>1.0853946007089088</v>
      </c>
      <c r="P39" s="994">
        <f>P38/O38</f>
        <v>1.0337141110091999</v>
      </c>
      <c r="Q39" s="994"/>
      <c r="R39" s="994">
        <f>(L39*M39*N39*O39*P39)^(1/5)-1</f>
        <v>7.873607073766542E-2</v>
      </c>
      <c r="S39" s="994"/>
      <c r="T39" s="994"/>
      <c r="U39" s="994">
        <f>U38/P38</f>
        <v>1.0787360707376654</v>
      </c>
      <c r="V39" s="994">
        <f>V38/U38</f>
        <v>1.0787360707376654</v>
      </c>
      <c r="W39" s="994">
        <f>W38/V38</f>
        <v>1.0787360707376654</v>
      </c>
      <c r="X39" s="994">
        <f>X38/W38</f>
        <v>1.0787360707376654</v>
      </c>
      <c r="Y39" s="994">
        <f>Y38/X38</f>
        <v>1.0787360707376654</v>
      </c>
      <c r="Z39" s="994"/>
      <c r="AA39" s="994">
        <f>(U39*V39*W39*X39*Y39)^(1/5)-1</f>
        <v>7.873607073766542E-2</v>
      </c>
      <c r="AB39" s="994"/>
      <c r="AC39" s="994"/>
    </row>
    <row r="40" spans="1:29" x14ac:dyDescent="0.25">
      <c r="A40" s="257">
        <v>1</v>
      </c>
      <c r="B40" s="252" t="s">
        <v>1062</v>
      </c>
      <c r="C40" s="208"/>
      <c r="D40" s="208">
        <f>996120+91395</f>
        <v>1087515</v>
      </c>
      <c r="E40" s="208">
        <v>1294679</v>
      </c>
      <c r="F40" s="208">
        <v>1467800</v>
      </c>
      <c r="G40" s="208">
        <v>1577166</v>
      </c>
      <c r="H40" s="208">
        <v>1674236</v>
      </c>
      <c r="I40" s="208">
        <f t="shared" si="8"/>
        <v>7101396</v>
      </c>
      <c r="J40" s="992"/>
      <c r="K40" s="992"/>
      <c r="L40" s="208">
        <v>1718923</v>
      </c>
      <c r="M40" s="208">
        <v>2269384</v>
      </c>
      <c r="N40" s="208">
        <v>2435846</v>
      </c>
      <c r="O40" s="208">
        <v>2618473</v>
      </c>
      <c r="P40" s="208">
        <v>2723364</v>
      </c>
      <c r="Q40" s="208">
        <f t="shared" si="6"/>
        <v>11765990</v>
      </c>
      <c r="R40" s="992"/>
      <c r="S40" s="992"/>
      <c r="T40" s="992">
        <f t="shared" si="15"/>
        <v>0.6568559195966539</v>
      </c>
      <c r="U40" s="208">
        <f>P40*(1+R40)</f>
        <v>2723364</v>
      </c>
      <c r="V40" s="208">
        <f t="shared" ref="V40:Y42" si="16">U40*(1+$R$38)</f>
        <v>2723364</v>
      </c>
      <c r="W40" s="208">
        <f t="shared" si="16"/>
        <v>2723364</v>
      </c>
      <c r="X40" s="208">
        <f t="shared" si="16"/>
        <v>2723364</v>
      </c>
      <c r="Y40" s="208">
        <f t="shared" si="16"/>
        <v>2723364</v>
      </c>
      <c r="Z40" s="208">
        <f>SUM(U40:Y40)</f>
        <v>13616820</v>
      </c>
      <c r="AA40" s="992"/>
      <c r="AB40" s="992"/>
      <c r="AC40" s="992"/>
    </row>
    <row r="41" spans="1:29" x14ac:dyDescent="0.25">
      <c r="A41" s="1109" t="s">
        <v>564</v>
      </c>
      <c r="B41" s="1110" t="s">
        <v>1173</v>
      </c>
      <c r="C41" s="994"/>
      <c r="D41" s="994"/>
      <c r="E41" s="994">
        <f>E40/D40</f>
        <v>1.1904930046941882</v>
      </c>
      <c r="F41" s="994">
        <f>F40/E40</f>
        <v>1.1337173152572955</v>
      </c>
      <c r="G41" s="994">
        <f>G40/F40</f>
        <v>1.0745101512467639</v>
      </c>
      <c r="H41" s="994">
        <f>H40/G40</f>
        <v>1.061547104109523</v>
      </c>
      <c r="I41" s="994"/>
      <c r="J41" s="994">
        <f>(E41*F41*G41*H41)^(1/4)-1</f>
        <v>0.11389782270493187</v>
      </c>
      <c r="K41" s="994"/>
      <c r="L41" s="994">
        <f>L40/H40</f>
        <v>1.0266909802441233</v>
      </c>
      <c r="M41" s="994">
        <f>M40/L40</f>
        <v>1.3202359849743124</v>
      </c>
      <c r="N41" s="994">
        <f>N40/M40</f>
        <v>1.0733511825235393</v>
      </c>
      <c r="O41" s="994">
        <f>O40/N40</f>
        <v>1.0749747726251988</v>
      </c>
      <c r="P41" s="994">
        <f>P40/O40</f>
        <v>1.0400580796517664</v>
      </c>
      <c r="Q41" s="994"/>
      <c r="R41" s="994">
        <f>(L41*M41*N41*O41*P41)^(1/5)-1</f>
        <v>0.10219339270453331</v>
      </c>
      <c r="S41" s="994"/>
      <c r="T41" s="994"/>
      <c r="U41" s="994">
        <f>U40/P40</f>
        <v>1</v>
      </c>
      <c r="V41" s="994">
        <f>V40/U40</f>
        <v>1</v>
      </c>
      <c r="W41" s="994">
        <f>W40/V40</f>
        <v>1</v>
      </c>
      <c r="X41" s="994">
        <f>X40/W40</f>
        <v>1</v>
      </c>
      <c r="Y41" s="994">
        <f>Y40/X40</f>
        <v>1</v>
      </c>
      <c r="Z41" s="994"/>
      <c r="AA41" s="994">
        <f>(U41*V41*W41*X41*Y41)^(1/5)-1</f>
        <v>0</v>
      </c>
      <c r="AB41" s="994"/>
      <c r="AC41" s="994"/>
    </row>
    <row r="42" spans="1:29" x14ac:dyDescent="0.25">
      <c r="A42" s="257">
        <v>2</v>
      </c>
      <c r="B42" s="252" t="s">
        <v>1063</v>
      </c>
      <c r="C42" s="208"/>
      <c r="D42" s="208">
        <f t="shared" ref="D42:I42" si="17">D38-D40</f>
        <v>613727</v>
      </c>
      <c r="E42" s="208">
        <f t="shared" si="17"/>
        <v>1274199</v>
      </c>
      <c r="F42" s="208">
        <f t="shared" si="17"/>
        <v>1063723</v>
      </c>
      <c r="G42" s="208">
        <f t="shared" si="17"/>
        <v>1175298</v>
      </c>
      <c r="H42" s="208">
        <f t="shared" si="17"/>
        <v>1253766</v>
      </c>
      <c r="I42" s="208">
        <f t="shared" si="17"/>
        <v>5380713</v>
      </c>
      <c r="J42" s="992"/>
      <c r="K42" s="992"/>
      <c r="L42" s="208">
        <f>L38-L40</f>
        <v>1344449</v>
      </c>
      <c r="M42" s="208">
        <f>M38-M40</f>
        <v>1356735</v>
      </c>
      <c r="N42" s="208">
        <f>N38-N40</f>
        <v>1376210</v>
      </c>
      <c r="O42" s="208">
        <f>O38-O40</f>
        <v>1519112</v>
      </c>
      <c r="P42" s="208">
        <f>P38-P40</f>
        <v>1553716</v>
      </c>
      <c r="Q42" s="208">
        <f t="shared" si="6"/>
        <v>7150222</v>
      </c>
      <c r="R42" s="992"/>
      <c r="S42" s="992"/>
      <c r="T42" s="992">
        <f t="shared" si="15"/>
        <v>0.32886143527818712</v>
      </c>
      <c r="U42" s="208">
        <f>P42*(1+R42)</f>
        <v>1553716</v>
      </c>
      <c r="V42" s="208">
        <f t="shared" si="16"/>
        <v>1553716</v>
      </c>
      <c r="W42" s="208">
        <f t="shared" si="16"/>
        <v>1553716</v>
      </c>
      <c r="X42" s="208">
        <f t="shared" si="16"/>
        <v>1553716</v>
      </c>
      <c r="Y42" s="208">
        <f t="shared" si="16"/>
        <v>1553716</v>
      </c>
      <c r="Z42" s="208">
        <f>SUM(U42:Y42)</f>
        <v>7768580</v>
      </c>
      <c r="AA42" s="992"/>
      <c r="AB42" s="992"/>
      <c r="AC42" s="992"/>
    </row>
    <row r="43" spans="1:29" x14ac:dyDescent="0.25">
      <c r="A43" s="1109" t="s">
        <v>564</v>
      </c>
      <c r="B43" s="1110" t="s">
        <v>1173</v>
      </c>
      <c r="C43" s="994"/>
      <c r="D43" s="994"/>
      <c r="E43" s="994">
        <f>E42/D42</f>
        <v>2.0761657870681915</v>
      </c>
      <c r="F43" s="994">
        <f>F42/E42</f>
        <v>0.83481701052975243</v>
      </c>
      <c r="G43" s="994">
        <f>G42/F42</f>
        <v>1.1048910289614871</v>
      </c>
      <c r="H43" s="994">
        <f>H42/G42</f>
        <v>1.0667643440216865</v>
      </c>
      <c r="I43" s="994"/>
      <c r="J43" s="994">
        <f>(E43*F43*G43*H43)^(1/4)-1</f>
        <v>0.19552954875555795</v>
      </c>
      <c r="K43" s="994"/>
      <c r="L43" s="994">
        <f>L42/H42</f>
        <v>1.0723284887291569</v>
      </c>
      <c r="M43" s="994">
        <f>M42/L42</f>
        <v>1.0091383161428957</v>
      </c>
      <c r="N43" s="994">
        <f>N42/M42</f>
        <v>1.0143543138490567</v>
      </c>
      <c r="O43" s="994">
        <f>O42/N42</f>
        <v>1.1038373504043715</v>
      </c>
      <c r="P43" s="994">
        <f>P42/O42</f>
        <v>1.0227790972620847</v>
      </c>
      <c r="Q43" s="994"/>
      <c r="R43" s="994">
        <f>(L43*M43*N43*O43*P43)^(1/5)-1</f>
        <v>4.3833017585819256E-2</v>
      </c>
      <c r="S43" s="994"/>
      <c r="T43" s="994"/>
      <c r="U43" s="994">
        <f>U42/P42</f>
        <v>1</v>
      </c>
      <c r="V43" s="994">
        <f>V42/U42</f>
        <v>1</v>
      </c>
      <c r="W43" s="994">
        <f>W42/V42</f>
        <v>1</v>
      </c>
      <c r="X43" s="994">
        <f>X42/W42</f>
        <v>1</v>
      </c>
      <c r="Y43" s="994">
        <f>Y42/X42</f>
        <v>1</v>
      </c>
      <c r="Z43" s="994"/>
      <c r="AA43" s="994">
        <f>(U43*V43*W43*X43*Y43)^(1/5)-1</f>
        <v>0</v>
      </c>
      <c r="AB43" s="994"/>
      <c r="AC43" s="994"/>
    </row>
    <row r="44" spans="1:29" ht="31.5" x14ac:dyDescent="0.25">
      <c r="A44" s="257">
        <v>3</v>
      </c>
      <c r="B44" s="252" t="s">
        <v>1066</v>
      </c>
      <c r="C44" s="992"/>
      <c r="D44" s="992">
        <f t="shared" ref="D44:I44" si="18">D38/D16</f>
        <v>0.45965134225082388</v>
      </c>
      <c r="E44" s="992">
        <f t="shared" si="18"/>
        <v>0.54595226331404767</v>
      </c>
      <c r="F44" s="992">
        <f t="shared" si="18"/>
        <v>0.47517269328478795</v>
      </c>
      <c r="G44" s="992">
        <f t="shared" si="18"/>
        <v>0.48511804064281494</v>
      </c>
      <c r="H44" s="992">
        <f t="shared" si="18"/>
        <v>0.49266412467806253</v>
      </c>
      <c r="I44" s="992">
        <f t="shared" si="18"/>
        <v>0.49237024945647284</v>
      </c>
      <c r="J44" s="992"/>
      <c r="K44" s="992"/>
      <c r="L44" s="992">
        <f>L38/L16</f>
        <v>0.49160942067130459</v>
      </c>
      <c r="M44" s="992">
        <f>M38/M16</f>
        <v>0.51723808951470485</v>
      </c>
      <c r="N44" s="992">
        <f>N38/N16</f>
        <v>0.50550720040170882</v>
      </c>
      <c r="O44" s="992">
        <f>O38/O16</f>
        <v>0.49288221232679341</v>
      </c>
      <c r="P44" s="992">
        <f>P38/P16</f>
        <v>0.49688399038825698</v>
      </c>
      <c r="Q44" s="992">
        <f>(L44*M44*N44*O44*P44)^(1/5)</f>
        <v>0.50073418102886402</v>
      </c>
      <c r="R44" s="992"/>
      <c r="S44" s="992"/>
      <c r="T44" s="992">
        <f t="shared" si="15"/>
        <v>1.6987077471931178E-2</v>
      </c>
      <c r="U44" s="992">
        <f t="shared" ref="U44:Z44" si="19">U38/U16</f>
        <v>0.54499622345318355</v>
      </c>
      <c r="V44" s="992">
        <f t="shared" si="19"/>
        <v>0.55455333073192137</v>
      </c>
      <c r="W44" s="992">
        <f t="shared" si="19"/>
        <v>0.56676815286064974</v>
      </c>
      <c r="X44" s="992">
        <f t="shared" si="19"/>
        <v>0.57917282594869712</v>
      </c>
      <c r="Y44" s="992">
        <f t="shared" si="19"/>
        <v>0.59147459863857554</v>
      </c>
      <c r="Z44" s="992">
        <f t="shared" si="19"/>
        <v>0.56868647068228995</v>
      </c>
      <c r="AA44" s="992"/>
      <c r="AB44" s="992"/>
      <c r="AC44" s="992"/>
    </row>
    <row r="45" spans="1:29" ht="31.5" x14ac:dyDescent="0.25">
      <c r="A45" s="257">
        <v>4</v>
      </c>
      <c r="B45" s="252" t="s">
        <v>1065</v>
      </c>
      <c r="C45" s="992"/>
      <c r="D45" s="992">
        <f t="shared" ref="D45:I45" si="20">D40/D38</f>
        <v>0.63924767904860091</v>
      </c>
      <c r="E45" s="992">
        <f t="shared" si="20"/>
        <v>0.50398617606597118</v>
      </c>
      <c r="F45" s="992">
        <f t="shared" si="20"/>
        <v>0.57980907145619454</v>
      </c>
      <c r="G45" s="992">
        <f t="shared" si="20"/>
        <v>0.57300149974713566</v>
      </c>
      <c r="H45" s="992">
        <f t="shared" si="20"/>
        <v>0.57180152199349588</v>
      </c>
      <c r="I45" s="992">
        <f t="shared" si="20"/>
        <v>0.56892597236572762</v>
      </c>
      <c r="J45" s="992"/>
      <c r="K45" s="992"/>
      <c r="L45" s="992">
        <f>L40/L38</f>
        <v>0.56112120891618777</v>
      </c>
      <c r="M45" s="992">
        <f>M40/M38</f>
        <v>0.62584377401844782</v>
      </c>
      <c r="N45" s="992">
        <f>N40/N38</f>
        <v>0.63898484177567172</v>
      </c>
      <c r="O45" s="992">
        <f>O40/O38</f>
        <v>0.63285056379506399</v>
      </c>
      <c r="P45" s="992">
        <f>P40/P38</f>
        <v>0.63673440758648425</v>
      </c>
      <c r="Q45" s="992">
        <f>(L45*M45*N45*O45*P45)^(1/5)</f>
        <v>0.61837871611008355</v>
      </c>
      <c r="R45" s="992"/>
      <c r="S45" s="992"/>
      <c r="T45" s="992">
        <f t="shared" si="15"/>
        <v>8.6922984968887729E-2</v>
      </c>
      <c r="U45" s="992">
        <f t="shared" ref="U45:Z45" si="21">U40/U38</f>
        <v>0.59025967969261484</v>
      </c>
      <c r="V45" s="992">
        <f t="shared" si="21"/>
        <v>0.54717710448764467</v>
      </c>
      <c r="W45" s="992">
        <f t="shared" si="21"/>
        <v>0.50723909149850888</v>
      </c>
      <c r="X45" s="992">
        <f t="shared" si="21"/>
        <v>0.47021612167992743</v>
      </c>
      <c r="Y45" s="992">
        <f t="shared" si="21"/>
        <v>0.4358954283955504</v>
      </c>
      <c r="Z45" s="992">
        <f t="shared" si="21"/>
        <v>0.50433739273305722</v>
      </c>
      <c r="AA45" s="992"/>
      <c r="AB45" s="992"/>
      <c r="AC45" s="992"/>
    </row>
    <row r="46" spans="1:29" ht="31.5" x14ac:dyDescent="0.25">
      <c r="A46" s="257">
        <v>5</v>
      </c>
      <c r="B46" s="252" t="s">
        <v>1067</v>
      </c>
      <c r="C46" s="992"/>
      <c r="D46" s="992">
        <f t="shared" ref="D46:I46" si="22">D17/D16</f>
        <v>0.38595788959548177</v>
      </c>
      <c r="E46" s="992">
        <f t="shared" si="22"/>
        <v>0.41598283194377628</v>
      </c>
      <c r="F46" s="992">
        <f t="shared" si="22"/>
        <v>0.4107440725813154</v>
      </c>
      <c r="G46" s="992">
        <f t="shared" si="22"/>
        <v>0.42254592094173782</v>
      </c>
      <c r="H46" s="992">
        <f t="shared" si="22"/>
        <v>0.41688062063389775</v>
      </c>
      <c r="I46" s="992">
        <f t="shared" si="22"/>
        <v>0.41217772255155677</v>
      </c>
      <c r="J46" s="992"/>
      <c r="K46" s="992"/>
      <c r="L46" s="992">
        <f t="shared" ref="L46:Q46" si="23">L17/L16</f>
        <v>0.41295612390258807</v>
      </c>
      <c r="M46" s="992">
        <f t="shared" si="23"/>
        <v>0.40748170347734886</v>
      </c>
      <c r="N46" s="992">
        <f t="shared" si="23"/>
        <v>0.40368309298649807</v>
      </c>
      <c r="O46" s="992">
        <f t="shared" si="23"/>
        <v>0.39559420599230011</v>
      </c>
      <c r="P46" s="992">
        <f t="shared" si="23"/>
        <v>0.42439662891952468</v>
      </c>
      <c r="Q46" s="992">
        <f t="shared" si="23"/>
        <v>0.4088387365818747</v>
      </c>
      <c r="R46" s="992"/>
      <c r="S46" s="992"/>
      <c r="T46" s="992">
        <f t="shared" si="15"/>
        <v>-8.1008404554528957E-3</v>
      </c>
      <c r="U46" s="992">
        <f t="shared" ref="U46:Z46" si="24">U17/U16</f>
        <v>0.43152235323662053</v>
      </c>
      <c r="V46" s="992">
        <f t="shared" si="24"/>
        <v>0.4325348189415042</v>
      </c>
      <c r="W46" s="992">
        <f t="shared" si="24"/>
        <v>0.4337591048242373</v>
      </c>
      <c r="X46" s="992">
        <f t="shared" si="24"/>
        <v>0.435</v>
      </c>
      <c r="Y46" s="992">
        <f t="shared" si="24"/>
        <v>0.43633437470415604</v>
      </c>
      <c r="Z46" s="992">
        <f t="shared" si="24"/>
        <v>0.43396315435694399</v>
      </c>
      <c r="AA46" s="992"/>
      <c r="AB46" s="992"/>
      <c r="AC46" s="992"/>
    </row>
    <row r="47" spans="1:29" ht="31.5" x14ac:dyDescent="0.25">
      <c r="A47" s="257">
        <v>6</v>
      </c>
      <c r="B47" s="252" t="s">
        <v>1068</v>
      </c>
      <c r="C47" s="992"/>
      <c r="D47" s="992">
        <f t="shared" ref="D47:I47" si="25">D17/D10</f>
        <v>0.28569688015195527</v>
      </c>
      <c r="E47" s="992">
        <f t="shared" si="25"/>
        <v>0.326722569495001</v>
      </c>
      <c r="F47" s="992">
        <f t="shared" si="25"/>
        <v>0.33402606448569211</v>
      </c>
      <c r="G47" s="992">
        <f t="shared" si="25"/>
        <v>0.31427613279898986</v>
      </c>
      <c r="H47" s="992">
        <f t="shared" si="25"/>
        <v>0.29834753692848737</v>
      </c>
      <c r="I47" s="992">
        <f t="shared" si="25"/>
        <v>0.31214842863179698</v>
      </c>
      <c r="J47" s="992"/>
      <c r="K47" s="992"/>
      <c r="L47" s="992">
        <f t="shared" ref="L47:Q47" si="26">L17/L10</f>
        <v>0.29663575595833136</v>
      </c>
      <c r="M47" s="992">
        <f t="shared" si="26"/>
        <v>0.28330231014955592</v>
      </c>
      <c r="N47" s="992">
        <f t="shared" si="26"/>
        <v>0.29193343702147517</v>
      </c>
      <c r="O47" s="992">
        <f t="shared" si="26"/>
        <v>0.32312727290418469</v>
      </c>
      <c r="P47" s="992">
        <f t="shared" si="26"/>
        <v>0.30486040275434978</v>
      </c>
      <c r="Q47" s="992">
        <f t="shared" si="26"/>
        <v>0.30027714420042156</v>
      </c>
      <c r="R47" s="992"/>
      <c r="S47" s="992"/>
      <c r="T47" s="992">
        <f t="shared" si="15"/>
        <v>-3.8030896017671512E-2</v>
      </c>
      <c r="U47" s="992">
        <f t="shared" ref="U47:Z47" si="27">U17/U10</f>
        <v>0.28783153950306944</v>
      </c>
      <c r="V47" s="992">
        <f t="shared" si="27"/>
        <v>0.28773471837352949</v>
      </c>
      <c r="W47" s="992">
        <f t="shared" si="27"/>
        <v>0.2886902350967091</v>
      </c>
      <c r="X47" s="992">
        <f t="shared" si="27"/>
        <v>0.29272351913695149</v>
      </c>
      <c r="Y47" s="992">
        <f t="shared" si="27"/>
        <v>0.29664673338783121</v>
      </c>
      <c r="Z47" s="992">
        <f t="shared" si="27"/>
        <v>0.29094636350495739</v>
      </c>
      <c r="AA47" s="992"/>
      <c r="AB47" s="992"/>
      <c r="AC47" s="992"/>
    </row>
    <row r="48" spans="1:29" x14ac:dyDescent="0.25">
      <c r="A48" s="257">
        <v>7</v>
      </c>
      <c r="B48" s="252" t="s">
        <v>1069</v>
      </c>
      <c r="C48" s="992"/>
      <c r="D48" s="992">
        <f t="shared" ref="D48:I48" si="28">D22/D16</f>
        <v>0.13257909003966123</v>
      </c>
      <c r="E48" s="992">
        <f t="shared" si="28"/>
        <v>0.11646620552219264</v>
      </c>
      <c r="F48" s="992">
        <f t="shared" si="28"/>
        <v>0.14349562489544354</v>
      </c>
      <c r="G48" s="992">
        <f t="shared" si="28"/>
        <v>0.13802292379525019</v>
      </c>
      <c r="H48" s="992">
        <f t="shared" si="28"/>
        <v>0.1339483162117413</v>
      </c>
      <c r="I48" s="992">
        <f t="shared" si="28"/>
        <v>0.13342194931983412</v>
      </c>
      <c r="J48" s="992"/>
      <c r="K48" s="992"/>
      <c r="L48" s="992">
        <f t="shared" ref="L48:Q48" si="29">L22/L16</f>
        <v>0.12285935603422224</v>
      </c>
      <c r="M48" s="992">
        <f t="shared" si="29"/>
        <v>0.13920921059396923</v>
      </c>
      <c r="N48" s="992">
        <f t="shared" si="29"/>
        <v>0.14686475914844155</v>
      </c>
      <c r="O48" s="992">
        <f t="shared" si="29"/>
        <v>0.18956867051283594</v>
      </c>
      <c r="P48" s="992">
        <f t="shared" si="29"/>
        <v>0.18381052821370003</v>
      </c>
      <c r="Q48" s="992">
        <f t="shared" si="29"/>
        <v>0.15938951247625463</v>
      </c>
      <c r="R48" s="992"/>
      <c r="S48" s="992"/>
      <c r="T48" s="992">
        <f t="shared" si="15"/>
        <v>0.19462737044991041</v>
      </c>
      <c r="U48" s="992">
        <f t="shared" ref="U48:Z48" si="30">U22/U16</f>
        <v>0.18946786141592173</v>
      </c>
      <c r="V48" s="992">
        <f t="shared" si="30"/>
        <v>0.18963788300835654</v>
      </c>
      <c r="W48" s="992">
        <f t="shared" si="30"/>
        <v>0.18969703367465429</v>
      </c>
      <c r="X48" s="992">
        <f t="shared" si="30"/>
        <v>0.18990000000000001</v>
      </c>
      <c r="Y48" s="992">
        <f t="shared" si="30"/>
        <v>0.19009751017703305</v>
      </c>
      <c r="Z48" s="992">
        <f t="shared" si="30"/>
        <v>0.18977683868092179</v>
      </c>
      <c r="AA48" s="992"/>
      <c r="AB48" s="992"/>
      <c r="AC48" s="992"/>
    </row>
    <row r="49" spans="1:29" ht="31.5" x14ac:dyDescent="0.25">
      <c r="A49" s="257">
        <v>8</v>
      </c>
      <c r="B49" s="252" t="s">
        <v>1070</v>
      </c>
      <c r="C49" s="208"/>
      <c r="D49" s="208"/>
      <c r="E49" s="208"/>
      <c r="F49" s="208"/>
      <c r="G49" s="208"/>
      <c r="H49" s="208"/>
      <c r="I49" s="208">
        <f>AVERAGE(D11:H11)</f>
        <v>1524698.2024611782</v>
      </c>
      <c r="J49" s="992"/>
      <c r="K49" s="992"/>
      <c r="L49" s="208"/>
      <c r="M49" s="208"/>
      <c r="N49" s="208"/>
      <c r="O49" s="208"/>
      <c r="P49" s="208"/>
      <c r="Q49" s="208">
        <f>AVERAGE(L11:P11)</f>
        <v>2299630.4</v>
      </c>
      <c r="R49" s="992"/>
      <c r="S49" s="992"/>
      <c r="T49" s="992">
        <f t="shared" si="15"/>
        <v>0.50825284393194736</v>
      </c>
      <c r="U49" s="208"/>
      <c r="V49" s="208"/>
      <c r="W49" s="208"/>
      <c r="X49" s="208"/>
      <c r="Y49" s="208"/>
      <c r="Z49" s="208">
        <f>AVERAGE(U11:Y11)</f>
        <v>3617735</v>
      </c>
      <c r="AA49" s="992"/>
      <c r="AB49" s="992"/>
      <c r="AC49" s="992"/>
    </row>
    <row r="50" spans="1:29" ht="31.5" x14ac:dyDescent="0.25">
      <c r="A50" s="257">
        <v>9</v>
      </c>
      <c r="B50" s="252" t="s">
        <v>1071</v>
      </c>
      <c r="C50" s="208"/>
      <c r="D50" s="208"/>
      <c r="E50" s="208"/>
      <c r="F50" s="208"/>
      <c r="G50" s="208"/>
      <c r="H50" s="208"/>
      <c r="I50" s="208">
        <f>AVERAGE(D12:H12)</f>
        <v>449743.29869957815</v>
      </c>
      <c r="J50" s="992"/>
      <c r="K50" s="992"/>
      <c r="L50" s="208"/>
      <c r="M50" s="208"/>
      <c r="N50" s="208"/>
      <c r="O50" s="208"/>
      <c r="P50" s="208"/>
      <c r="Q50" s="208">
        <f>AVERAGE(L12:P12)</f>
        <v>797801.4</v>
      </c>
      <c r="R50" s="992"/>
      <c r="S50" s="992"/>
      <c r="T50" s="992">
        <f t="shared" si="15"/>
        <v>0.77390391876171005</v>
      </c>
      <c r="U50" s="208"/>
      <c r="V50" s="208"/>
      <c r="W50" s="208"/>
      <c r="X50" s="208"/>
      <c r="Y50" s="208"/>
      <c r="Z50" s="208">
        <f>AVERAGE(U12:Y12)</f>
        <v>1257735</v>
      </c>
      <c r="AA50" s="992"/>
      <c r="AB50" s="992"/>
      <c r="AC50" s="992"/>
    </row>
    <row r="51" spans="1:29" s="11" customFormat="1" x14ac:dyDescent="0.25">
      <c r="A51" s="1097">
        <v>10</v>
      </c>
      <c r="B51" s="823" t="s">
        <v>1077</v>
      </c>
      <c r="C51" s="26">
        <f t="shared" ref="C51:I51" si="31">C16</f>
        <v>2567842.2054460002</v>
      </c>
      <c r="D51" s="26">
        <f t="shared" si="31"/>
        <v>3701157.4722469999</v>
      </c>
      <c r="E51" s="26">
        <f t="shared" si="31"/>
        <v>4705316.1468850002</v>
      </c>
      <c r="F51" s="26">
        <f t="shared" si="31"/>
        <v>5327585.1827680003</v>
      </c>
      <c r="G51" s="26">
        <f t="shared" si="31"/>
        <v>5673802.5993690006</v>
      </c>
      <c r="H51" s="26">
        <f t="shared" si="31"/>
        <v>5943201.1655269992</v>
      </c>
      <c r="I51" s="26">
        <f t="shared" si="31"/>
        <v>25351062.566796005</v>
      </c>
      <c r="J51" s="822"/>
      <c r="K51" s="822">
        <f>I51/$I$51</f>
        <v>1</v>
      </c>
      <c r="L51" s="26">
        <f>L16</f>
        <v>6231312.6461589998</v>
      </c>
      <c r="M51" s="26">
        <f>M16</f>
        <v>7010541.32228</v>
      </c>
      <c r="N51" s="26">
        <f>N16</f>
        <v>7541051.8326360006</v>
      </c>
      <c r="O51" s="26">
        <f>O16</f>
        <v>8394673</v>
      </c>
      <c r="P51" s="26">
        <f>P16</f>
        <v>8607804</v>
      </c>
      <c r="Q51" s="26">
        <f>L51+M51+N51+O51+P51</f>
        <v>37785382.801074997</v>
      </c>
      <c r="R51" s="822"/>
      <c r="S51" s="822">
        <f>Q51/$Q$51</f>
        <v>1</v>
      </c>
      <c r="T51" s="822">
        <f t="shared" si="15"/>
        <v>0.49048517006009273</v>
      </c>
      <c r="U51" s="26">
        <f t="shared" ref="U51:Z51" si="32">U16</f>
        <v>8465821</v>
      </c>
      <c r="V51" s="26">
        <f t="shared" si="32"/>
        <v>8975000</v>
      </c>
      <c r="W51" s="26">
        <f t="shared" si="32"/>
        <v>9473000</v>
      </c>
      <c r="X51" s="26">
        <f t="shared" si="32"/>
        <v>10000000</v>
      </c>
      <c r="Y51" s="26">
        <f t="shared" si="32"/>
        <v>10563000</v>
      </c>
      <c r="Z51" s="26">
        <f t="shared" si="32"/>
        <v>47476821</v>
      </c>
      <c r="AA51" s="822"/>
      <c r="AB51" s="822">
        <f>Z51/$Z$51</f>
        <v>1</v>
      </c>
      <c r="AC51" s="822">
        <f>+Z51/Q51-1</f>
        <v>0.25648643683052175</v>
      </c>
    </row>
    <row r="52" spans="1:29" s="11" customFormat="1" x14ac:dyDescent="0.25">
      <c r="A52" s="1109" t="s">
        <v>564</v>
      </c>
      <c r="B52" s="1110" t="s">
        <v>1173</v>
      </c>
      <c r="C52" s="994"/>
      <c r="D52" s="994">
        <f>D51/C51</f>
        <v>1.4413492637504794</v>
      </c>
      <c r="E52" s="994">
        <f>E51/D51</f>
        <v>1.2713093625893113</v>
      </c>
      <c r="F52" s="994">
        <f>F51/E51</f>
        <v>1.1322480820539451</v>
      </c>
      <c r="G52" s="994">
        <f>G51/F51</f>
        <v>1.0649858058996102</v>
      </c>
      <c r="H52" s="994">
        <f>H51/G51</f>
        <v>1.0474811312941974</v>
      </c>
      <c r="I52" s="994"/>
      <c r="J52" s="994">
        <f>(D52*E52*F52*G52*H52)^(1/5)-1</f>
        <v>0.18274309036120373</v>
      </c>
      <c r="K52" s="994"/>
      <c r="L52" s="994">
        <f>L51/H51</f>
        <v>1.0484774909358892</v>
      </c>
      <c r="M52" s="994">
        <f>M51/L51</f>
        <v>1.1250504862087636</v>
      </c>
      <c r="N52" s="994">
        <f>N51/M51</f>
        <v>1.0756732591633118</v>
      </c>
      <c r="O52" s="994">
        <f>O51/N51</f>
        <v>1.1131965654538689</v>
      </c>
      <c r="P52" s="994">
        <f>P51/O51</f>
        <v>1.0253888388505425</v>
      </c>
      <c r="Q52" s="994"/>
      <c r="R52" s="994">
        <f>(L52*M52*N52*O52*P52)^(1/5)-1</f>
        <v>7.6897547236727704E-2</v>
      </c>
      <c r="S52" s="994"/>
      <c r="T52" s="994"/>
      <c r="U52" s="994">
        <f>U51/P51</f>
        <v>0.98350531680321718</v>
      </c>
      <c r="V52" s="994">
        <f>V51/U51</f>
        <v>1.0601452593906722</v>
      </c>
      <c r="W52" s="994">
        <f>W51/V51</f>
        <v>1.0554874651810584</v>
      </c>
      <c r="X52" s="994">
        <f>X51/W51</f>
        <v>1.0556317956296843</v>
      </c>
      <c r="Y52" s="994">
        <f>Y51/X51</f>
        <v>1.0563</v>
      </c>
      <c r="Z52" s="994"/>
      <c r="AA52" s="994">
        <f>(U52*V52*W52*X52*Y52)^(1/5)-1</f>
        <v>4.1787115837529365E-2</v>
      </c>
      <c r="AB52" s="994"/>
      <c r="AC52" s="994"/>
    </row>
    <row r="53" spans="1:29" s="11" customFormat="1" x14ac:dyDescent="0.25">
      <c r="A53" s="1109" t="s">
        <v>564</v>
      </c>
      <c r="B53" s="1110" t="s">
        <v>1254</v>
      </c>
      <c r="C53" s="994"/>
      <c r="D53" s="994">
        <f>D51/D10</f>
        <v>0.74022811258345056</v>
      </c>
      <c r="E53" s="994">
        <f>E51/E10</f>
        <v>0.7854232059729821</v>
      </c>
      <c r="F53" s="994">
        <f>F51/F10</f>
        <v>0.81322187411375157</v>
      </c>
      <c r="G53" s="994">
        <f>G51/G10</f>
        <v>0.74376799591049281</v>
      </c>
      <c r="H53" s="994">
        <f>H51/H10</f>
        <v>0.71566660132780435</v>
      </c>
      <c r="I53" s="994"/>
      <c r="J53" s="994"/>
      <c r="K53" s="994">
        <f>I51/I10</f>
        <v>0.7573151375078313</v>
      </c>
      <c r="L53" s="994">
        <f>L51/L10</f>
        <v>0.71832269529027382</v>
      </c>
      <c r="M53" s="994">
        <f>M51/M10</f>
        <v>0.69525160941441921</v>
      </c>
      <c r="N53" s="994">
        <f>N51/N10</f>
        <v>0.72317479253766881</v>
      </c>
      <c r="O53" s="994">
        <f>O51/O10</f>
        <v>0.8168149786058142</v>
      </c>
      <c r="P53" s="994">
        <f>P51/P10</f>
        <v>0.71833841736796245</v>
      </c>
      <c r="Q53" s="994"/>
      <c r="R53" s="994"/>
      <c r="S53" s="994">
        <f>Q51/Q10</f>
        <v>0.73446353618766635</v>
      </c>
      <c r="T53" s="994"/>
      <c r="U53" s="994">
        <f>U51/U10</f>
        <v>0.66701420527626798</v>
      </c>
      <c r="V53" s="994">
        <f>V51/V10</f>
        <v>0.6652290307579668</v>
      </c>
      <c r="W53" s="994">
        <f>W51/W10</f>
        <v>0.66555429473621941</v>
      </c>
      <c r="X53" s="994">
        <f>X51/X10</f>
        <v>0.67292763019988844</v>
      </c>
      <c r="Y53" s="994">
        <f>Y51/Y10</f>
        <v>0.6798610207801391</v>
      </c>
      <c r="Z53" s="994"/>
      <c r="AA53" s="994"/>
      <c r="AB53" s="994">
        <f>Z51/Z10</f>
        <v>0.67044024494680432</v>
      </c>
      <c r="AC53" s="994"/>
    </row>
    <row r="54" spans="1:29" x14ac:dyDescent="0.25">
      <c r="A54" s="257" t="s">
        <v>434</v>
      </c>
      <c r="B54" s="1113" t="s">
        <v>1076</v>
      </c>
      <c r="C54" s="208">
        <f t="shared" ref="C54:I54" si="33">C17</f>
        <v>1195670.773844</v>
      </c>
      <c r="D54" s="208">
        <f t="shared" si="33"/>
        <v>1428490.927049</v>
      </c>
      <c r="E54" s="208">
        <f t="shared" si="33"/>
        <v>1957330.7359720001</v>
      </c>
      <c r="F54" s="208">
        <f t="shared" si="33"/>
        <v>2188274.0349940001</v>
      </c>
      <c r="G54" s="208">
        <f t="shared" si="33"/>
        <v>2397442.1445920002</v>
      </c>
      <c r="H54" s="208">
        <f t="shared" si="33"/>
        <v>2477605.390437</v>
      </c>
      <c r="I54" s="208">
        <f t="shared" si="33"/>
        <v>10449143.233044</v>
      </c>
      <c r="J54" s="992"/>
      <c r="K54" s="992">
        <f>I54/$I$51</f>
        <v>0.41217772255155677</v>
      </c>
      <c r="L54" s="208">
        <f>L17</f>
        <v>2573258.7171829999</v>
      </c>
      <c r="M54" s="208">
        <f>M17</f>
        <v>2856667.320301</v>
      </c>
      <c r="N54" s="208">
        <f>N17</f>
        <v>3044195.1281700004</v>
      </c>
      <c r="O54" s="208">
        <f>O17</f>
        <v>3320884</v>
      </c>
      <c r="P54" s="208">
        <f>P17</f>
        <v>3653123</v>
      </c>
      <c r="Q54" s="208">
        <f>L54+M54+N54+O54+P54</f>
        <v>15448128.165654</v>
      </c>
      <c r="R54" s="992"/>
      <c r="S54" s="992">
        <f>Q54/$Q$51</f>
        <v>0.4088387365818747</v>
      </c>
      <c r="T54" s="992">
        <f t="shared" si="15"/>
        <v>0.47841098749621747</v>
      </c>
      <c r="U54" s="208">
        <f t="shared" ref="U54:Z54" si="34">U17</f>
        <v>3653191</v>
      </c>
      <c r="V54" s="208">
        <f t="shared" si="34"/>
        <v>3882000</v>
      </c>
      <c r="W54" s="208">
        <f t="shared" si="34"/>
        <v>4109000</v>
      </c>
      <c r="X54" s="208">
        <f t="shared" si="34"/>
        <v>4350000</v>
      </c>
      <c r="Y54" s="208">
        <f t="shared" si="34"/>
        <v>4609000</v>
      </c>
      <c r="Z54" s="208">
        <f t="shared" si="34"/>
        <v>20603191</v>
      </c>
      <c r="AA54" s="992"/>
      <c r="AB54" s="992">
        <f>Z54/$Z$51</f>
        <v>0.43396315435694399</v>
      </c>
      <c r="AC54" s="992">
        <f>+Z54/Q54-1</f>
        <v>0.3337014542517398</v>
      </c>
    </row>
    <row r="55" spans="1:29" s="715" customFormat="1" x14ac:dyDescent="0.25">
      <c r="A55" s="1109" t="s">
        <v>564</v>
      </c>
      <c r="B55" s="1110" t="s">
        <v>1173</v>
      </c>
      <c r="C55" s="994"/>
      <c r="D55" s="994">
        <f>D54/C54</f>
        <v>1.1947192808405771</v>
      </c>
      <c r="E55" s="994">
        <f>E54/D54</f>
        <v>1.3702087279024486</v>
      </c>
      <c r="F55" s="994">
        <f>F54/E54</f>
        <v>1.1179888992584153</v>
      </c>
      <c r="G55" s="994">
        <f>G54/F54</f>
        <v>1.0955858846986564</v>
      </c>
      <c r="H55" s="994">
        <f>H54/G54</f>
        <v>1.0334369886780488</v>
      </c>
      <c r="I55" s="994"/>
      <c r="J55" s="994">
        <f>(D55*E55*F55*G55*H55)^(1/5)-1</f>
        <v>0.15686878960784822</v>
      </c>
      <c r="K55" s="994"/>
      <c r="L55" s="994">
        <f>L54/H54</f>
        <v>1.0386071676769837</v>
      </c>
      <c r="M55" s="994">
        <f>M54/L54</f>
        <v>1.1101360703552783</v>
      </c>
      <c r="N55" s="994">
        <f>N54/M54</f>
        <v>1.0656456586793737</v>
      </c>
      <c r="O55" s="994">
        <f>O54/N54</f>
        <v>1.090890649311409</v>
      </c>
      <c r="P55" s="994">
        <f>P54/O54</f>
        <v>1.1000453493708302</v>
      </c>
      <c r="Q55" s="994"/>
      <c r="R55" s="994">
        <f>(L55*M55*N55*O55*P55)^(1/5)-1</f>
        <v>8.0752954781103226E-2</v>
      </c>
      <c r="S55" s="994"/>
      <c r="T55" s="994"/>
      <c r="U55" s="994">
        <f>U54/P54</f>
        <v>1.000018614210362</v>
      </c>
      <c r="V55" s="994">
        <f>V54/U54</f>
        <v>1.0626326408884725</v>
      </c>
      <c r="W55" s="994">
        <f>W54/V54</f>
        <v>1.0584750128799587</v>
      </c>
      <c r="X55" s="994">
        <f>X54/W54</f>
        <v>1.0586517400827451</v>
      </c>
      <c r="Y55" s="994">
        <f>Y54/X54</f>
        <v>1.0595402298850574</v>
      </c>
      <c r="Z55" s="994"/>
      <c r="AA55" s="994">
        <f>(U55*V55*W55*X55*Y55)^(1/5)-1</f>
        <v>4.758309758797874E-2</v>
      </c>
      <c r="AB55" s="994"/>
      <c r="AC55" s="994"/>
    </row>
    <row r="56" spans="1:29" s="715" customFormat="1" x14ac:dyDescent="0.25">
      <c r="A56" s="1091" t="s">
        <v>564</v>
      </c>
      <c r="B56" s="1114" t="s">
        <v>429</v>
      </c>
      <c r="C56" s="994">
        <f t="shared" ref="C56:I56" si="35">C54/C51</f>
        <v>0.46563249537224882</v>
      </c>
      <c r="D56" s="994">
        <f t="shared" si="35"/>
        <v>0.38595788959548177</v>
      </c>
      <c r="E56" s="994">
        <f t="shared" si="35"/>
        <v>0.41598283194377628</v>
      </c>
      <c r="F56" s="994">
        <f t="shared" si="35"/>
        <v>0.4107440725813154</v>
      </c>
      <c r="G56" s="994">
        <f t="shared" si="35"/>
        <v>0.42254592094173782</v>
      </c>
      <c r="H56" s="994">
        <f t="shared" si="35"/>
        <v>0.41688062063389775</v>
      </c>
      <c r="I56" s="994">
        <f t="shared" si="35"/>
        <v>0.41217772255155677</v>
      </c>
      <c r="J56" s="994"/>
      <c r="K56" s="994"/>
      <c r="L56" s="994">
        <f>L54/L51</f>
        <v>0.41295612390258807</v>
      </c>
      <c r="M56" s="994">
        <f>M54/M51</f>
        <v>0.40748170347734886</v>
      </c>
      <c r="N56" s="994">
        <f>N54/N51</f>
        <v>0.40368309298649807</v>
      </c>
      <c r="O56" s="994">
        <f>O54/O51</f>
        <v>0.39559420599230011</v>
      </c>
      <c r="P56" s="994">
        <f>P54/P51</f>
        <v>0.42439662891952468</v>
      </c>
      <c r="Q56" s="994">
        <f>(L56*M56*N56*O56*P56)^(1/5)</f>
        <v>0.40870964486714334</v>
      </c>
      <c r="R56" s="994"/>
      <c r="S56" s="994"/>
      <c r="T56" s="994"/>
      <c r="U56" s="994">
        <f t="shared" ref="U56:Z56" si="36">U54/U51</f>
        <v>0.43152235323662053</v>
      </c>
      <c r="V56" s="994">
        <f t="shared" si="36"/>
        <v>0.4325348189415042</v>
      </c>
      <c r="W56" s="994">
        <f t="shared" si="36"/>
        <v>0.4337591048242373</v>
      </c>
      <c r="X56" s="994">
        <f t="shared" si="36"/>
        <v>0.435</v>
      </c>
      <c r="Y56" s="994">
        <f t="shared" si="36"/>
        <v>0.43633437470415604</v>
      </c>
      <c r="Z56" s="994">
        <f t="shared" si="36"/>
        <v>0.43396315435694399</v>
      </c>
      <c r="AA56" s="994"/>
      <c r="AB56" s="994"/>
      <c r="AC56" s="994"/>
    </row>
    <row r="57" spans="1:29" x14ac:dyDescent="0.25">
      <c r="A57" s="257" t="s">
        <v>435</v>
      </c>
      <c r="B57" s="1113" t="s">
        <v>289</v>
      </c>
      <c r="C57" s="208">
        <f t="shared" ref="C57:H57" si="37">C18</f>
        <v>10103.887626</v>
      </c>
      <c r="D57" s="208">
        <f t="shared" si="37"/>
        <v>16708.203065999998</v>
      </c>
      <c r="E57" s="208">
        <f t="shared" si="37"/>
        <v>13732.921410000001</v>
      </c>
      <c r="F57" s="208">
        <f t="shared" si="37"/>
        <v>21991.801834000002</v>
      </c>
      <c r="G57" s="208">
        <f t="shared" si="37"/>
        <v>21685.136095999998</v>
      </c>
      <c r="H57" s="208">
        <f t="shared" si="37"/>
        <v>19615.733521999999</v>
      </c>
      <c r="I57" s="208">
        <f>SUM(D57:H57)</f>
        <v>93733.795927999992</v>
      </c>
      <c r="J57" s="992"/>
      <c r="K57" s="992">
        <f>I57/$I$51</f>
        <v>3.6974306572368082E-3</v>
      </c>
      <c r="L57" s="208">
        <f>L18</f>
        <v>17427.107277999999</v>
      </c>
      <c r="M57" s="208">
        <f>M18</f>
        <v>20608.003771</v>
      </c>
      <c r="N57" s="208">
        <f>N18</f>
        <v>18902.695590000003</v>
      </c>
      <c r="O57" s="208">
        <f>O18</f>
        <v>21132</v>
      </c>
      <c r="P57" s="208">
        <f>P18</f>
        <v>31000</v>
      </c>
      <c r="Q57" s="208">
        <f>L57+M57+N57+O57+P57</f>
        <v>109069.806639</v>
      </c>
      <c r="R57" s="992"/>
      <c r="S57" s="992">
        <f>Q57/$Q$51</f>
        <v>2.8865608484955445E-3</v>
      </c>
      <c r="T57" s="992">
        <f t="shared" si="15"/>
        <v>0.16361239357872703</v>
      </c>
      <c r="U57" s="208">
        <f t="shared" ref="U57:Z57" si="38">U18</f>
        <v>31000</v>
      </c>
      <c r="V57" s="208">
        <f t="shared" si="38"/>
        <v>32000</v>
      </c>
      <c r="W57" s="208">
        <f t="shared" si="38"/>
        <v>33000</v>
      </c>
      <c r="X57" s="208">
        <f t="shared" si="38"/>
        <v>34000</v>
      </c>
      <c r="Y57" s="208">
        <f t="shared" si="38"/>
        <v>35000</v>
      </c>
      <c r="Z57" s="208">
        <f t="shared" si="38"/>
        <v>165000</v>
      </c>
      <c r="AA57" s="992"/>
      <c r="AB57" s="992">
        <f>Z57/$Z$51</f>
        <v>3.4753801228603744E-3</v>
      </c>
      <c r="AC57" s="992">
        <f>+Z57/Q57-1</f>
        <v>0.51279263330976765</v>
      </c>
    </row>
    <row r="58" spans="1:29" s="715" customFormat="1" x14ac:dyDescent="0.25">
      <c r="A58" s="1109" t="s">
        <v>564</v>
      </c>
      <c r="B58" s="1110" t="s">
        <v>1173</v>
      </c>
      <c r="C58" s="994"/>
      <c r="D58" s="994">
        <f>D57/C57</f>
        <v>1.6536410225906839</v>
      </c>
      <c r="E58" s="994">
        <f>E57/D57</f>
        <v>0.82192689158450061</v>
      </c>
      <c r="F58" s="994">
        <f>F57/E57</f>
        <v>1.6013928265828472</v>
      </c>
      <c r="G58" s="994">
        <f>G57/F57</f>
        <v>0.98605545192182076</v>
      </c>
      <c r="H58" s="994">
        <f>H57/G57</f>
        <v>0.90457045946869952</v>
      </c>
      <c r="I58" s="994"/>
      <c r="J58" s="994">
        <f>(D58*E58*F58*G58*H58)^(1/5)-1</f>
        <v>0.14188721148932903</v>
      </c>
      <c r="K58" s="994"/>
      <c r="L58" s="994">
        <f>L57/H57</f>
        <v>0.8884249604254999</v>
      </c>
      <c r="M58" s="994">
        <f>M57/L57</f>
        <v>1.1825257882595104</v>
      </c>
      <c r="N58" s="994">
        <f>N57/M57</f>
        <v>0.91725020045853534</v>
      </c>
      <c r="O58" s="994">
        <f>O57/N57</f>
        <v>1.1179357938335184</v>
      </c>
      <c r="P58" s="994">
        <f>P57/O57</f>
        <v>1.4669695248911603</v>
      </c>
      <c r="Q58" s="994"/>
      <c r="R58" s="994">
        <f>(L58*M58*N58*O58*P58)^(1/5)-1</f>
        <v>9.5850797849754699E-2</v>
      </c>
      <c r="S58" s="994"/>
      <c r="T58" s="994"/>
      <c r="U58" s="994">
        <f>U57/P57</f>
        <v>1</v>
      </c>
      <c r="V58" s="994">
        <f>V57/U57</f>
        <v>1.032258064516129</v>
      </c>
      <c r="W58" s="994">
        <f>W57/V57</f>
        <v>1.03125</v>
      </c>
      <c r="X58" s="994">
        <f>X57/W57</f>
        <v>1.0303030303030303</v>
      </c>
      <c r="Y58" s="994">
        <f>Y57/X57</f>
        <v>1.0294117647058822</v>
      </c>
      <c r="Z58" s="994"/>
      <c r="AA58" s="994">
        <f>(U58*V58*W58*X58*Y58)^(1/5)-1</f>
        <v>2.4569138363080611E-2</v>
      </c>
      <c r="AB58" s="994"/>
      <c r="AC58" s="994"/>
    </row>
    <row r="59" spans="1:29" s="715" customFormat="1" x14ac:dyDescent="0.25">
      <c r="A59" s="1091" t="s">
        <v>564</v>
      </c>
      <c r="B59" s="1114" t="s">
        <v>429</v>
      </c>
      <c r="C59" s="994"/>
      <c r="D59" s="994">
        <f t="shared" ref="D59:I59" si="39">D57/D51</f>
        <v>4.5143183426497998E-3</v>
      </c>
      <c r="E59" s="994">
        <f t="shared" si="39"/>
        <v>2.9185969616709879E-3</v>
      </c>
      <c r="F59" s="994">
        <f t="shared" si="39"/>
        <v>4.1279118173712503E-3</v>
      </c>
      <c r="G59" s="994">
        <f t="shared" si="39"/>
        <v>3.8219757766002754E-3</v>
      </c>
      <c r="H59" s="994">
        <f t="shared" si="39"/>
        <v>3.3005333280285527E-3</v>
      </c>
      <c r="I59" s="994">
        <f t="shared" si="39"/>
        <v>3.6974306572368082E-3</v>
      </c>
      <c r="J59" s="994"/>
      <c r="K59" s="994"/>
      <c r="L59" s="994">
        <f>L57/L51</f>
        <v>2.7966992297749852E-3</v>
      </c>
      <c r="M59" s="994">
        <f>M57/M51</f>
        <v>2.9395738251347717E-3</v>
      </c>
      <c r="N59" s="994">
        <f>N57/N51</f>
        <v>2.506639128005105E-3</v>
      </c>
      <c r="O59" s="994">
        <f>O57/O51</f>
        <v>2.5173106802373361E-3</v>
      </c>
      <c r="P59" s="994">
        <f>P57/P51</f>
        <v>3.6013831169947642E-3</v>
      </c>
      <c r="Q59" s="994">
        <f>(L59*M59*N59*O59*P59)^(1/5)</f>
        <v>2.84633241260181E-3</v>
      </c>
      <c r="R59" s="994"/>
      <c r="S59" s="994"/>
      <c r="T59" s="994"/>
      <c r="U59" s="994">
        <f t="shared" ref="U59:Z59" si="40">U57/U51</f>
        <v>3.6617830686474472E-3</v>
      </c>
      <c r="V59" s="994">
        <f t="shared" si="40"/>
        <v>3.565459610027855E-3</v>
      </c>
      <c r="W59" s="994">
        <f t="shared" si="40"/>
        <v>3.4835849255779585E-3</v>
      </c>
      <c r="X59" s="994">
        <f t="shared" si="40"/>
        <v>3.3999999999999998E-3</v>
      </c>
      <c r="Y59" s="994">
        <f t="shared" si="40"/>
        <v>3.3134526176275677E-3</v>
      </c>
      <c r="Z59" s="994">
        <f t="shared" si="40"/>
        <v>3.4753801228603744E-3</v>
      </c>
      <c r="AA59" s="994"/>
      <c r="AB59" s="994"/>
      <c r="AC59" s="994"/>
    </row>
    <row r="60" spans="1:29" x14ac:dyDescent="0.25">
      <c r="A60" s="257" t="s">
        <v>436</v>
      </c>
      <c r="B60" s="1113" t="s">
        <v>609</v>
      </c>
      <c r="C60" s="208">
        <f t="shared" ref="C60:H60" si="41">C19</f>
        <v>34249.1469</v>
      </c>
      <c r="D60" s="208">
        <f t="shared" si="41"/>
        <v>55015.130089999999</v>
      </c>
      <c r="E60" s="208">
        <f t="shared" si="41"/>
        <v>58794.641531000001</v>
      </c>
      <c r="F60" s="208">
        <f t="shared" si="41"/>
        <v>63064.983071000002</v>
      </c>
      <c r="G60" s="208">
        <f t="shared" si="41"/>
        <v>73254.026125999997</v>
      </c>
      <c r="H60" s="208">
        <f t="shared" si="41"/>
        <v>66554.003003000005</v>
      </c>
      <c r="I60" s="208">
        <f>SUM(D60:H60)</f>
        <v>316682.78382099996</v>
      </c>
      <c r="J60" s="992"/>
      <c r="K60" s="992">
        <f>I60/$I$51</f>
        <v>1.2491893899381589E-2</v>
      </c>
      <c r="L60" s="208">
        <f>L19</f>
        <v>69874.356060000006</v>
      </c>
      <c r="M60" s="208">
        <f>M19</f>
        <v>114730.499979</v>
      </c>
      <c r="N60" s="208">
        <f>N19</f>
        <v>174534.90139499999</v>
      </c>
      <c r="O60" s="208">
        <f>O19</f>
        <v>143120</v>
      </c>
      <c r="P60" s="208">
        <f>P19</f>
        <v>143469</v>
      </c>
      <c r="Q60" s="208">
        <f>L60+M60+N60+O60+P60</f>
        <v>645728.75743400003</v>
      </c>
      <c r="R60" s="992"/>
      <c r="S60" s="992">
        <f>Q60/$Q$51</f>
        <v>1.7089379796243032E-2</v>
      </c>
      <c r="T60" s="992">
        <f t="shared" si="15"/>
        <v>1.0390396650011393</v>
      </c>
      <c r="U60" s="208">
        <f t="shared" ref="U60:Z60" si="42">U19</f>
        <v>143470</v>
      </c>
      <c r="V60" s="208">
        <f t="shared" si="42"/>
        <v>152000</v>
      </c>
      <c r="W60" s="208">
        <f t="shared" si="42"/>
        <v>160000</v>
      </c>
      <c r="X60" s="208">
        <f t="shared" si="42"/>
        <v>169000</v>
      </c>
      <c r="Y60" s="208">
        <f t="shared" si="42"/>
        <v>178000</v>
      </c>
      <c r="Z60" s="208">
        <f t="shared" si="42"/>
        <v>802470</v>
      </c>
      <c r="AA60" s="992"/>
      <c r="AB60" s="992">
        <f>Z60/$Z$51</f>
        <v>1.6902353255707665E-2</v>
      </c>
      <c r="AC60" s="992">
        <f>+Z60/Q60-1</f>
        <v>0.2427354222055389</v>
      </c>
    </row>
    <row r="61" spans="1:29" s="715" customFormat="1" x14ac:dyDescent="0.25">
      <c r="A61" s="1109" t="s">
        <v>564</v>
      </c>
      <c r="B61" s="1110" t="s">
        <v>1173</v>
      </c>
      <c r="C61" s="994"/>
      <c r="D61" s="994">
        <f>D60/C60</f>
        <v>1.6063211808058202</v>
      </c>
      <c r="E61" s="994">
        <f>E60/D60</f>
        <v>1.0686994911184804</v>
      </c>
      <c r="F61" s="994">
        <f>F60/E60</f>
        <v>1.072631475059652</v>
      </c>
      <c r="G61" s="994">
        <f>G60/F60</f>
        <v>1.1615641923431412</v>
      </c>
      <c r="H61" s="994">
        <f>H60/G60</f>
        <v>0.90853713471699604</v>
      </c>
      <c r="I61" s="994"/>
      <c r="J61" s="994">
        <f>(D61*E61*F61*G61*H61)^(1/5)-1</f>
        <v>0.14210198076841918</v>
      </c>
      <c r="K61" s="994"/>
      <c r="L61" s="994">
        <f>L60/H60</f>
        <v>1.0498896070436263</v>
      </c>
      <c r="M61" s="994">
        <f>M60/L60</f>
        <v>1.6419543083943806</v>
      </c>
      <c r="N61" s="994">
        <f>N60/M60</f>
        <v>1.5212598343679009</v>
      </c>
      <c r="O61" s="994">
        <f>O60/N60</f>
        <v>0.82000791163308295</v>
      </c>
      <c r="P61" s="994">
        <f>P60/O60</f>
        <v>1.00243851313583</v>
      </c>
      <c r="Q61" s="994"/>
      <c r="R61" s="994">
        <f>(L61*M61*N61*O61*P61)^(1/5)-1</f>
        <v>0.16604893828157219</v>
      </c>
      <c r="S61" s="994"/>
      <c r="T61" s="994"/>
      <c r="U61" s="994">
        <f>U60/P60</f>
        <v>1.000006970146861</v>
      </c>
      <c r="V61" s="994">
        <f>V60/U60</f>
        <v>1.0594549383146303</v>
      </c>
      <c r="W61" s="994">
        <f>W60/V60</f>
        <v>1.0526315789473684</v>
      </c>
      <c r="X61" s="994">
        <f>X60/W60</f>
        <v>1.0562499999999999</v>
      </c>
      <c r="Y61" s="994">
        <f>Y60/X60</f>
        <v>1.0532544378698225</v>
      </c>
      <c r="Z61" s="994"/>
      <c r="AA61" s="994">
        <f>(U61*V61*W61*X61*Y61)^(1/5)-1</f>
        <v>4.4076657261842289E-2</v>
      </c>
      <c r="AB61" s="994"/>
      <c r="AC61" s="994"/>
    </row>
    <row r="62" spans="1:29" s="715" customFormat="1" x14ac:dyDescent="0.25">
      <c r="A62" s="1091" t="s">
        <v>564</v>
      </c>
      <c r="B62" s="1114" t="s">
        <v>429</v>
      </c>
      <c r="C62" s="994"/>
      <c r="D62" s="994">
        <f t="shared" ref="D62:I62" si="43">D60/D51</f>
        <v>1.4864304073125511E-2</v>
      </c>
      <c r="E62" s="994">
        <f t="shared" si="43"/>
        <v>1.2495364752466858E-2</v>
      </c>
      <c r="F62" s="994">
        <f t="shared" si="43"/>
        <v>1.1837442463610494E-2</v>
      </c>
      <c r="G62" s="994">
        <f t="shared" si="43"/>
        <v>1.291092258552435E-2</v>
      </c>
      <c r="H62" s="994">
        <f t="shared" si="43"/>
        <v>1.1198342635453849E-2</v>
      </c>
      <c r="I62" s="994">
        <f t="shared" si="43"/>
        <v>1.2491893899381589E-2</v>
      </c>
      <c r="J62" s="994"/>
      <c r="K62" s="994"/>
      <c r="L62" s="994">
        <f>L60/L51</f>
        <v>1.1213424847663642E-2</v>
      </c>
      <c r="M62" s="994">
        <f>M60/M51</f>
        <v>1.6365426677449044E-2</v>
      </c>
      <c r="N62" s="994">
        <f>N60/N51</f>
        <v>2.3144636221654337E-2</v>
      </c>
      <c r="O62" s="994">
        <f>O60/O51</f>
        <v>1.7048907086672702E-2</v>
      </c>
      <c r="P62" s="994">
        <f>P60/P51</f>
        <v>1.6667317239100705E-2</v>
      </c>
      <c r="Q62" s="994">
        <f>(L62*M62*N62*O62*P62)^(1/5)</f>
        <v>1.6456430608333426E-2</v>
      </c>
      <c r="R62" s="994"/>
      <c r="S62" s="994"/>
      <c r="T62" s="994"/>
      <c r="U62" s="994">
        <f t="shared" ref="U62:Z62" si="44">U60/U51</f>
        <v>1.6946968285769332E-2</v>
      </c>
      <c r="V62" s="994">
        <f t="shared" si="44"/>
        <v>1.6935933147632313E-2</v>
      </c>
      <c r="W62" s="994">
        <f t="shared" si="44"/>
        <v>1.6890108730074949E-2</v>
      </c>
      <c r="X62" s="994">
        <f t="shared" si="44"/>
        <v>1.6899999999999998E-2</v>
      </c>
      <c r="Y62" s="994">
        <f t="shared" si="44"/>
        <v>1.6851273312505917E-2</v>
      </c>
      <c r="Z62" s="994">
        <f t="shared" si="44"/>
        <v>1.6902353255707665E-2</v>
      </c>
      <c r="AA62" s="994"/>
      <c r="AB62" s="994"/>
      <c r="AC62" s="994"/>
    </row>
    <row r="63" spans="1:29" x14ac:dyDescent="0.25">
      <c r="A63" s="1115" t="s">
        <v>437</v>
      </c>
      <c r="B63" s="252" t="s">
        <v>364</v>
      </c>
      <c r="C63" s="208">
        <f t="shared" ref="C63:H63" si="45">C20</f>
        <v>1327818.397076</v>
      </c>
      <c r="D63" s="208">
        <f t="shared" si="45"/>
        <v>2200943.2120419997</v>
      </c>
      <c r="E63" s="208">
        <f t="shared" si="45"/>
        <v>2675457.847972</v>
      </c>
      <c r="F63" s="208">
        <f t="shared" si="45"/>
        <v>3054254.3628690001</v>
      </c>
      <c r="G63" s="208">
        <f t="shared" si="45"/>
        <v>3181421.2925549997</v>
      </c>
      <c r="H63" s="208">
        <f t="shared" si="45"/>
        <v>3379426.0385650001</v>
      </c>
      <c r="I63" s="208">
        <f>SUM(D63:H63)</f>
        <v>14491502.754003001</v>
      </c>
      <c r="J63" s="992"/>
      <c r="K63" s="992">
        <f>I63/$I$51</f>
        <v>0.5716329528918247</v>
      </c>
      <c r="L63" s="208">
        <f>L20</f>
        <v>3570752.4656379996</v>
      </c>
      <c r="M63" s="208">
        <f>M20</f>
        <v>4018535.4982289998</v>
      </c>
      <c r="N63" s="208">
        <f>N20</f>
        <v>4303419.107481</v>
      </c>
      <c r="O63" s="208">
        <f>O20</f>
        <v>4909537</v>
      </c>
      <c r="P63" s="208">
        <f>P20</f>
        <v>4780212</v>
      </c>
      <c r="Q63" s="208">
        <f>SUM(L63:P63)</f>
        <v>21582456.071348</v>
      </c>
      <c r="R63" s="992"/>
      <c r="S63" s="992">
        <f>Q63/$Q$51</f>
        <v>0.57118532277338685</v>
      </c>
      <c r="T63" s="992">
        <f t="shared" si="15"/>
        <v>0.4893180119215903</v>
      </c>
      <c r="U63" s="208">
        <f t="shared" ref="U63:Z63" si="46">U20</f>
        <v>4638160</v>
      </c>
      <c r="V63" s="208">
        <f t="shared" si="46"/>
        <v>4909000</v>
      </c>
      <c r="W63" s="208">
        <f t="shared" si="46"/>
        <v>5171000</v>
      </c>
      <c r="X63" s="208">
        <f t="shared" si="46"/>
        <v>5447000</v>
      </c>
      <c r="Y63" s="208">
        <f t="shared" si="46"/>
        <v>5741000</v>
      </c>
      <c r="Z63" s="208">
        <f t="shared" si="46"/>
        <v>25906160</v>
      </c>
      <c r="AA63" s="992"/>
      <c r="AB63" s="992">
        <f>Z63/$Z$51</f>
        <v>0.54565911226448793</v>
      </c>
      <c r="AC63" s="992">
        <f>+Z63/Q63-1</f>
        <v>0.20033419340035064</v>
      </c>
    </row>
    <row r="64" spans="1:29" s="715" customFormat="1" x14ac:dyDescent="0.25">
      <c r="A64" s="1109" t="s">
        <v>564</v>
      </c>
      <c r="B64" s="1110" t="s">
        <v>1173</v>
      </c>
      <c r="C64" s="994"/>
      <c r="D64" s="994">
        <f>D63/C63</f>
        <v>1.6575634265112722</v>
      </c>
      <c r="E64" s="994">
        <f>E63/D63</f>
        <v>1.2155960377958837</v>
      </c>
      <c r="F64" s="994">
        <f>F63/E63</f>
        <v>1.1415819408943886</v>
      </c>
      <c r="G64" s="994">
        <f>G63/F63</f>
        <v>1.0416359983739356</v>
      </c>
      <c r="H64" s="994">
        <f>H63/G63</f>
        <v>1.0622378263681584</v>
      </c>
      <c r="I64" s="994"/>
      <c r="J64" s="994">
        <f>(D64*E64*F64*G64*H64)^(1/5)-1</f>
        <v>0.20542682795877787</v>
      </c>
      <c r="K64" s="994"/>
      <c r="L64" s="994">
        <f>L63/H63</f>
        <v>1.0566150656619318</v>
      </c>
      <c r="M64" s="994">
        <f>M63/L63</f>
        <v>1.1254029891178674</v>
      </c>
      <c r="N64" s="994">
        <f>N63/M63</f>
        <v>1.0708923958435979</v>
      </c>
      <c r="O64" s="994">
        <f>O63/N63</f>
        <v>1.1408456572276062</v>
      </c>
      <c r="P64" s="994">
        <f>P63/O63</f>
        <v>0.97365841218835913</v>
      </c>
      <c r="Q64" s="994"/>
      <c r="R64" s="994">
        <f>(L64*M64*N64*O64*P64)^(1/5)-1</f>
        <v>7.1817496761481303E-2</v>
      </c>
      <c r="S64" s="994"/>
      <c r="T64" s="994"/>
      <c r="U64" s="994">
        <f>U63/P63</f>
        <v>0.97028332634619552</v>
      </c>
      <c r="V64" s="994">
        <f>V63/U63</f>
        <v>1.0583938458354174</v>
      </c>
      <c r="W64" s="994">
        <f>W63/V63</f>
        <v>1.0533713587288653</v>
      </c>
      <c r="X64" s="994">
        <f>X63/W63</f>
        <v>1.0533745890543416</v>
      </c>
      <c r="Y64" s="994">
        <f>Y63/X63</f>
        <v>1.0539746649531851</v>
      </c>
      <c r="Z64" s="994"/>
      <c r="AA64" s="994">
        <f>(U64*V64*W64*X64*Y64)^(1/5)-1</f>
        <v>3.7308837195283218E-2</v>
      </c>
      <c r="AB64" s="994"/>
      <c r="AC64" s="994"/>
    </row>
    <row r="65" spans="1:29" s="715" customFormat="1" x14ac:dyDescent="0.25">
      <c r="A65" s="1091" t="s">
        <v>564</v>
      </c>
      <c r="B65" s="1114" t="s">
        <v>429</v>
      </c>
      <c r="C65" s="994"/>
      <c r="D65" s="994">
        <f t="shared" ref="D65:I65" si="47">D63/D51</f>
        <v>0.59466348798874291</v>
      </c>
      <c r="E65" s="994">
        <f t="shared" si="47"/>
        <v>0.56860320634208583</v>
      </c>
      <c r="F65" s="994">
        <f t="shared" si="47"/>
        <v>0.57329057313770282</v>
      </c>
      <c r="G65" s="994">
        <f t="shared" si="47"/>
        <v>0.56072118069613741</v>
      </c>
      <c r="H65" s="994">
        <f t="shared" si="47"/>
        <v>0.56862050340261994</v>
      </c>
      <c r="I65" s="994">
        <f t="shared" si="47"/>
        <v>0.5716329528918247</v>
      </c>
      <c r="J65" s="994"/>
      <c r="K65" s="994"/>
      <c r="L65" s="994">
        <f>L63/L51</f>
        <v>0.5730337520199732</v>
      </c>
      <c r="M65" s="994">
        <f>M63/M51</f>
        <v>0.57321329602006732</v>
      </c>
      <c r="N65" s="994">
        <f>N63/N51</f>
        <v>0.57066563166384243</v>
      </c>
      <c r="O65" s="994">
        <f>O63/O51</f>
        <v>0.58483957624078986</v>
      </c>
      <c r="P65" s="994">
        <f>P63/P51</f>
        <v>0.55533467072437992</v>
      </c>
      <c r="Q65" s="994">
        <f>(L65*M65*N65*O65*P65)^(1/5)</f>
        <v>0.57133909652178605</v>
      </c>
      <c r="R65" s="994"/>
      <c r="S65" s="994"/>
      <c r="T65" s="994"/>
      <c r="U65" s="994">
        <f t="shared" ref="U65:Z65" si="48">U63/U51</f>
        <v>0.54786889540896266</v>
      </c>
      <c r="V65" s="994">
        <f t="shared" si="48"/>
        <v>0.5469637883008357</v>
      </c>
      <c r="W65" s="994">
        <f t="shared" si="48"/>
        <v>0.54586720152010981</v>
      </c>
      <c r="X65" s="994">
        <f t="shared" si="48"/>
        <v>0.54469999999999996</v>
      </c>
      <c r="Y65" s="994">
        <f t="shared" si="48"/>
        <v>0.54350089936571044</v>
      </c>
      <c r="Z65" s="994">
        <f t="shared" si="48"/>
        <v>0.54565911226448793</v>
      </c>
      <c r="AA65" s="994"/>
      <c r="AB65" s="994"/>
      <c r="AC65" s="994"/>
    </row>
    <row r="66" spans="1:29" s="715" customFormat="1" x14ac:dyDescent="0.25">
      <c r="A66" s="1091"/>
      <c r="B66" s="1114" t="s">
        <v>375</v>
      </c>
      <c r="C66" s="1010"/>
      <c r="D66" s="1010"/>
      <c r="E66" s="1010"/>
      <c r="F66" s="1010"/>
      <c r="G66" s="1010"/>
      <c r="H66" s="1010"/>
      <c r="I66" s="1010"/>
      <c r="J66" s="994"/>
      <c r="K66" s="994"/>
      <c r="L66" s="1010"/>
      <c r="M66" s="1010"/>
      <c r="N66" s="1010"/>
      <c r="O66" s="1010"/>
      <c r="P66" s="1010"/>
      <c r="Q66" s="1010"/>
      <c r="R66" s="994"/>
      <c r="S66" s="994"/>
      <c r="T66" s="994"/>
      <c r="U66" s="1010"/>
      <c r="V66" s="1010"/>
      <c r="W66" s="1010"/>
      <c r="X66" s="1010"/>
      <c r="Y66" s="1010"/>
      <c r="Z66" s="1010"/>
      <c r="AA66" s="994"/>
      <c r="AB66" s="994"/>
      <c r="AC66" s="994"/>
    </row>
    <row r="67" spans="1:29" s="715" customFormat="1" x14ac:dyDescent="0.25">
      <c r="A67" s="1091" t="s">
        <v>852</v>
      </c>
      <c r="B67" s="1114" t="s">
        <v>285</v>
      </c>
      <c r="C67" s="208">
        <f t="shared" ref="C67:H67" si="49">C22</f>
        <v>154262.51921500001</v>
      </c>
      <c r="D67" s="208">
        <f t="shared" si="49"/>
        <v>490696.08976399997</v>
      </c>
      <c r="E67" s="208">
        <f t="shared" si="49"/>
        <v>548010.31741000002</v>
      </c>
      <c r="F67" s="208">
        <f t="shared" si="49"/>
        <v>764485.16498500004</v>
      </c>
      <c r="G67" s="208">
        <f t="shared" si="49"/>
        <v>783114.82380200003</v>
      </c>
      <c r="H67" s="208">
        <f t="shared" si="49"/>
        <v>796081.78902999999</v>
      </c>
      <c r="I67" s="208">
        <f>SUM(D67:H67)</f>
        <v>3382388.1849910002</v>
      </c>
      <c r="J67" s="992"/>
      <c r="K67" s="992">
        <f>I67/$I$51</f>
        <v>0.13342194931983412</v>
      </c>
      <c r="L67" s="208">
        <f>L22</f>
        <v>765575.05895500001</v>
      </c>
      <c r="M67" s="208">
        <f>M22</f>
        <v>975931.92331099999</v>
      </c>
      <c r="N67" s="208">
        <f>N22</f>
        <v>1107514.761126</v>
      </c>
      <c r="O67" s="208">
        <f>O22</f>
        <v>1591367</v>
      </c>
      <c r="P67" s="208">
        <f>P22</f>
        <v>1582205</v>
      </c>
      <c r="Q67" s="208">
        <f>SUM(L67:P67)</f>
        <v>6022593.743392</v>
      </c>
      <c r="R67" s="992"/>
      <c r="S67" s="992"/>
      <c r="T67" s="992"/>
      <c r="U67" s="208">
        <f>U22</f>
        <v>1604001</v>
      </c>
      <c r="V67" s="208">
        <f>V22</f>
        <v>1702000</v>
      </c>
      <c r="W67" s="208">
        <f>W22</f>
        <v>1797000</v>
      </c>
      <c r="X67" s="208">
        <f>X22</f>
        <v>1899000</v>
      </c>
      <c r="Y67" s="208">
        <f>Y22</f>
        <v>2008000</v>
      </c>
      <c r="Z67" s="208">
        <f>SUM(U67:Y67)</f>
        <v>9010001</v>
      </c>
      <c r="AA67" s="992"/>
      <c r="AB67" s="992">
        <f>Z67/$Z$51</f>
        <v>0.18977683868092179</v>
      </c>
      <c r="AC67" s="992"/>
    </row>
    <row r="68" spans="1:29" s="715" customFormat="1" x14ac:dyDescent="0.25">
      <c r="A68" s="1091"/>
      <c r="B68" s="1110" t="s">
        <v>1173</v>
      </c>
      <c r="C68" s="994"/>
      <c r="D68" s="994">
        <f>D67/C67</f>
        <v>3.1809158327053058</v>
      </c>
      <c r="E68" s="994">
        <f>E67/D67</f>
        <v>1.1168018837760971</v>
      </c>
      <c r="F68" s="994">
        <f>F67/E67</f>
        <v>1.395019656925623</v>
      </c>
      <c r="G68" s="994">
        <f>G67/F67</f>
        <v>1.0243688951339762</v>
      </c>
      <c r="H68" s="994">
        <f>H67/G67</f>
        <v>1.0165581915114896</v>
      </c>
      <c r="I68" s="994"/>
      <c r="J68" s="994">
        <f>(D68*E68*F68*G68*H68)^(1/5)-1</f>
        <v>0.38847944214347718</v>
      </c>
      <c r="K68" s="994"/>
      <c r="L68" s="994">
        <f>L67/H67</f>
        <v>0.96167889971183562</v>
      </c>
      <c r="M68" s="994">
        <f>M67/L67</f>
        <v>1.274769745821049</v>
      </c>
      <c r="N68" s="994">
        <f>N67/M67</f>
        <v>1.1348278857080367</v>
      </c>
      <c r="O68" s="994">
        <f>O67/N67</f>
        <v>1.4368810745078213</v>
      </c>
      <c r="P68" s="994">
        <f>P67/O67</f>
        <v>0.9942426856909814</v>
      </c>
      <c r="Q68" s="994"/>
      <c r="R68" s="994">
        <f>(L68*M68*N68*O68*P68)^(1/5)-1</f>
        <v>0.1472577831244466</v>
      </c>
      <c r="S68" s="994"/>
      <c r="T68" s="994"/>
      <c r="U68" s="994">
        <f>U67/P67</f>
        <v>1.0137757117440533</v>
      </c>
      <c r="V68" s="994">
        <f>V67/U67</f>
        <v>1.0610965953263121</v>
      </c>
      <c r="W68" s="994">
        <f>W67/V67</f>
        <v>1.0558166862514688</v>
      </c>
      <c r="X68" s="994">
        <f>X67/W67</f>
        <v>1.0567612687813022</v>
      </c>
      <c r="Y68" s="994">
        <f>Y67/X67</f>
        <v>1.0573986308583465</v>
      </c>
      <c r="Z68" s="994"/>
      <c r="AA68" s="994">
        <f>(U68*V68*W68*X68*Y68)^(1/5)-1</f>
        <v>4.8818142453658009E-2</v>
      </c>
      <c r="AB68" s="994"/>
      <c r="AC68" s="994"/>
    </row>
    <row r="69" spans="1:29" s="715" customFormat="1" x14ac:dyDescent="0.25">
      <c r="A69" s="1091"/>
      <c r="B69" s="1114" t="s">
        <v>429</v>
      </c>
      <c r="C69" s="994"/>
      <c r="D69" s="994">
        <f>D67/D51</f>
        <v>0.13257909003966123</v>
      </c>
      <c r="E69" s="994">
        <f>E67/E51</f>
        <v>0.11646620552219264</v>
      </c>
      <c r="F69" s="994">
        <f>F67/F51</f>
        <v>0.14349562489544354</v>
      </c>
      <c r="G69" s="994">
        <f>G67/G51</f>
        <v>0.13802292379525019</v>
      </c>
      <c r="H69" s="994">
        <f>H67/H51</f>
        <v>0.1339483162117413</v>
      </c>
      <c r="I69" s="994"/>
      <c r="J69" s="994"/>
      <c r="K69" s="994"/>
      <c r="L69" s="994">
        <f>L67/L51</f>
        <v>0.12285935603422224</v>
      </c>
      <c r="M69" s="994">
        <f>M67/M51</f>
        <v>0.13920921059396923</v>
      </c>
      <c r="N69" s="994">
        <f>N67/N51</f>
        <v>0.14686475914844155</v>
      </c>
      <c r="O69" s="994">
        <f>O67/O51</f>
        <v>0.18956867051283594</v>
      </c>
      <c r="P69" s="994">
        <f>P67/P51</f>
        <v>0.18381052821370003</v>
      </c>
      <c r="Q69" s="994">
        <f>(L69*M69*N69*O69*P69)^(1/5)</f>
        <v>0.15432139838993278</v>
      </c>
      <c r="R69" s="994"/>
      <c r="S69" s="994"/>
      <c r="T69" s="994"/>
      <c r="U69" s="994">
        <f>U67/U51</f>
        <v>0.18946786141592173</v>
      </c>
      <c r="V69" s="994">
        <f>V67/V51</f>
        <v>0.18963788300835654</v>
      </c>
      <c r="W69" s="994">
        <f>W67/W51</f>
        <v>0.18969703367465429</v>
      </c>
      <c r="X69" s="994">
        <f>X67/X51</f>
        <v>0.18990000000000001</v>
      </c>
      <c r="Y69" s="994">
        <f>Y67/Y51</f>
        <v>0.19009751017703305</v>
      </c>
      <c r="Z69" s="994"/>
      <c r="AA69" s="994"/>
      <c r="AB69" s="994"/>
      <c r="AC69" s="994"/>
    </row>
    <row r="70" spans="1:29" s="715" customFormat="1" x14ac:dyDescent="0.25">
      <c r="A70" s="1091" t="s">
        <v>852</v>
      </c>
      <c r="B70" s="1114" t="s">
        <v>794</v>
      </c>
      <c r="C70" s="208">
        <f t="shared" ref="C70:H70" si="50">C27</f>
        <v>622912.42801599996</v>
      </c>
      <c r="D70" s="208">
        <f t="shared" si="50"/>
        <v>717228.87336099998</v>
      </c>
      <c r="E70" s="208">
        <f t="shared" si="50"/>
        <v>908800.16295799997</v>
      </c>
      <c r="F70" s="208">
        <f t="shared" si="50"/>
        <v>916290.82646599994</v>
      </c>
      <c r="G70" s="208">
        <f t="shared" si="50"/>
        <v>1102294.9754869998</v>
      </c>
      <c r="H70" s="208">
        <f t="shared" si="50"/>
        <v>1151725.5044160001</v>
      </c>
      <c r="I70" s="208">
        <f>SUM(D70:H70)</f>
        <v>4796340.3426879998</v>
      </c>
      <c r="J70" s="992"/>
      <c r="K70" s="992">
        <f>I70/$I$51</f>
        <v>0.18919681690068843</v>
      </c>
      <c r="L70" s="208">
        <f>L27</f>
        <v>1165502.862461</v>
      </c>
      <c r="M70" s="208">
        <f>M27</f>
        <v>1339203.8982509999</v>
      </c>
      <c r="N70" s="208">
        <f>N27</f>
        <v>1385398.590177</v>
      </c>
      <c r="O70" s="208">
        <f>O27</f>
        <v>1476156</v>
      </c>
      <c r="P70" s="208">
        <f>P27</f>
        <v>1344176</v>
      </c>
      <c r="Q70" s="208">
        <f>SUM(L70:P70)</f>
        <v>6710437.3508889992</v>
      </c>
      <c r="R70" s="992"/>
      <c r="S70" s="992"/>
      <c r="T70" s="992"/>
      <c r="U70" s="208">
        <f>U27</f>
        <v>1351525</v>
      </c>
      <c r="V70" s="208">
        <f>V27</f>
        <v>1433000</v>
      </c>
      <c r="W70" s="208">
        <f>W27</f>
        <v>1513000</v>
      </c>
      <c r="X70" s="208">
        <f>X27</f>
        <v>1598000</v>
      </c>
      <c r="Y70" s="208">
        <f>Y27</f>
        <v>1689000</v>
      </c>
      <c r="Z70" s="208">
        <f>SUM(U70:Y70)</f>
        <v>7584525</v>
      </c>
      <c r="AA70" s="992"/>
      <c r="AB70" s="992">
        <f>Z70/$Z$51</f>
        <v>0.15975216622022775</v>
      </c>
      <c r="AC70" s="992"/>
    </row>
    <row r="71" spans="1:29" s="715" customFormat="1" x14ac:dyDescent="0.25">
      <c r="A71" s="1091"/>
      <c r="B71" s="1110" t="s">
        <v>1173</v>
      </c>
      <c r="C71" s="994"/>
      <c r="D71" s="994">
        <f>D70/C70</f>
        <v>1.1514120462251838</v>
      </c>
      <c r="E71" s="994">
        <f>E70/D70</f>
        <v>1.2670992436476789</v>
      </c>
      <c r="F71" s="994">
        <f>F70/E70</f>
        <v>1.0082423659384248</v>
      </c>
      <c r="G71" s="994">
        <f>G70/F70</f>
        <v>1.202996847342007</v>
      </c>
      <c r="H71" s="994">
        <f>H70/G70</f>
        <v>1.0448432860788117</v>
      </c>
      <c r="I71" s="994"/>
      <c r="J71" s="994">
        <f>(D71*E71*F71*G71*H71)^(1/5)-1</f>
        <v>0.13079634918081728</v>
      </c>
      <c r="K71" s="994"/>
      <c r="L71" s="994">
        <f>L70/H70</f>
        <v>1.0119623625526866</v>
      </c>
      <c r="M71" s="994">
        <f>M70/L70</f>
        <v>1.1490352717137253</v>
      </c>
      <c r="N71" s="994">
        <f>N70/M70</f>
        <v>1.0344941438613868</v>
      </c>
      <c r="O71" s="994">
        <f>O70/N70</f>
        <v>1.0655099625959665</v>
      </c>
      <c r="P71" s="994">
        <f>P70/O70</f>
        <v>0.91059210544143032</v>
      </c>
      <c r="Q71" s="994"/>
      <c r="R71" s="994">
        <f>(L71*M71*N71*O71*P71)^(1/5)-1</f>
        <v>3.1386471476968714E-2</v>
      </c>
      <c r="S71" s="994"/>
      <c r="T71" s="994"/>
      <c r="U71" s="994">
        <f>U70/P70</f>
        <v>1.0054672899977384</v>
      </c>
      <c r="V71" s="994">
        <f>V70/U70</f>
        <v>1.0602837535376703</v>
      </c>
      <c r="W71" s="994">
        <f>W70/V70</f>
        <v>1.0558269364968598</v>
      </c>
      <c r="X71" s="994">
        <f>X70/W70</f>
        <v>1.0561797752808988</v>
      </c>
      <c r="Y71" s="994">
        <f>Y70/X70</f>
        <v>1.0569461827284106</v>
      </c>
      <c r="Z71" s="994"/>
      <c r="AA71" s="994">
        <f>(U71*V71*W71*X71*Y71)^(1/5)-1</f>
        <v>4.6730074744783634E-2</v>
      </c>
      <c r="AB71" s="994"/>
      <c r="AC71" s="994"/>
    </row>
    <row r="72" spans="1:29" s="715" customFormat="1" x14ac:dyDescent="0.25">
      <c r="A72" s="1091"/>
      <c r="B72" s="1114" t="s">
        <v>429</v>
      </c>
      <c r="C72" s="994"/>
      <c r="D72" s="994">
        <f>D70/D51</f>
        <v>0.19378501961592168</v>
      </c>
      <c r="E72" s="994">
        <f>E70/E51</f>
        <v>0.19314327339293477</v>
      </c>
      <c r="F72" s="994">
        <f>F70/F51</f>
        <v>0.17198989692923725</v>
      </c>
      <c r="G72" s="994">
        <f>G70/G51</f>
        <v>0.19427799190785897</v>
      </c>
      <c r="H72" s="994">
        <f>H70/H51</f>
        <v>0.19378874655909004</v>
      </c>
      <c r="I72" s="994"/>
      <c r="J72" s="994"/>
      <c r="K72" s="994"/>
      <c r="L72" s="994">
        <f>L70/L51</f>
        <v>0.18703970232972014</v>
      </c>
      <c r="M72" s="994">
        <f>M70/M51</f>
        <v>0.19102717417767931</v>
      </c>
      <c r="N72" s="994">
        <f>N70/N51</f>
        <v>0.18371423787081029</v>
      </c>
      <c r="O72" s="994">
        <f>O70/O51</f>
        <v>0.17584437178196222</v>
      </c>
      <c r="P72" s="994">
        <f>P70/P51</f>
        <v>0.15615783073127595</v>
      </c>
      <c r="Q72" s="994">
        <f>(L72*M72*N72*O72*P72)^(1/5)</f>
        <v>0.17830881009877234</v>
      </c>
      <c r="R72" s="994"/>
      <c r="S72" s="994"/>
      <c r="T72" s="994"/>
      <c r="U72" s="994">
        <f>U70/U51</f>
        <v>0.15964488264044327</v>
      </c>
      <c r="V72" s="994">
        <f>V70/V51</f>
        <v>0.15966573816155988</v>
      </c>
      <c r="W72" s="994">
        <f>W70/W51</f>
        <v>0.15971709067877124</v>
      </c>
      <c r="X72" s="994">
        <f>X70/X51</f>
        <v>0.1598</v>
      </c>
      <c r="Y72" s="994">
        <f>Y70/Y51</f>
        <v>0.15989775631922748</v>
      </c>
      <c r="Z72" s="994"/>
      <c r="AA72" s="994"/>
      <c r="AB72" s="994"/>
      <c r="AC72" s="994"/>
    </row>
    <row r="73" spans="1:29" s="715" customFormat="1" x14ac:dyDescent="0.25">
      <c r="A73" s="1091" t="s">
        <v>852</v>
      </c>
      <c r="B73" s="1114" t="s">
        <v>791</v>
      </c>
      <c r="C73" s="208">
        <f t="shared" ref="C73:H73" si="51">C21</f>
        <v>203470.804259</v>
      </c>
      <c r="D73" s="208">
        <f t="shared" si="51"/>
        <v>437527.82894199999</v>
      </c>
      <c r="E73" s="208">
        <f t="shared" si="51"/>
        <v>556462.56830799999</v>
      </c>
      <c r="F73" s="208">
        <f t="shared" si="51"/>
        <v>576982.66837099998</v>
      </c>
      <c r="G73" s="208">
        <f t="shared" si="51"/>
        <v>616646.97566200001</v>
      </c>
      <c r="H73" s="208">
        <f t="shared" si="51"/>
        <v>662261.89618699998</v>
      </c>
      <c r="I73" s="208">
        <f>SUM(D73:H73)</f>
        <v>2849881.9374699998</v>
      </c>
      <c r="J73" s="992"/>
      <c r="K73" s="992">
        <f>I73/$I$51</f>
        <v>0.11241666616383497</v>
      </c>
      <c r="L73" s="208">
        <f>L21</f>
        <v>698207.90548199997</v>
      </c>
      <c r="M73" s="208">
        <f>M21</f>
        <v>712910.13209700002</v>
      </c>
      <c r="N73" s="208">
        <f>N21</f>
        <v>722455.72826600005</v>
      </c>
      <c r="O73" s="208">
        <f>O21</f>
        <v>780602</v>
      </c>
      <c r="P73" s="208">
        <f>P21</f>
        <v>764071</v>
      </c>
      <c r="Q73" s="208">
        <f>SUM(L73:P73)</f>
        <v>3678246.7658449998</v>
      </c>
      <c r="R73" s="992"/>
      <c r="S73" s="992">
        <f>Q73/$Q$51</f>
        <v>9.7345758946243977E-2</v>
      </c>
      <c r="T73" s="992"/>
      <c r="U73" s="208">
        <f>U21</f>
        <v>770000</v>
      </c>
      <c r="V73" s="208">
        <f>V21</f>
        <v>807000</v>
      </c>
      <c r="W73" s="208">
        <f>W21</f>
        <v>840000</v>
      </c>
      <c r="X73" s="208">
        <f>X21</f>
        <v>874000</v>
      </c>
      <c r="Y73" s="208">
        <f>Y21</f>
        <v>909000</v>
      </c>
      <c r="Z73" s="208">
        <f>SUM(U73:Y73)</f>
        <v>4200000</v>
      </c>
      <c r="AA73" s="992"/>
      <c r="AB73" s="992">
        <f>Z73/$Z$51</f>
        <v>8.8464221309173169E-2</v>
      </c>
      <c r="AC73" s="992"/>
    </row>
    <row r="74" spans="1:29" s="715" customFormat="1" x14ac:dyDescent="0.25">
      <c r="A74" s="1091"/>
      <c r="B74" s="1110" t="s">
        <v>1173</v>
      </c>
      <c r="C74" s="994"/>
      <c r="D74" s="994">
        <f>D73/C73</f>
        <v>2.1503224039212352</v>
      </c>
      <c r="E74" s="994">
        <f>E73/D73</f>
        <v>1.2718335417740168</v>
      </c>
      <c r="F74" s="994">
        <f>F73/E73</f>
        <v>1.0368759755492525</v>
      </c>
      <c r="G74" s="994">
        <f>G73/F73</f>
        <v>1.0687443652388808</v>
      </c>
      <c r="H74" s="994">
        <f>H73/G73</f>
        <v>1.0739725034344492</v>
      </c>
      <c r="I74" s="994"/>
      <c r="J74" s="994">
        <f>(D74*E74*F74*G74*H74)^(1/5)-1</f>
        <v>0.26620940006647875</v>
      </c>
      <c r="K74" s="994"/>
      <c r="L74" s="994">
        <f>L73/H73</f>
        <v>1.0542776347272289</v>
      </c>
      <c r="M74" s="994">
        <f>M73/L73</f>
        <v>1.0210570898718923</v>
      </c>
      <c r="N74" s="994">
        <f>N73/M73</f>
        <v>1.0133896205695969</v>
      </c>
      <c r="O74" s="994">
        <f>O73/N73</f>
        <v>1.080484200566254</v>
      </c>
      <c r="P74" s="994">
        <f>P73/O73</f>
        <v>0.97882275474569624</v>
      </c>
      <c r="Q74" s="994"/>
      <c r="R74" s="994">
        <f>(L74*M74*N74*O74*P74)^(1/5)-1</f>
        <v>2.9012829908843241E-2</v>
      </c>
      <c r="S74" s="994"/>
      <c r="T74" s="994"/>
      <c r="U74" s="994">
        <f>U73/P73</f>
        <v>1.0077597500755819</v>
      </c>
      <c r="V74" s="994">
        <f>V73/U73</f>
        <v>1.0480519480519481</v>
      </c>
      <c r="W74" s="994">
        <f>W73/V73</f>
        <v>1.0408921933085502</v>
      </c>
      <c r="X74" s="994">
        <f>X73/W73</f>
        <v>1.0404761904761906</v>
      </c>
      <c r="Y74" s="994">
        <f>Y73/X73</f>
        <v>1.0400457665903891</v>
      </c>
      <c r="Z74" s="994"/>
      <c r="AA74" s="994">
        <f>(U74*V74*W74*X74*Y74)^(1/5)-1</f>
        <v>3.5347247706291052E-2</v>
      </c>
      <c r="AB74" s="994"/>
      <c r="AC74" s="994"/>
    </row>
    <row r="75" spans="1:29" s="715" customFormat="1" x14ac:dyDescent="0.25">
      <c r="A75" s="1091"/>
      <c r="B75" s="1114" t="s">
        <v>429</v>
      </c>
      <c r="C75" s="994"/>
      <c r="D75" s="994">
        <f>D73/D51</f>
        <v>0.11821378372111621</v>
      </c>
      <c r="E75" s="994">
        <f>E73/E51</f>
        <v>0.11826252496899443</v>
      </c>
      <c r="F75" s="994">
        <f>F73/F51</f>
        <v>0.10830097475254687</v>
      </c>
      <c r="G75" s="994">
        <f>G73/G51</f>
        <v>0.10868319171530201</v>
      </c>
      <c r="H75" s="994">
        <f>H73/H51</f>
        <v>0.1114318492243524</v>
      </c>
      <c r="I75" s="994"/>
      <c r="J75" s="994"/>
      <c r="K75" s="994"/>
      <c r="L75" s="994">
        <f>L73/L51</f>
        <v>0.11204828663385674</v>
      </c>
      <c r="M75" s="994">
        <f>M73/M51</f>
        <v>0.10169116753243017</v>
      </c>
      <c r="N75" s="994">
        <f>N73/N51</f>
        <v>9.5803045026076047E-2</v>
      </c>
      <c r="O75" s="994">
        <f>O73/O51</f>
        <v>9.2987779273832352E-2</v>
      </c>
      <c r="P75" s="994">
        <f>P73/P51</f>
        <v>8.8764916115655054E-2</v>
      </c>
      <c r="Q75" s="994">
        <f>(L75*M75*N75*O75*P75)^(1/5)</f>
        <v>9.7937045398817688E-2</v>
      </c>
      <c r="R75" s="994"/>
      <c r="S75" s="994"/>
      <c r="T75" s="994"/>
      <c r="U75" s="994">
        <f>U73/U51</f>
        <v>9.0953966543823692E-2</v>
      </c>
      <c r="V75" s="994">
        <f>V73/V51</f>
        <v>8.9916434540389972E-2</v>
      </c>
      <c r="W75" s="994">
        <f>W73/W51</f>
        <v>8.8673070832893483E-2</v>
      </c>
      <c r="X75" s="994">
        <f>X73/X51</f>
        <v>8.7400000000000005E-2</v>
      </c>
      <c r="Y75" s="994">
        <f>Y73/Y51</f>
        <v>8.6055097983527409E-2</v>
      </c>
      <c r="Z75" s="994"/>
      <c r="AA75" s="994"/>
      <c r="AB75" s="994"/>
      <c r="AC75" s="994"/>
    </row>
    <row r="76" spans="1:29" s="715" customFormat="1" x14ac:dyDescent="0.25">
      <c r="A76" s="1091" t="s">
        <v>852</v>
      </c>
      <c r="B76" s="1114" t="s">
        <v>1262</v>
      </c>
      <c r="C76" s="208">
        <f t="shared" ref="C76:H76" si="52">C23</f>
        <v>43533.981120999997</v>
      </c>
      <c r="D76" s="208">
        <f t="shared" si="52"/>
        <v>39757.294290999998</v>
      </c>
      <c r="E76" s="208">
        <f t="shared" si="52"/>
        <v>52360.173611999999</v>
      </c>
      <c r="F76" s="208">
        <f t="shared" si="52"/>
        <v>52303.291445000003</v>
      </c>
      <c r="G76" s="208">
        <f t="shared" si="52"/>
        <v>63059.284599999999</v>
      </c>
      <c r="H76" s="208">
        <f t="shared" si="52"/>
        <v>67830.687684999997</v>
      </c>
      <c r="I76" s="208">
        <f>SUM(D76:H76)</f>
        <v>275310.73163300002</v>
      </c>
      <c r="J76" s="992"/>
      <c r="K76" s="992">
        <f>I76/$I$51</f>
        <v>1.0859928687706882E-2</v>
      </c>
      <c r="L76" s="208">
        <f>L23</f>
        <v>71963.686795999995</v>
      </c>
      <c r="M76" s="208">
        <f>M23</f>
        <v>82277.291335000002</v>
      </c>
      <c r="N76" s="208">
        <f>N23</f>
        <v>83162.060146000003</v>
      </c>
      <c r="O76" s="208">
        <f>O23</f>
        <v>83133</v>
      </c>
      <c r="P76" s="208">
        <f>P23</f>
        <v>77000</v>
      </c>
      <c r="Q76" s="208">
        <f>SUM(L76:P76)</f>
        <v>397536.03827700001</v>
      </c>
      <c r="R76" s="992"/>
      <c r="S76" s="992">
        <f>Q76/$Q$51</f>
        <v>1.0520894822473257E-2</v>
      </c>
      <c r="T76" s="992"/>
      <c r="U76" s="208">
        <f>U23</f>
        <v>77733</v>
      </c>
      <c r="V76" s="208">
        <f>V23</f>
        <v>82000</v>
      </c>
      <c r="W76" s="208">
        <f>W23</f>
        <v>87000</v>
      </c>
      <c r="X76" s="208">
        <f>X23</f>
        <v>92000</v>
      </c>
      <c r="Y76" s="208">
        <f>Y23</f>
        <v>97000</v>
      </c>
      <c r="Z76" s="208">
        <f>SUM(U76:Y76)</f>
        <v>435733</v>
      </c>
      <c r="AA76" s="992"/>
      <c r="AB76" s="992">
        <f>Z76/$Z$51</f>
        <v>9.1778048913595117E-3</v>
      </c>
      <c r="AC76" s="992"/>
    </row>
    <row r="77" spans="1:29" s="715" customFormat="1" x14ac:dyDescent="0.25">
      <c r="A77" s="1091"/>
      <c r="B77" s="1110" t="s">
        <v>1173</v>
      </c>
      <c r="C77" s="994"/>
      <c r="D77" s="994">
        <f>D76/C76</f>
        <v>0.91324738209669054</v>
      </c>
      <c r="E77" s="994">
        <f>E76/D76</f>
        <v>1.3169953978445903</v>
      </c>
      <c r="F77" s="994">
        <f>F76/E76</f>
        <v>0.99891363677627376</v>
      </c>
      <c r="G77" s="994">
        <f>G76/F76</f>
        <v>1.2056465828027392</v>
      </c>
      <c r="H77" s="994">
        <f>H76/G76</f>
        <v>1.0756653538850962</v>
      </c>
      <c r="I77" s="994"/>
      <c r="J77" s="994">
        <f>(D77*E77*F77*G77*H77)^(1/5)-1</f>
        <v>9.2746859687812933E-2</v>
      </c>
      <c r="K77" s="994"/>
      <c r="L77" s="994">
        <f>L76/H76</f>
        <v>1.0609311102696364</v>
      </c>
      <c r="M77" s="994">
        <f>M76/L76</f>
        <v>1.1433167893167653</v>
      </c>
      <c r="N77" s="994">
        <f>N76/M76</f>
        <v>1.010753499497177</v>
      </c>
      <c r="O77" s="994">
        <f>O76/N76</f>
        <v>0.99965056005167519</v>
      </c>
      <c r="P77" s="994">
        <f>P76/O76</f>
        <v>0.92622664886386874</v>
      </c>
      <c r="Q77" s="994"/>
      <c r="R77" s="994">
        <f>(L77*M77*N77*O77*P77)^(1/5)-1</f>
        <v>2.568239440658715E-2</v>
      </c>
      <c r="S77" s="994"/>
      <c r="T77" s="994"/>
      <c r="U77" s="994">
        <f>U76/P76</f>
        <v>1.0095194805194805</v>
      </c>
      <c r="V77" s="994">
        <f>V76/U76</f>
        <v>1.054893031273719</v>
      </c>
      <c r="W77" s="994">
        <f>W76/V76</f>
        <v>1.0609756097560976</v>
      </c>
      <c r="X77" s="994">
        <f>X76/W76</f>
        <v>1.0574712643678161</v>
      </c>
      <c r="Y77" s="994">
        <f>Y76/X76</f>
        <v>1.0543478260869565</v>
      </c>
      <c r="Z77" s="994"/>
      <c r="AA77" s="994">
        <f>(U77*V77*W77*X77*Y77)^(1/5)-1</f>
        <v>4.7264065169796421E-2</v>
      </c>
      <c r="AB77" s="994"/>
      <c r="AC77" s="994"/>
    </row>
    <row r="78" spans="1:29" s="715" customFormat="1" x14ac:dyDescent="0.25">
      <c r="A78" s="1091"/>
      <c r="B78" s="1114" t="s">
        <v>429</v>
      </c>
      <c r="C78" s="994"/>
      <c r="D78" s="994">
        <f>D76/D51</f>
        <v>1.0741854295343736E-2</v>
      </c>
      <c r="E78" s="994">
        <f>E76/E51</f>
        <v>1.112787578506565E-2</v>
      </c>
      <c r="F78" s="994">
        <f>F76/F51</f>
        <v>9.817448177867576E-3</v>
      </c>
      <c r="G78" s="994">
        <f>G76/G51</f>
        <v>1.1114113241622646E-2</v>
      </c>
      <c r="H78" s="994">
        <f>H76/H51</f>
        <v>1.1413156949565458E-2</v>
      </c>
      <c r="I78" s="994"/>
      <c r="J78" s="994"/>
      <c r="K78" s="994"/>
      <c r="L78" s="994">
        <f>L76/L51</f>
        <v>1.1548720290958058E-2</v>
      </c>
      <c r="M78" s="994">
        <f>M76/M51</f>
        <v>1.1736225143344766E-2</v>
      </c>
      <c r="N78" s="994">
        <f>N76/N51</f>
        <v>1.1027912550089239E-2</v>
      </c>
      <c r="O78" s="994">
        <f>O76/O51</f>
        <v>9.9030659085827411E-3</v>
      </c>
      <c r="P78" s="994">
        <f>P76/P51</f>
        <v>8.9453709680192527E-3</v>
      </c>
      <c r="Q78" s="994">
        <f>(L78*M78*N78*O78*P78)^(1/5)</f>
        <v>1.0577541228140438E-2</v>
      </c>
      <c r="R78" s="994"/>
      <c r="S78" s="994"/>
      <c r="T78" s="994"/>
      <c r="U78" s="994">
        <f>U76/U51</f>
        <v>9.1819801056507097E-3</v>
      </c>
      <c r="V78" s="994">
        <f>V76/V51</f>
        <v>9.1364902506963792E-3</v>
      </c>
      <c r="W78" s="994">
        <f>W76/W51</f>
        <v>9.1839966219782534E-3</v>
      </c>
      <c r="X78" s="994">
        <f>X76/X51</f>
        <v>9.1999999999999998E-3</v>
      </c>
      <c r="Y78" s="994">
        <f>Y76/Y51</f>
        <v>9.1829972545678304E-3</v>
      </c>
      <c r="Z78" s="994"/>
      <c r="AA78" s="994"/>
      <c r="AB78" s="994"/>
      <c r="AC78" s="994"/>
    </row>
    <row r="79" spans="1:29" s="715" customFormat="1" x14ac:dyDescent="0.25">
      <c r="A79" s="1091" t="s">
        <v>852</v>
      </c>
      <c r="B79" s="1114" t="s">
        <v>1263</v>
      </c>
      <c r="C79" s="208">
        <f t="shared" ref="C79:H79" si="53">C24</f>
        <v>14485.369694999999</v>
      </c>
      <c r="D79" s="208">
        <f t="shared" si="53"/>
        <v>13384.146613999999</v>
      </c>
      <c r="E79" s="208">
        <f t="shared" si="53"/>
        <v>18335.384052000001</v>
      </c>
      <c r="F79" s="208">
        <f t="shared" si="53"/>
        <v>21908.077399999998</v>
      </c>
      <c r="G79" s="208">
        <f t="shared" si="53"/>
        <v>19416.014755</v>
      </c>
      <c r="H79" s="208">
        <f t="shared" si="53"/>
        <v>20078.266750999999</v>
      </c>
      <c r="I79" s="208">
        <f>SUM(D79:H79)</f>
        <v>93121.889572</v>
      </c>
      <c r="J79" s="992"/>
      <c r="K79" s="992">
        <f>I79/$I$51</f>
        <v>3.6732933511815797E-3</v>
      </c>
      <c r="L79" s="208">
        <f>L24</f>
        <v>20810.145353</v>
      </c>
      <c r="M79" s="208">
        <f>M24</f>
        <v>22929.685490999997</v>
      </c>
      <c r="N79" s="208">
        <f>N24</f>
        <v>21712.812980000002</v>
      </c>
      <c r="O79" s="208">
        <f>O24</f>
        <v>21575</v>
      </c>
      <c r="P79" s="208">
        <f>P24</f>
        <v>34956</v>
      </c>
      <c r="Q79" s="208">
        <f>SUM(L79:P79)</f>
        <v>121983.643824</v>
      </c>
      <c r="R79" s="992"/>
      <c r="S79" s="992">
        <f>Q79/$Q$51</f>
        <v>3.2283289140193536E-3</v>
      </c>
      <c r="T79" s="992"/>
      <c r="U79" s="208">
        <f>U24</f>
        <v>36574</v>
      </c>
      <c r="V79" s="208">
        <f>V24</f>
        <v>39000</v>
      </c>
      <c r="W79" s="208">
        <f>W24</f>
        <v>41000</v>
      </c>
      <c r="X79" s="208">
        <f>X24</f>
        <v>43000</v>
      </c>
      <c r="Y79" s="208">
        <f>Y24</f>
        <v>45000</v>
      </c>
      <c r="Z79" s="208">
        <f>SUM(U79:Y79)</f>
        <v>204574</v>
      </c>
      <c r="AA79" s="992"/>
      <c r="AB79" s="992">
        <f>Z79/$Z$51</f>
        <v>4.3089237166911406E-3</v>
      </c>
      <c r="AC79" s="992"/>
    </row>
    <row r="80" spans="1:29" s="715" customFormat="1" x14ac:dyDescent="0.25">
      <c r="A80" s="1091"/>
      <c r="B80" s="1110" t="s">
        <v>1173</v>
      </c>
      <c r="C80" s="994"/>
      <c r="D80" s="994">
        <f>D79/C79</f>
        <v>0.92397687430924769</v>
      </c>
      <c r="E80" s="994">
        <f>E79/D79</f>
        <v>1.3699329946685537</v>
      </c>
      <c r="F80" s="994">
        <f>F79/E79</f>
        <v>1.1948523869403376</v>
      </c>
      <c r="G80" s="994">
        <f>G79/F79</f>
        <v>0.88624914000897226</v>
      </c>
      <c r="H80" s="994">
        <f>H79/G79</f>
        <v>1.0341085441248676</v>
      </c>
      <c r="I80" s="994"/>
      <c r="J80" s="994">
        <f>(D80*E80*F80*G80*H80)^(1/5)-1</f>
        <v>6.7478968281253326E-2</v>
      </c>
      <c r="K80" s="994"/>
      <c r="L80" s="994">
        <f>L79/H79</f>
        <v>1.0364512839218829</v>
      </c>
      <c r="M80" s="994">
        <f>M79/L79</f>
        <v>1.1018512894574493</v>
      </c>
      <c r="N80" s="994">
        <f>N79/M79</f>
        <v>0.94693025722146862</v>
      </c>
      <c r="O80" s="994">
        <f>O79/N79</f>
        <v>0.99365291912535958</v>
      </c>
      <c r="P80" s="994">
        <f>P79/O79</f>
        <v>1.6202085747392816</v>
      </c>
      <c r="Q80" s="994"/>
      <c r="R80" s="994">
        <f>(L80*M80*N80*O80*P80)^(1/5)-1</f>
        <v>0.11727248146174296</v>
      </c>
      <c r="S80" s="994"/>
      <c r="T80" s="994"/>
      <c r="U80" s="994">
        <f>U79/P79</f>
        <v>1.046286760498913</v>
      </c>
      <c r="V80" s="994">
        <f>V79/U79</f>
        <v>1.0663312735823263</v>
      </c>
      <c r="W80" s="994">
        <f>W79/V79</f>
        <v>1.0512820512820513</v>
      </c>
      <c r="X80" s="994">
        <f>X79/W79</f>
        <v>1.0487804878048781</v>
      </c>
      <c r="Y80" s="994">
        <f>Y79/X79</f>
        <v>1.0465116279069768</v>
      </c>
      <c r="Z80" s="994"/>
      <c r="AA80" s="994">
        <f>(U80*V80*W80*X80*Y80)^(1/5)-1</f>
        <v>5.1812085491135251E-2</v>
      </c>
      <c r="AB80" s="994"/>
      <c r="AC80" s="994"/>
    </row>
    <row r="81" spans="1:29" s="715" customFormat="1" x14ac:dyDescent="0.25">
      <c r="A81" s="1091"/>
      <c r="B81" s="1114" t="s">
        <v>429</v>
      </c>
      <c r="C81" s="994"/>
      <c r="D81" s="994">
        <f>D79/D51</f>
        <v>3.6162056638661165E-3</v>
      </c>
      <c r="E81" s="994">
        <f>E79/E51</f>
        <v>3.8967379618345815E-3</v>
      </c>
      <c r="F81" s="994">
        <f>F79/F51</f>
        <v>4.1121965484214812E-3</v>
      </c>
      <c r="G81" s="994">
        <f>G79/G51</f>
        <v>3.4220462229615301E-3</v>
      </c>
      <c r="H81" s="994">
        <f>H79/H51</f>
        <v>3.3783589334754759E-3</v>
      </c>
      <c r="I81" s="994"/>
      <c r="J81" s="994"/>
      <c r="K81" s="994"/>
      <c r="L81" s="994">
        <f>L79/L51</f>
        <v>3.3396086081200625E-3</v>
      </c>
      <c r="M81" s="994">
        <f>M79/M51</f>
        <v>3.2707439321593931E-3</v>
      </c>
      <c r="N81" s="994">
        <f>N79/N51</f>
        <v>2.8792817582862593E-3</v>
      </c>
      <c r="O81" s="994">
        <f>O79/O51</f>
        <v>2.5700822414404943E-3</v>
      </c>
      <c r="P81" s="994">
        <f>P79/P51</f>
        <v>4.06096607218287E-3</v>
      </c>
      <c r="Q81" s="994">
        <f>(L81*M81*N81*O81*P81)^(1/5)</f>
        <v>3.1859615690097852E-3</v>
      </c>
      <c r="R81" s="994"/>
      <c r="S81" s="994"/>
      <c r="T81" s="994"/>
      <c r="U81" s="994">
        <f>U79/U51</f>
        <v>4.3201952887971526E-3</v>
      </c>
      <c r="V81" s="994">
        <f>V79/V51</f>
        <v>4.3454038997214487E-3</v>
      </c>
      <c r="W81" s="994">
        <f>W79/W51</f>
        <v>4.3280903620817055E-3</v>
      </c>
      <c r="X81" s="994">
        <f>X79/X51</f>
        <v>4.3E-3</v>
      </c>
      <c r="Y81" s="994">
        <f>Y79/Y51</f>
        <v>4.2601533655211585E-3</v>
      </c>
      <c r="Z81" s="994"/>
      <c r="AA81" s="994"/>
      <c r="AB81" s="994"/>
      <c r="AC81" s="994"/>
    </row>
    <row r="82" spans="1:29" s="715" customFormat="1" x14ac:dyDescent="0.25">
      <c r="A82" s="1091" t="s">
        <v>852</v>
      </c>
      <c r="B82" s="1114" t="s">
        <v>793</v>
      </c>
      <c r="C82" s="208">
        <f t="shared" ref="C82:H82" si="54">C25</f>
        <v>23029.594314000002</v>
      </c>
      <c r="D82" s="208">
        <f t="shared" si="54"/>
        <v>31166.499995999999</v>
      </c>
      <c r="E82" s="208">
        <f t="shared" si="54"/>
        <v>23136.025249999999</v>
      </c>
      <c r="F82" s="208">
        <f t="shared" si="54"/>
        <v>29067.688738000001</v>
      </c>
      <c r="G82" s="208">
        <f t="shared" si="54"/>
        <v>25959.988635000002</v>
      </c>
      <c r="H82" s="208">
        <f t="shared" si="54"/>
        <v>29270.382845</v>
      </c>
      <c r="I82" s="208">
        <f>SUM(D82:H82)</f>
        <v>138600.585464</v>
      </c>
      <c r="J82" s="992"/>
      <c r="K82" s="992">
        <f>I82/$I$51</f>
        <v>5.4672495521167833E-3</v>
      </c>
      <c r="L82" s="208">
        <f>L25</f>
        <v>25568.900889</v>
      </c>
      <c r="M82" s="208">
        <f>M25</f>
        <v>31644.635216999995</v>
      </c>
      <c r="N82" s="208">
        <f>N25</f>
        <v>33093.863715</v>
      </c>
      <c r="O82" s="208">
        <f>O25</f>
        <v>32699</v>
      </c>
      <c r="P82" s="208">
        <f>P25</f>
        <v>34000</v>
      </c>
      <c r="Q82" s="208">
        <f>SUM(L82:P82)</f>
        <v>157006.399821</v>
      </c>
      <c r="R82" s="992"/>
      <c r="S82" s="992">
        <f>Q82/$Q$51</f>
        <v>4.1552152759064586E-3</v>
      </c>
      <c r="T82" s="992"/>
      <c r="U82" s="208">
        <f>U25</f>
        <v>34237</v>
      </c>
      <c r="V82" s="208">
        <f>V25</f>
        <v>36000</v>
      </c>
      <c r="W82" s="208">
        <f>W25</f>
        <v>38000</v>
      </c>
      <c r="X82" s="208">
        <f>X25</f>
        <v>40000</v>
      </c>
      <c r="Y82" s="208">
        <f>Y25</f>
        <v>42000</v>
      </c>
      <c r="Z82" s="208">
        <f>SUM(U82:Y82)</f>
        <v>190237</v>
      </c>
      <c r="AA82" s="992"/>
      <c r="AB82" s="992">
        <f>Z82/$Z$51</f>
        <v>4.0069447783793273E-3</v>
      </c>
      <c r="AC82" s="992"/>
    </row>
    <row r="83" spans="1:29" s="715" customFormat="1" x14ac:dyDescent="0.25">
      <c r="A83" s="1091"/>
      <c r="B83" s="1110" t="s">
        <v>1173</v>
      </c>
      <c r="C83" s="994"/>
      <c r="D83" s="994">
        <f>D82/C82</f>
        <v>1.3533238827856147</v>
      </c>
      <c r="E83" s="994">
        <f>E82/D82</f>
        <v>0.74233633077083871</v>
      </c>
      <c r="F83" s="994">
        <f>F82/E82</f>
        <v>1.2563821323630342</v>
      </c>
      <c r="G83" s="994">
        <f>G82/F82</f>
        <v>0.89308747141848521</v>
      </c>
      <c r="H83" s="994">
        <f>H82/G82</f>
        <v>1.1275190931916215</v>
      </c>
      <c r="I83" s="994"/>
      <c r="J83" s="994">
        <f>(D83*E83*F83*G83*H83)^(1/5)-1</f>
        <v>4.9127867295275518E-2</v>
      </c>
      <c r="K83" s="994"/>
      <c r="L83" s="994">
        <f>L82/H82</f>
        <v>0.87354173071117547</v>
      </c>
      <c r="M83" s="994">
        <f>M82/L82</f>
        <v>1.2376220375829232</v>
      </c>
      <c r="N83" s="994">
        <f>N82/M82</f>
        <v>1.0457969727905556</v>
      </c>
      <c r="O83" s="994">
        <f>O82/N82</f>
        <v>0.98806837066833553</v>
      </c>
      <c r="P83" s="994">
        <f>P82/O82</f>
        <v>1.0397871494541118</v>
      </c>
      <c r="Q83" s="994"/>
      <c r="R83" s="994">
        <f>(L83*M83*N83*O83*P83)^(1/5)-1</f>
        <v>3.0410090217423136E-2</v>
      </c>
      <c r="S83" s="994"/>
      <c r="T83" s="994"/>
      <c r="U83" s="994">
        <f>U82/P82</f>
        <v>1.0069705882352942</v>
      </c>
      <c r="V83" s="994">
        <f>V82/U82</f>
        <v>1.051493997721763</v>
      </c>
      <c r="W83" s="994">
        <f>W82/V82</f>
        <v>1.0555555555555556</v>
      </c>
      <c r="X83" s="994">
        <f>X82/W82</f>
        <v>1.0526315789473684</v>
      </c>
      <c r="Y83" s="994">
        <f>Y82/X82</f>
        <v>1.05</v>
      </c>
      <c r="Z83" s="994"/>
      <c r="AA83" s="994">
        <f>(U83*V83*W83*X83*Y83)^(1/5)-1</f>
        <v>4.3167563810134979E-2</v>
      </c>
      <c r="AB83" s="994"/>
      <c r="AC83" s="994"/>
    </row>
    <row r="84" spans="1:29" s="715" customFormat="1" x14ac:dyDescent="0.25">
      <c r="A84" s="1091"/>
      <c r="B84" s="1114" t="s">
        <v>429</v>
      </c>
      <c r="C84" s="994"/>
      <c r="D84" s="994">
        <f>D82/D51</f>
        <v>8.4207441130783843E-3</v>
      </c>
      <c r="E84" s="994">
        <f>E82/E51</f>
        <v>4.9169969727361346E-3</v>
      </c>
      <c r="F84" s="994">
        <f>F82/F51</f>
        <v>5.4560720740832137E-3</v>
      </c>
      <c r="G84" s="994">
        <f>G82/G51</f>
        <v>4.5754127290024305E-3</v>
      </c>
      <c r="H84" s="994">
        <f>H82/H51</f>
        <v>4.9250197039905378E-3</v>
      </c>
      <c r="I84" s="994"/>
      <c r="J84" s="994"/>
      <c r="K84" s="994"/>
      <c r="L84" s="994">
        <f>L82/L51</f>
        <v>4.1032928920298594E-3</v>
      </c>
      <c r="M84" s="994">
        <f>M82/M51</f>
        <v>4.5138647305923568E-3</v>
      </c>
      <c r="N84" s="994">
        <f>N82/N51</f>
        <v>4.3884943969987175E-3</v>
      </c>
      <c r="O84" s="994">
        <f>O82/O51</f>
        <v>3.8952083065058045E-3</v>
      </c>
      <c r="P84" s="994">
        <f>P82/P51</f>
        <v>3.9499040638007092E-3</v>
      </c>
      <c r="Q84" s="994">
        <f>(L84*M84*N84*O84*P84)^(1/5)</f>
        <v>4.1631567995676234E-3</v>
      </c>
      <c r="R84" s="994"/>
      <c r="S84" s="994"/>
      <c r="T84" s="994"/>
      <c r="U84" s="994">
        <f>U82/U51</f>
        <v>4.0441440942349241E-3</v>
      </c>
      <c r="V84" s="994">
        <f>V82/V51</f>
        <v>4.0111420612813373E-3</v>
      </c>
      <c r="W84" s="994">
        <f>W82/W51</f>
        <v>4.0114008233928002E-3</v>
      </c>
      <c r="X84" s="994">
        <f>X82/X51</f>
        <v>4.0000000000000001E-3</v>
      </c>
      <c r="Y84" s="994">
        <f>Y82/Y51</f>
        <v>3.9761431411530811E-3</v>
      </c>
      <c r="Z84" s="994"/>
      <c r="AA84" s="994"/>
      <c r="AB84" s="994"/>
      <c r="AC84" s="994"/>
    </row>
    <row r="85" spans="1:29" s="715" customFormat="1" x14ac:dyDescent="0.25">
      <c r="A85" s="1091" t="s">
        <v>852</v>
      </c>
      <c r="B85" s="1114" t="s">
        <v>1264</v>
      </c>
      <c r="C85" s="208">
        <f t="shared" ref="C85:H85" si="55">C26</f>
        <v>43901.085969</v>
      </c>
      <c r="D85" s="208">
        <f t="shared" si="55"/>
        <v>218884.160164</v>
      </c>
      <c r="E85" s="208">
        <f t="shared" si="55"/>
        <v>202429.24258699999</v>
      </c>
      <c r="F85" s="208">
        <f t="shared" si="55"/>
        <v>246506.12884799999</v>
      </c>
      <c r="G85" s="208">
        <f t="shared" si="55"/>
        <v>220529.87967299999</v>
      </c>
      <c r="H85" s="208">
        <f t="shared" si="55"/>
        <v>268672.20944100001</v>
      </c>
      <c r="I85" s="208">
        <f>SUM(D85:H85)</f>
        <v>1157021.620713</v>
      </c>
      <c r="J85" s="992"/>
      <c r="K85" s="992">
        <f>I85/$I$51</f>
        <v>4.5639965491167583E-2</v>
      </c>
      <c r="L85" s="208">
        <f>L26</f>
        <v>429583.572162</v>
      </c>
      <c r="M85" s="208">
        <f>M26</f>
        <v>427772.94375599996</v>
      </c>
      <c r="N85" s="208">
        <f>N26</f>
        <v>484349.07345999999</v>
      </c>
      <c r="O85" s="208">
        <f>O26</f>
        <v>412864</v>
      </c>
      <c r="P85" s="208">
        <f>P26</f>
        <v>653961</v>
      </c>
      <c r="Q85" s="208">
        <f>SUM(L85:P85)</f>
        <v>2408530.5893779998</v>
      </c>
      <c r="R85" s="992"/>
      <c r="S85" s="992">
        <f>Q85/$Q$51</f>
        <v>6.3742389538778921E-2</v>
      </c>
      <c r="T85" s="992"/>
      <c r="U85" s="208">
        <f>U26</f>
        <v>427859</v>
      </c>
      <c r="V85" s="208">
        <f>V26</f>
        <v>455000</v>
      </c>
      <c r="W85" s="208">
        <f>W26</f>
        <v>482000</v>
      </c>
      <c r="X85" s="208">
        <f>X26</f>
        <v>510000</v>
      </c>
      <c r="Y85" s="208">
        <f>Y26</f>
        <v>540000</v>
      </c>
      <c r="Z85" s="208">
        <f>SUM(U85:Y85)</f>
        <v>2414859</v>
      </c>
      <c r="AA85" s="992"/>
      <c r="AB85" s="992">
        <f>Z85/$Z$51</f>
        <v>5.0863957382487765E-2</v>
      </c>
      <c r="AC85" s="992"/>
    </row>
    <row r="86" spans="1:29" s="715" customFormat="1" x14ac:dyDescent="0.25">
      <c r="A86" s="1091"/>
      <c r="B86" s="1110" t="s">
        <v>1173</v>
      </c>
      <c r="C86" s="994"/>
      <c r="D86" s="994">
        <f>D85/C85</f>
        <v>4.9858484211201812</v>
      </c>
      <c r="E86" s="994">
        <f>E85/D85</f>
        <v>0.92482362558957631</v>
      </c>
      <c r="F86" s="994">
        <f>F85/E85</f>
        <v>1.2177397183218559</v>
      </c>
      <c r="G86" s="994">
        <f>G85/F85</f>
        <v>0.89462229885968714</v>
      </c>
      <c r="H86" s="994">
        <f>H85/G85</f>
        <v>1.2183029793485813</v>
      </c>
      <c r="I86" s="994"/>
      <c r="J86" s="994">
        <f>(D86*E86*F86*G86*H86)^(1/5)-1</f>
        <v>0.43664510244794985</v>
      </c>
      <c r="K86" s="994"/>
      <c r="L86" s="994">
        <f>L85/H85</f>
        <v>1.5989133117109229</v>
      </c>
      <c r="M86" s="994">
        <f>M85/L85</f>
        <v>0.9957851544534454</v>
      </c>
      <c r="N86" s="994">
        <f>N85/M85</f>
        <v>1.1322573821692445</v>
      </c>
      <c r="O86" s="994">
        <f>O85/N85</f>
        <v>0.85241001299055119</v>
      </c>
      <c r="P86" s="994">
        <f>P85/O85</f>
        <v>1.5839622732909626</v>
      </c>
      <c r="Q86" s="994"/>
      <c r="R86" s="994">
        <f>(L86*M86*N86*O86*P86)^(1/5)-1</f>
        <v>0.19471913760980963</v>
      </c>
      <c r="S86" s="994"/>
      <c r="T86" s="994"/>
      <c r="U86" s="994">
        <f>U85/P85</f>
        <v>0.65425766979988098</v>
      </c>
      <c r="V86" s="994">
        <f>V85/U85</f>
        <v>1.0634344491993857</v>
      </c>
      <c r="W86" s="994">
        <f>W85/V85</f>
        <v>1.0593406593406594</v>
      </c>
      <c r="X86" s="994">
        <f>X85/W85</f>
        <v>1.058091286307054</v>
      </c>
      <c r="Y86" s="994">
        <f>Y85/X85</f>
        <v>1.0588235294117647</v>
      </c>
      <c r="Z86" s="994"/>
      <c r="AA86" s="994">
        <f>(U86*V86*W86*X86*Y86)^(1/5)-1</f>
        <v>-3.7571706079829847E-2</v>
      </c>
      <c r="AB86" s="994"/>
      <c r="AC86" s="994"/>
    </row>
    <row r="87" spans="1:29" s="715" customFormat="1" x14ac:dyDescent="0.25">
      <c r="A87" s="1091"/>
      <c r="B87" s="1114" t="s">
        <v>429</v>
      </c>
      <c r="C87" s="994"/>
      <c r="D87" s="994">
        <f>D85/D51</f>
        <v>5.9139380533061683E-2</v>
      </c>
      <c r="E87" s="994">
        <f>E85/E51</f>
        <v>4.3021390331234512E-2</v>
      </c>
      <c r="F87" s="994">
        <f>F85/F51</f>
        <v>4.6269767707388443E-2</v>
      </c>
      <c r="G87" s="994">
        <f>G85/G51</f>
        <v>3.8868091691721125E-2</v>
      </c>
      <c r="H87" s="994">
        <f>H85/H51</f>
        <v>4.5206649069765445E-2</v>
      </c>
      <c r="I87" s="994"/>
      <c r="J87" s="994"/>
      <c r="K87" s="994"/>
      <c r="L87" s="994">
        <f>L85/L51</f>
        <v>6.8939499035856694E-2</v>
      </c>
      <c r="M87" s="994">
        <f>M85/M51</f>
        <v>6.1018532534214874E-2</v>
      </c>
      <c r="N87" s="994">
        <f>N85/N51</f>
        <v>6.4228317774430957E-2</v>
      </c>
      <c r="O87" s="994">
        <f>O85/O51</f>
        <v>4.9181665563387642E-2</v>
      </c>
      <c r="P87" s="994">
        <f>P85/P51</f>
        <v>7.597303563138752E-2</v>
      </c>
      <c r="Q87" s="994">
        <f>(L87*M87*N87*O87*P87)^(1/5)</f>
        <v>6.3215536531007421E-2</v>
      </c>
      <c r="R87" s="994"/>
      <c r="S87" s="994"/>
      <c r="T87" s="994"/>
      <c r="U87" s="994">
        <f>U85/U51</f>
        <v>5.0539575547368647E-2</v>
      </c>
      <c r="V87" s="994">
        <f>V85/V51</f>
        <v>5.0696378830083565E-2</v>
      </c>
      <c r="W87" s="994">
        <f>W85/W51</f>
        <v>5.0881452549350788E-2</v>
      </c>
      <c r="X87" s="994">
        <f>X85/X51</f>
        <v>5.0999999999999997E-2</v>
      </c>
      <c r="Y87" s="994">
        <f>Y85/Y51</f>
        <v>5.1121840386253906E-2</v>
      </c>
      <c r="Z87" s="994"/>
      <c r="AA87" s="994"/>
      <c r="AB87" s="994"/>
      <c r="AC87" s="994"/>
    </row>
    <row r="88" spans="1:29" s="715" customFormat="1" x14ac:dyDescent="0.25">
      <c r="A88" s="1091" t="s">
        <v>852</v>
      </c>
      <c r="B88" s="1114" t="s">
        <v>1265</v>
      </c>
      <c r="C88" s="208">
        <f t="shared" ref="C88:H88" si="56">C28</f>
        <v>94193.786722000004</v>
      </c>
      <c r="D88" s="208">
        <f t="shared" si="56"/>
        <v>152596.82905999999</v>
      </c>
      <c r="E88" s="208">
        <f t="shared" si="56"/>
        <v>178848.46695199999</v>
      </c>
      <c r="F88" s="208">
        <f t="shared" si="56"/>
        <v>238787.16765700001</v>
      </c>
      <c r="G88" s="208">
        <f t="shared" si="56"/>
        <v>225609.581118</v>
      </c>
      <c r="H88" s="208">
        <f t="shared" si="56"/>
        <v>248340.399725</v>
      </c>
      <c r="I88" s="208">
        <f>SUM(D88:H88)</f>
        <v>1044182.444512</v>
      </c>
      <c r="J88" s="992"/>
      <c r="K88" s="992">
        <f>I88/$I$51</f>
        <v>4.1188902506975628E-2</v>
      </c>
      <c r="L88" s="208">
        <f>L28</f>
        <v>281758.40066300001</v>
      </c>
      <c r="M88" s="208">
        <f>M28</f>
        <v>323370.00026400003</v>
      </c>
      <c r="N88" s="208">
        <f>N28</f>
        <v>369167.60954500001</v>
      </c>
      <c r="O88" s="208">
        <f>O28</f>
        <v>398306</v>
      </c>
      <c r="P88" s="208">
        <f>P28</f>
        <v>227688</v>
      </c>
      <c r="Q88" s="208">
        <f>SUM(L88:P88)</f>
        <v>1600290.0104720001</v>
      </c>
      <c r="R88" s="992"/>
      <c r="S88" s="992">
        <f>Q88/$Q$51</f>
        <v>4.2352092048316414E-2</v>
      </c>
      <c r="T88" s="992"/>
      <c r="U88" s="208">
        <f>U28</f>
        <v>271557</v>
      </c>
      <c r="V88" s="208">
        <f>V28</f>
        <v>287000</v>
      </c>
      <c r="W88" s="208">
        <f>W28</f>
        <v>302000</v>
      </c>
      <c r="X88" s="208">
        <f>X28</f>
        <v>317000</v>
      </c>
      <c r="Y88" s="208">
        <f>Y28</f>
        <v>333000</v>
      </c>
      <c r="Z88" s="208">
        <f>SUM(U88:Y88)</f>
        <v>1510557</v>
      </c>
      <c r="AA88" s="992"/>
      <c r="AB88" s="992">
        <f>Z88/$Z$51</f>
        <v>3.1816725892409685E-2</v>
      </c>
      <c r="AC88" s="992"/>
    </row>
    <row r="89" spans="1:29" s="715" customFormat="1" x14ac:dyDescent="0.25">
      <c r="A89" s="1091"/>
      <c r="B89" s="1110" t="s">
        <v>1173</v>
      </c>
      <c r="C89" s="994"/>
      <c r="D89" s="994">
        <f>D88/C88</f>
        <v>1.6200307299500394</v>
      </c>
      <c r="E89" s="994">
        <f>E88/D88</f>
        <v>1.1720326566004726</v>
      </c>
      <c r="F89" s="994">
        <f>F88/E88</f>
        <v>1.335136787731519</v>
      </c>
      <c r="G89" s="994">
        <f>G88/F88</f>
        <v>0.94481451131440763</v>
      </c>
      <c r="H89" s="994">
        <f>H88/G88</f>
        <v>1.1007528957518482</v>
      </c>
      <c r="I89" s="994"/>
      <c r="J89" s="994">
        <f>(D89*E89*F89*G89*H89)^(1/5)-1</f>
        <v>0.21396180824494704</v>
      </c>
      <c r="K89" s="994"/>
      <c r="L89" s="994">
        <f>L88/H88</f>
        <v>1.1345653022021607</v>
      </c>
      <c r="M89" s="994">
        <f>M88/L88</f>
        <v>1.1476853911119762</v>
      </c>
      <c r="N89" s="994">
        <f>N88/M88</f>
        <v>1.1416260297603695</v>
      </c>
      <c r="O89" s="994">
        <f>O88/N88</f>
        <v>1.0789299757118809</v>
      </c>
      <c r="P89" s="994">
        <f>P88/O88</f>
        <v>0.57164089920814654</v>
      </c>
      <c r="Q89" s="994"/>
      <c r="R89" s="994">
        <f>(L89*M89*N89*O89*P89)^(1/5)-1</f>
        <v>-1.7214923142698124E-2</v>
      </c>
      <c r="S89" s="994"/>
      <c r="T89" s="994"/>
      <c r="U89" s="994">
        <f>U88/P88</f>
        <v>1.192671550542848</v>
      </c>
      <c r="V89" s="994">
        <f>V88/U88</f>
        <v>1.0568683554465546</v>
      </c>
      <c r="W89" s="994">
        <f>W88/V88</f>
        <v>1.0522648083623694</v>
      </c>
      <c r="X89" s="994">
        <f>X88/W88</f>
        <v>1.0496688741721854</v>
      </c>
      <c r="Y89" s="994">
        <f>Y88/X88</f>
        <v>1.0504731861198737</v>
      </c>
      <c r="Z89" s="994"/>
      <c r="AA89" s="994">
        <f>(U89*V89*W89*X89*Y89)^(1/5)-1</f>
        <v>7.8998443617376513E-2</v>
      </c>
      <c r="AB89" s="994"/>
      <c r="AC89" s="994"/>
    </row>
    <row r="90" spans="1:29" s="715" customFormat="1" x14ac:dyDescent="0.25">
      <c r="A90" s="1091"/>
      <c r="B90" s="1114" t="s">
        <v>429</v>
      </c>
      <c r="C90" s="994"/>
      <c r="D90" s="994">
        <f>D88/D51</f>
        <v>4.1229488397681535E-2</v>
      </c>
      <c r="E90" s="994">
        <f>E88/E51</f>
        <v>3.8009872529054342E-2</v>
      </c>
      <c r="F90" s="994">
        <f>F88/F51</f>
        <v>4.4820900927000432E-2</v>
      </c>
      <c r="G90" s="994">
        <f>G88/G51</f>
        <v>3.9763382170379113E-2</v>
      </c>
      <c r="H90" s="994">
        <f>H88/H51</f>
        <v>4.1785629126181362E-2</v>
      </c>
      <c r="I90" s="994"/>
      <c r="J90" s="994"/>
      <c r="K90" s="994"/>
      <c r="L90" s="994">
        <f>L88/L51</f>
        <v>4.5216540504780599E-2</v>
      </c>
      <c r="M90" s="994">
        <f>M88/M51</f>
        <v>4.6126252652745531E-2</v>
      </c>
      <c r="N90" s="994">
        <f>N88/N51</f>
        <v>4.8954392270230053E-2</v>
      </c>
      <c r="O90" s="994">
        <f>O88/O51</f>
        <v>4.7447470556625612E-2</v>
      </c>
      <c r="P90" s="994">
        <f>P88/P51</f>
        <v>2.6451345778783997E-2</v>
      </c>
      <c r="Q90" s="994">
        <f>(L90*M90*N90*O90*P90)^(1/5)</f>
        <v>4.1834983426518674E-2</v>
      </c>
      <c r="R90" s="994"/>
      <c r="S90" s="994"/>
      <c r="T90" s="994"/>
      <c r="U90" s="994">
        <f>U88/U51</f>
        <v>3.2076865315248219E-2</v>
      </c>
      <c r="V90" s="994">
        <f>V88/V51</f>
        <v>3.1977715877437328E-2</v>
      </c>
      <c r="W90" s="994">
        <f>W88/W51</f>
        <v>3.1880080228016465E-2</v>
      </c>
      <c r="X90" s="994">
        <f>X88/X51</f>
        <v>3.1699999999999999E-2</v>
      </c>
      <c r="Y90" s="994">
        <f>Y88/Y51</f>
        <v>3.1525134904856575E-2</v>
      </c>
      <c r="Z90" s="994"/>
      <c r="AA90" s="994"/>
      <c r="AB90" s="994"/>
      <c r="AC90" s="994"/>
    </row>
    <row r="91" spans="1:29" s="715" customFormat="1" x14ac:dyDescent="0.25">
      <c r="A91" s="1091" t="s">
        <v>852</v>
      </c>
      <c r="B91" s="1114" t="s">
        <v>507</v>
      </c>
      <c r="C91" s="208">
        <f t="shared" ref="C91:H91" si="57">C29</f>
        <v>128028.82776499999</v>
      </c>
      <c r="D91" s="208">
        <f t="shared" si="57"/>
        <v>99701.489849999984</v>
      </c>
      <c r="E91" s="208">
        <f t="shared" si="57"/>
        <v>187075.50684300001</v>
      </c>
      <c r="F91" s="208">
        <f t="shared" si="57"/>
        <v>207923.348959</v>
      </c>
      <c r="G91" s="208">
        <f t="shared" si="57"/>
        <v>124789.76882299999</v>
      </c>
      <c r="H91" s="208">
        <f t="shared" si="57"/>
        <v>135164.902485</v>
      </c>
      <c r="I91" s="208">
        <f>SUM(D91:H91)</f>
        <v>754655.01695999992</v>
      </c>
      <c r="J91" s="992"/>
      <c r="K91" s="992">
        <f>I91/$I$51</f>
        <v>2.9768180918318683E-2</v>
      </c>
      <c r="L91" s="208">
        <f>L29</f>
        <v>111781.932877</v>
      </c>
      <c r="M91" s="208">
        <f>M29</f>
        <v>102494.98850700002</v>
      </c>
      <c r="N91" s="208">
        <f>N29</f>
        <v>96564.608066000015</v>
      </c>
      <c r="O91" s="208">
        <f>O29</f>
        <v>112835</v>
      </c>
      <c r="P91" s="208">
        <f>P29</f>
        <v>62155</v>
      </c>
      <c r="Q91" s="208">
        <f>SUM(L91:P91)</f>
        <v>485831.52945000003</v>
      </c>
      <c r="R91" s="992"/>
      <c r="S91" s="992">
        <f>Q91/$Q$51</f>
        <v>1.285765799985962E-2</v>
      </c>
      <c r="T91" s="992"/>
      <c r="U91" s="208">
        <f>U29</f>
        <v>64674</v>
      </c>
      <c r="V91" s="208">
        <f>V29</f>
        <v>68000</v>
      </c>
      <c r="W91" s="208">
        <f>W29</f>
        <v>71000</v>
      </c>
      <c r="X91" s="208">
        <f>X29</f>
        <v>74000</v>
      </c>
      <c r="Y91" s="208">
        <f>Y29</f>
        <v>78000</v>
      </c>
      <c r="Z91" s="208">
        <f>SUM(U91:Y91)</f>
        <v>355674</v>
      </c>
      <c r="AA91" s="992"/>
      <c r="AB91" s="992">
        <f>Z91/$Z$51</f>
        <v>7.4915293928378233E-3</v>
      </c>
      <c r="AC91" s="992"/>
    </row>
    <row r="92" spans="1:29" s="715" customFormat="1" x14ac:dyDescent="0.25">
      <c r="A92" s="1091"/>
      <c r="B92" s="1110" t="s">
        <v>1173</v>
      </c>
      <c r="C92" s="994"/>
      <c r="D92" s="994">
        <f>D91/C91</f>
        <v>0.77874250346964413</v>
      </c>
      <c r="E92" s="994">
        <f>E91/D91</f>
        <v>1.8763561820836727</v>
      </c>
      <c r="F92" s="994">
        <f>F91/E91</f>
        <v>1.1114407891648594</v>
      </c>
      <c r="G92" s="994">
        <f>G91/F91</f>
        <v>0.60017198379969849</v>
      </c>
      <c r="H92" s="994">
        <f>H91/G91</f>
        <v>1.0831408997697234</v>
      </c>
      <c r="I92" s="994"/>
      <c r="J92" s="994">
        <f>(D92*E92*F92*G92*H92)^(1/5)-1</f>
        <v>1.0907068548416721E-2</v>
      </c>
      <c r="K92" s="994"/>
      <c r="L92" s="994">
        <f>L91/H91</f>
        <v>0.82700413215187329</v>
      </c>
      <c r="M92" s="994">
        <f>M91/L91</f>
        <v>0.91691909299672847</v>
      </c>
      <c r="N92" s="994">
        <f>N91/M91</f>
        <v>0.9421398009074855</v>
      </c>
      <c r="O92" s="994">
        <f>O91/N91</f>
        <v>1.1684922898758052</v>
      </c>
      <c r="P92" s="994">
        <f>P91/O91</f>
        <v>0.55084858421589045</v>
      </c>
      <c r="Q92" s="994"/>
      <c r="R92" s="994">
        <f>(L92*M92*N92*O92*P92)^(1/5)-1</f>
        <v>-0.14390408041818648</v>
      </c>
      <c r="S92" s="994"/>
      <c r="T92" s="994"/>
      <c r="U92" s="994">
        <f>U91/P91</f>
        <v>1.0405277129756254</v>
      </c>
      <c r="V92" s="994">
        <f>V91/U91</f>
        <v>1.0514271577449981</v>
      </c>
      <c r="W92" s="994">
        <f>W91/V91</f>
        <v>1.0441176470588236</v>
      </c>
      <c r="X92" s="994">
        <f>X91/W91</f>
        <v>1.0422535211267605</v>
      </c>
      <c r="Y92" s="994">
        <f>Y91/X91</f>
        <v>1.0540540540540539</v>
      </c>
      <c r="Z92" s="994"/>
      <c r="AA92" s="994">
        <f>(U92*V92*W92*X92*Y92)^(1/5)-1</f>
        <v>4.6462587650441201E-2</v>
      </c>
      <c r="AB92" s="994"/>
      <c r="AC92" s="994"/>
    </row>
    <row r="93" spans="1:29" s="715" customFormat="1" x14ac:dyDescent="0.25">
      <c r="A93" s="1091"/>
      <c r="B93" s="1114" t="s">
        <v>429</v>
      </c>
      <c r="C93" s="994"/>
      <c r="D93" s="994">
        <f>D91/D51</f>
        <v>2.6937921609012351E-2</v>
      </c>
      <c r="E93" s="994">
        <f>E91/E51</f>
        <v>3.9758328878038769E-2</v>
      </c>
      <c r="F93" s="994">
        <f>F91/F51</f>
        <v>3.9027691125713984E-2</v>
      </c>
      <c r="G93" s="994">
        <f>G91/G51</f>
        <v>2.1994027222039449E-2</v>
      </c>
      <c r="H93" s="994">
        <f>H91/H51</f>
        <v>2.2742777624457977E-2</v>
      </c>
      <c r="I93" s="994"/>
      <c r="J93" s="994"/>
      <c r="K93" s="994"/>
      <c r="L93" s="994">
        <f>L91/L51</f>
        <v>1.7938745690428921E-2</v>
      </c>
      <c r="M93" s="994">
        <f>M91/M51</f>
        <v>1.4620124722931685E-2</v>
      </c>
      <c r="N93" s="994">
        <f>N91/N51</f>
        <v>1.2805190868479354E-2</v>
      </c>
      <c r="O93" s="994">
        <f>O91/O51</f>
        <v>1.3441262095617065E-2</v>
      </c>
      <c r="P93" s="994">
        <f>P91/P51</f>
        <v>7.2207731495745027E-3</v>
      </c>
      <c r="Q93" s="994">
        <f>(L93*M93*N93*O93*P93)^(1/5)</f>
        <v>1.2665740667792419E-2</v>
      </c>
      <c r="R93" s="994"/>
      <c r="S93" s="994"/>
      <c r="T93" s="994"/>
      <c r="U93" s="994">
        <f>U91/U51</f>
        <v>7.639424457474355E-3</v>
      </c>
      <c r="V93" s="994">
        <f>V91/V51</f>
        <v>7.5766016713091919E-3</v>
      </c>
      <c r="W93" s="994">
        <f>W91/W51</f>
        <v>7.4949857489707587E-3</v>
      </c>
      <c r="X93" s="994">
        <f>X91/X51</f>
        <v>7.4000000000000003E-3</v>
      </c>
      <c r="Y93" s="994">
        <f>Y91/Y51</f>
        <v>7.3842658335700083E-3</v>
      </c>
      <c r="Z93" s="994"/>
      <c r="AA93" s="994"/>
      <c r="AB93" s="994"/>
      <c r="AC93" s="994"/>
    </row>
    <row r="94" spans="1:29" x14ac:dyDescent="0.25">
      <c r="A94" s="1115">
        <v>11</v>
      </c>
      <c r="B94" s="252" t="s">
        <v>1082</v>
      </c>
      <c r="C94" s="992"/>
      <c r="D94" s="992">
        <f>D10/'Thu NSNN 2010-2025'!H31</f>
        <v>0.11989599893062587</v>
      </c>
      <c r="E94" s="992">
        <f>E10/'Thu NSNN 2010-2025'!I31</f>
        <v>0.13607112841529062</v>
      </c>
      <c r="F94" s="992">
        <f>F10/'Thu NSNN 2010-2025'!J31</f>
        <v>0.13559084834357149</v>
      </c>
      <c r="G94" s="992">
        <f>G10/'Thu NSNN 2010-2025'!K31</f>
        <v>0.14266265654665997</v>
      </c>
      <c r="H94" s="992">
        <f>H10/'Thu NSNN 2010-2025'!L31</f>
        <v>0.1451610747164562</v>
      </c>
      <c r="I94" s="992"/>
      <c r="J94" s="994">
        <f>AVERAGE(D94:H94)</f>
        <v>0.13587634139052082</v>
      </c>
      <c r="K94" s="992"/>
      <c r="L94" s="992">
        <f>L10/'Thu NSNN 2010-2025'!P31</f>
        <v>0.13941914517681381</v>
      </c>
      <c r="M94" s="992">
        <f>M10/'Thu NSNN 2010-2025'!Q31</f>
        <v>0.14765953850903374</v>
      </c>
      <c r="N94" s="992">
        <f>N10/'Thu NSNN 2010-2025'!R31</f>
        <v>0.13743106284416076</v>
      </c>
      <c r="O94" s="992">
        <f>O10/'Thu NSNN 2010-2025'!S31</f>
        <v>0.12490216691175576</v>
      </c>
      <c r="P94" s="992">
        <f>P10/'Thu NSNN 2010-2025'!V31</f>
        <v>0.13841105399942247</v>
      </c>
      <c r="Q94" s="992"/>
      <c r="R94" s="992">
        <f>AVERAGE(L94,M94,N94,O94,P94)</f>
        <v>0.1375645934882373</v>
      </c>
      <c r="S94" s="992"/>
      <c r="T94" s="992"/>
      <c r="U94" s="992">
        <f>U10/'Thu NSNN 2010-2025'!AA31</f>
        <v>0.13701172070027337</v>
      </c>
      <c r="V94" s="992">
        <f>V10/'Thu NSNN 2010-2025'!AB31</f>
        <v>0.13611412885634991</v>
      </c>
      <c r="W94" s="992">
        <f>W10/'Thu NSNN 2010-2025'!AC31</f>
        <v>0.13420237874627597</v>
      </c>
      <c r="X94" s="992">
        <f>X10/'Thu NSNN 2010-2025'!AD31</f>
        <v>0.13094955543776277</v>
      </c>
      <c r="Y94" s="992">
        <f>Y10/'Thu NSNN 2010-2025'!AE31</f>
        <v>0.12795455452095381</v>
      </c>
      <c r="Z94" s="992"/>
      <c r="AA94" s="992">
        <f>AVERAGE(U94:Y94)</f>
        <v>0.13324646765232318</v>
      </c>
      <c r="AB94" s="992"/>
      <c r="AC94" s="992"/>
    </row>
    <row r="95" spans="1:29" s="17" customFormat="1" x14ac:dyDescent="0.25">
      <c r="A95" s="1085">
        <v>12</v>
      </c>
      <c r="B95" s="825" t="s">
        <v>1181</v>
      </c>
      <c r="C95" s="41">
        <f t="shared" ref="C95:H95" si="58">C10</f>
        <v>4308494.4799180003</v>
      </c>
      <c r="D95" s="41">
        <f t="shared" si="58"/>
        <v>5000022.8434038907</v>
      </c>
      <c r="E95" s="41">
        <f t="shared" si="58"/>
        <v>5990803.5707400003</v>
      </c>
      <c r="F95" s="41">
        <f t="shared" si="58"/>
        <v>6551207.428568</v>
      </c>
      <c r="G95" s="41">
        <f t="shared" si="58"/>
        <v>7628457.570863001</v>
      </c>
      <c r="H95" s="41">
        <f t="shared" si="58"/>
        <v>8304427.1655269992</v>
      </c>
      <c r="I95" s="41">
        <f>SUM(D95:H95)</f>
        <v>33474918.57910189</v>
      </c>
      <c r="J95" s="985"/>
      <c r="K95" s="985">
        <f>I95/I8</f>
        <v>0.91667117034469858</v>
      </c>
      <c r="L95" s="41">
        <f>L10</f>
        <v>8674809.6461590007</v>
      </c>
      <c r="M95" s="41">
        <f>M10</f>
        <v>10083459.322280001</v>
      </c>
      <c r="N95" s="41">
        <f>N10</f>
        <v>10427702.832636001</v>
      </c>
      <c r="O95" s="41">
        <f>O10</f>
        <v>10277325</v>
      </c>
      <c r="P95" s="41">
        <f>P10</f>
        <v>11982937</v>
      </c>
      <c r="Q95" s="41">
        <f>SUM(L95:P95)</f>
        <v>51446233.801075004</v>
      </c>
      <c r="R95" s="985"/>
      <c r="S95" s="985">
        <f>Q95/Q8</f>
        <v>0.90051519331468066</v>
      </c>
      <c r="T95" s="985"/>
      <c r="U95" s="41">
        <f>U10</f>
        <v>12692115</v>
      </c>
      <c r="V95" s="41">
        <f>V10</f>
        <v>13491594</v>
      </c>
      <c r="W95" s="41">
        <f>W10</f>
        <v>14233249</v>
      </c>
      <c r="X95" s="41">
        <f>X10</f>
        <v>14860439</v>
      </c>
      <c r="Y95" s="41">
        <f>Y10</f>
        <v>15536999</v>
      </c>
      <c r="Z95" s="41">
        <f>SUM(U95:Y95)</f>
        <v>70814396</v>
      </c>
      <c r="AA95" s="985"/>
      <c r="AB95" s="985">
        <f>Z95/Z8</f>
        <v>0.88080816875540369</v>
      </c>
      <c r="AC95" s="985"/>
    </row>
    <row r="96" spans="1:29" s="17" customFormat="1" x14ac:dyDescent="0.25">
      <c r="A96" s="1109" t="s">
        <v>564</v>
      </c>
      <c r="B96" s="1110" t="s">
        <v>1173</v>
      </c>
      <c r="C96" s="994"/>
      <c r="D96" s="994">
        <f>D95/C95</f>
        <v>1.1605034813689843</v>
      </c>
      <c r="E96" s="994">
        <f>E95/D95</f>
        <v>1.1981552401591851</v>
      </c>
      <c r="F96" s="994">
        <f>F95/E95</f>
        <v>1.0935440214673533</v>
      </c>
      <c r="G96" s="994">
        <f>G95/F95</f>
        <v>1.1644353585260347</v>
      </c>
      <c r="H96" s="994">
        <f>H95/G95</f>
        <v>1.0886115690340696</v>
      </c>
      <c r="I96" s="994"/>
      <c r="J96" s="994">
        <f>(D96*E96*F96*G96*H96)^(1/5)-1</f>
        <v>0.14024145921695053</v>
      </c>
      <c r="K96" s="994"/>
      <c r="L96" s="994">
        <f>L95/H95</f>
        <v>1.0446006055865622</v>
      </c>
      <c r="M96" s="994">
        <f>M95/L95</f>
        <v>1.1623839292824962</v>
      </c>
      <c r="N96" s="994">
        <f>N95/M95</f>
        <v>1.034139425702385</v>
      </c>
      <c r="O96" s="994">
        <f>O95/N95</f>
        <v>0.9855790067045872</v>
      </c>
      <c r="P96" s="994">
        <f>P95/O95</f>
        <v>1.1659587489935368</v>
      </c>
      <c r="Q96" s="994"/>
      <c r="R96" s="994">
        <f>(L96*M96*N96*O96*P96)^(1/5)-1</f>
        <v>7.6095261744481002E-2</v>
      </c>
      <c r="S96" s="994"/>
      <c r="T96" s="994"/>
      <c r="U96" s="994">
        <f>U95/P95</f>
        <v>1.0591823189924139</v>
      </c>
      <c r="V96" s="994">
        <f>V95/U95</f>
        <v>1.0629902108513829</v>
      </c>
      <c r="W96" s="994">
        <f>W95/V95</f>
        <v>1.0549716364130139</v>
      </c>
      <c r="X96" s="994">
        <f>X95/W95</f>
        <v>1.044065132282868</v>
      </c>
      <c r="Y96" s="994">
        <f>Y95/X95</f>
        <v>1.0455275917488036</v>
      </c>
      <c r="Z96" s="994"/>
      <c r="AA96" s="994">
        <f>(U96*V96*W96*X96*Y96)^(1/5)-1</f>
        <v>5.3321071731552871E-2</v>
      </c>
      <c r="AB96" s="994"/>
      <c r="AC96" s="994"/>
    </row>
    <row r="97" spans="1:29" s="17" customFormat="1" x14ac:dyDescent="0.25">
      <c r="A97" s="1109" t="s">
        <v>564</v>
      </c>
      <c r="B97" s="1110" t="s">
        <v>1266</v>
      </c>
      <c r="C97" s="994"/>
      <c r="D97" s="994">
        <f>D95/D8</f>
        <v>0.90621053771439442</v>
      </c>
      <c r="E97" s="994">
        <f>E95/E8</f>
        <v>0.89724117480132248</v>
      </c>
      <c r="F97" s="994">
        <f>F95/F8</f>
        <v>0.89433074820893232</v>
      </c>
      <c r="G97" s="994">
        <f>G95/G8</f>
        <v>0.93486348259215546</v>
      </c>
      <c r="H97" s="994">
        <f>H95/H8</f>
        <v>0.93959987029095349</v>
      </c>
      <c r="I97" s="994"/>
      <c r="J97" s="994"/>
      <c r="K97" s="994">
        <f>AVERAGE(D97:H97)</f>
        <v>0.91444916272155174</v>
      </c>
      <c r="L97" s="994">
        <f>L95/L8</f>
        <v>0.91936440815669718</v>
      </c>
      <c r="M97" s="994">
        <f>M95/M8</f>
        <v>0.93147000596987972</v>
      </c>
      <c r="N97" s="994">
        <f>N95/N8</f>
        <v>0.85151987113084715</v>
      </c>
      <c r="O97" s="994">
        <f>O95/O8</f>
        <v>0.92046500597114544</v>
      </c>
      <c r="P97" s="994">
        <f>P95/P8</f>
        <v>0.89043147104391995</v>
      </c>
      <c r="Q97" s="994"/>
      <c r="R97" s="994"/>
      <c r="S97" s="994">
        <f>AVERAGE(L97:P97)</f>
        <v>0.90265015245449798</v>
      </c>
      <c r="T97" s="994"/>
      <c r="U97" s="994">
        <f>U95/U8</f>
        <v>0.9025241505864825</v>
      </c>
      <c r="V97" s="994">
        <f>V95/V8</f>
        <v>0.89404173362904127</v>
      </c>
      <c r="W97" s="994">
        <f>W95/W8</f>
        <v>0.88398580256563186</v>
      </c>
      <c r="X97" s="994">
        <f>X95/X8</f>
        <v>0.8718147508223475</v>
      </c>
      <c r="Y97" s="994">
        <f>Y95/Y8</f>
        <v>0.85854150493378201</v>
      </c>
      <c r="Z97" s="994">
        <f>AVERAGE(U97:Y97)</f>
        <v>0.88218158850745687</v>
      </c>
      <c r="AA97" s="994"/>
      <c r="AB97" s="994">
        <f>(U97*V97*W97*X97*Y97)^(1/5)</f>
        <v>0.88204244501201112</v>
      </c>
      <c r="AC97" s="994"/>
    </row>
    <row r="98" spans="1:29" s="11" customFormat="1" x14ac:dyDescent="0.25">
      <c r="A98" s="1097" t="s">
        <v>434</v>
      </c>
      <c r="B98" s="823" t="s">
        <v>431</v>
      </c>
      <c r="C98" s="26">
        <f t="shared" ref="C98:H98" si="59">C11</f>
        <v>881389.27447200008</v>
      </c>
      <c r="D98" s="26">
        <f t="shared" si="59"/>
        <v>1296865.3711568909</v>
      </c>
      <c r="E98" s="26">
        <f t="shared" si="59"/>
        <v>1283487.4238549999</v>
      </c>
      <c r="F98" s="26">
        <f t="shared" si="59"/>
        <v>1221622.2457999999</v>
      </c>
      <c r="G98" s="26">
        <f t="shared" si="59"/>
        <v>1952654.9714940002</v>
      </c>
      <c r="H98" s="26">
        <f t="shared" si="59"/>
        <v>1868861</v>
      </c>
      <c r="I98" s="26">
        <f>SUM(D98:H98)</f>
        <v>7623491.0123058911</v>
      </c>
      <c r="J98" s="822"/>
      <c r="K98" s="822"/>
      <c r="L98" s="26">
        <f>L11</f>
        <v>2029265</v>
      </c>
      <c r="M98" s="26">
        <f>M11</f>
        <v>1800118</v>
      </c>
      <c r="N98" s="26">
        <f>N11</f>
        <v>2605155</v>
      </c>
      <c r="O98" s="26">
        <f>O11</f>
        <v>1880652</v>
      </c>
      <c r="P98" s="26">
        <f>P11</f>
        <v>3182962</v>
      </c>
      <c r="Q98" s="26">
        <f>SUM(L98:P98)</f>
        <v>11498152</v>
      </c>
      <c r="R98" s="822"/>
      <c r="S98" s="822"/>
      <c r="T98" s="822"/>
      <c r="U98" s="26">
        <f>U11</f>
        <v>3381485</v>
      </c>
      <c r="V98" s="26">
        <f>V11</f>
        <v>3545000</v>
      </c>
      <c r="W98" s="26">
        <f>W11</f>
        <v>3656000</v>
      </c>
      <c r="X98" s="26">
        <f>X11</f>
        <v>3719190</v>
      </c>
      <c r="Y98" s="26">
        <f>Y11</f>
        <v>3787000</v>
      </c>
      <c r="Z98" s="26">
        <f>SUM(U98:Y98)</f>
        <v>18088675</v>
      </c>
      <c r="AA98" s="822"/>
      <c r="AB98" s="822"/>
      <c r="AC98" s="822"/>
    </row>
    <row r="99" spans="1:29" s="761" customFormat="1" x14ac:dyDescent="0.25">
      <c r="A99" s="1109" t="s">
        <v>564</v>
      </c>
      <c r="B99" s="1110" t="s">
        <v>1173</v>
      </c>
      <c r="C99" s="994"/>
      <c r="D99" s="994">
        <f>D98/C98</f>
        <v>1.4713877383336478</v>
      </c>
      <c r="E99" s="994">
        <f>E98/D98</f>
        <v>0.98968439777988915</v>
      </c>
      <c r="F99" s="994">
        <f>F98/E98</f>
        <v>0.95179915525063286</v>
      </c>
      <c r="G99" s="994">
        <f>G98/F98</f>
        <v>1.5984114387302035</v>
      </c>
      <c r="H99" s="994">
        <f>H98/G98</f>
        <v>0.95708715942279943</v>
      </c>
      <c r="I99" s="994"/>
      <c r="J99" s="994">
        <f>(D99*E99*F99*G99*H99)^(1/5)-1</f>
        <v>0.16220261413492998</v>
      </c>
      <c r="K99" s="994"/>
      <c r="L99" s="994">
        <f>L98/H98</f>
        <v>1.0858298182689885</v>
      </c>
      <c r="M99" s="994">
        <f>M98/L98</f>
        <v>0.8870788191783725</v>
      </c>
      <c r="N99" s="994">
        <f>N98/M98</f>
        <v>1.4472134604509259</v>
      </c>
      <c r="O99" s="994">
        <f>O98/N98</f>
        <v>0.72189639388059446</v>
      </c>
      <c r="P99" s="994">
        <f>P98/O98</f>
        <v>1.6924779278675692</v>
      </c>
      <c r="Q99" s="994"/>
      <c r="R99" s="994">
        <f>(L99*M99*N99*O99*P99)^(1/5)-1</f>
        <v>0.11237415669663942</v>
      </c>
      <c r="S99" s="994"/>
      <c r="T99" s="994"/>
      <c r="U99" s="994">
        <f>U98/P98</f>
        <v>1.0623705215456547</v>
      </c>
      <c r="V99" s="994">
        <f>V98/U98</f>
        <v>1.0483559737807502</v>
      </c>
      <c r="W99" s="994">
        <f>W98/V98</f>
        <v>1.0313117066290549</v>
      </c>
      <c r="X99" s="994">
        <f>X98/W98</f>
        <v>1.0172839168490153</v>
      </c>
      <c r="Y99" s="994">
        <f>Y98/X98</f>
        <v>1.0182324645957856</v>
      </c>
      <c r="Z99" s="994"/>
      <c r="AA99" s="994">
        <f>(U99*V99*W99*X99*Y99)^(1/5)-1</f>
        <v>3.5363308493971513E-2</v>
      </c>
      <c r="AB99" s="994"/>
      <c r="AC99" s="994"/>
    </row>
    <row r="100" spans="1:29" s="715" customFormat="1" x14ac:dyDescent="0.25">
      <c r="A100" s="1091" t="s">
        <v>564</v>
      </c>
      <c r="B100" s="1114" t="s">
        <v>429</v>
      </c>
      <c r="C100" s="994">
        <f t="shared" ref="C100:H100" si="60">C98/C95</f>
        <v>0.20457012967758861</v>
      </c>
      <c r="D100" s="994">
        <f t="shared" si="60"/>
        <v>0.25937188924401339</v>
      </c>
      <c r="E100" s="994">
        <f t="shared" si="60"/>
        <v>0.21424294899665022</v>
      </c>
      <c r="F100" s="994">
        <f t="shared" si="60"/>
        <v>0.18647283865152001</v>
      </c>
      <c r="G100" s="994">
        <f t="shared" si="60"/>
        <v>0.2559698278918392</v>
      </c>
      <c r="H100" s="994">
        <f t="shared" si="60"/>
        <v>0.22504393894354807</v>
      </c>
      <c r="I100" s="994">
        <f>(D100*E100*F100*G100*H100)^(1/5)</f>
        <v>0.22655842895540435</v>
      </c>
      <c r="J100" s="994"/>
      <c r="K100" s="994"/>
      <c r="L100" s="994">
        <f>L98/L95</f>
        <v>0.23392617046052536</v>
      </c>
      <c r="M100" s="994">
        <f>M98/M95</f>
        <v>0.17852186858358546</v>
      </c>
      <c r="N100" s="994">
        <f>N98/N95</f>
        <v>0.2498301919236269</v>
      </c>
      <c r="O100" s="994">
        <f>O98/O95</f>
        <v>0.18299041822653267</v>
      </c>
      <c r="P100" s="994">
        <f>P98/P95</f>
        <v>0.26562452927859004</v>
      </c>
      <c r="Q100" s="994">
        <f>(L100*M100*N100*O100*P100)^(1/5)</f>
        <v>0.21929177196428476</v>
      </c>
      <c r="R100" s="994"/>
      <c r="S100" s="994"/>
      <c r="T100" s="994">
        <f>Q100-I100</f>
        <v>-7.2666569911195855E-3</v>
      </c>
      <c r="U100" s="994">
        <f>U98/U95</f>
        <v>0.2664240751048978</v>
      </c>
      <c r="V100" s="994">
        <f>V98/V95</f>
        <v>0.26275620212111334</v>
      </c>
      <c r="W100" s="994">
        <f>W98/W95</f>
        <v>0.25686334862827176</v>
      </c>
      <c r="X100" s="994">
        <f>X98/X95</f>
        <v>0.25027457129631231</v>
      </c>
      <c r="Y100" s="994">
        <f>Y98/Y95</f>
        <v>0.2437407635798908</v>
      </c>
      <c r="Z100" s="994">
        <f>(U100*V100*W100*X100*Y100)^(1/5)</f>
        <v>0.25587902972669002</v>
      </c>
      <c r="AA100" s="994"/>
      <c r="AB100" s="994"/>
      <c r="AC100" s="994">
        <f>Z100-Q100</f>
        <v>3.6587257762405262E-2</v>
      </c>
    </row>
    <row r="101" spans="1:29" s="11" customFormat="1" x14ac:dyDescent="0.25">
      <c r="A101" s="1097" t="s">
        <v>435</v>
      </c>
      <c r="B101" s="823" t="s">
        <v>460</v>
      </c>
      <c r="C101" s="26">
        <f t="shared" ref="C101:H101" si="61">C16</f>
        <v>2567842.2054460002</v>
      </c>
      <c r="D101" s="26">
        <f t="shared" si="61"/>
        <v>3701157.4722469999</v>
      </c>
      <c r="E101" s="26">
        <f t="shared" si="61"/>
        <v>4705316.1468850002</v>
      </c>
      <c r="F101" s="26">
        <f t="shared" si="61"/>
        <v>5327585.1827680003</v>
      </c>
      <c r="G101" s="26">
        <f t="shared" si="61"/>
        <v>5673802.5993690006</v>
      </c>
      <c r="H101" s="26">
        <f t="shared" si="61"/>
        <v>5943201.1655269992</v>
      </c>
      <c r="I101" s="26">
        <f>SUM(D101:H101)</f>
        <v>25351062.566796005</v>
      </c>
      <c r="J101" s="822"/>
      <c r="K101" s="822"/>
      <c r="L101" s="26">
        <f>L16</f>
        <v>6231312.6461589998</v>
      </c>
      <c r="M101" s="26">
        <f>M16</f>
        <v>7010541.32228</v>
      </c>
      <c r="N101" s="26">
        <f>N16</f>
        <v>7541051.8326360006</v>
      </c>
      <c r="O101" s="26">
        <f>O16</f>
        <v>8394673</v>
      </c>
      <c r="P101" s="26">
        <f>P16</f>
        <v>8607804</v>
      </c>
      <c r="Q101" s="26">
        <f>SUM(L101:P101)</f>
        <v>37785382.801074997</v>
      </c>
      <c r="R101" s="822"/>
      <c r="S101" s="822"/>
      <c r="T101" s="822"/>
      <c r="U101" s="26">
        <f>U16</f>
        <v>8465821</v>
      </c>
      <c r="V101" s="26">
        <f>V16</f>
        <v>8975000</v>
      </c>
      <c r="W101" s="26">
        <f>W16</f>
        <v>9473000</v>
      </c>
      <c r="X101" s="26">
        <f>X16</f>
        <v>10000000</v>
      </c>
      <c r="Y101" s="26">
        <f>Y16</f>
        <v>10563000</v>
      </c>
      <c r="Z101" s="26">
        <f>SUM(U101:Y101)</f>
        <v>47476821</v>
      </c>
      <c r="AA101" s="822"/>
      <c r="AB101" s="822"/>
      <c r="AC101" s="822"/>
    </row>
    <row r="102" spans="1:29" s="11" customFormat="1" x14ac:dyDescent="0.25">
      <c r="A102" s="1109" t="s">
        <v>564</v>
      </c>
      <c r="B102" s="1110" t="s">
        <v>1173</v>
      </c>
      <c r="C102" s="994"/>
      <c r="D102" s="994">
        <f>D101/C101</f>
        <v>1.4413492637504794</v>
      </c>
      <c r="E102" s="994">
        <f>E101/D101</f>
        <v>1.2713093625893113</v>
      </c>
      <c r="F102" s="994">
        <f>F101/E101</f>
        <v>1.1322480820539451</v>
      </c>
      <c r="G102" s="994">
        <f>G101/F101</f>
        <v>1.0649858058996102</v>
      </c>
      <c r="H102" s="994">
        <f>H101/G101</f>
        <v>1.0474811312941974</v>
      </c>
      <c r="I102" s="994"/>
      <c r="J102" s="994">
        <f>(D102*E102*F102*G102*H102)^(1/5)-1</f>
        <v>0.18274309036120373</v>
      </c>
      <c r="K102" s="994"/>
      <c r="L102" s="994">
        <f>L101/H101</f>
        <v>1.0484774909358892</v>
      </c>
      <c r="M102" s="994">
        <f>M101/L101</f>
        <v>1.1250504862087636</v>
      </c>
      <c r="N102" s="994">
        <f>N101/M101</f>
        <v>1.0756732591633118</v>
      </c>
      <c r="O102" s="994">
        <f>O101/N101</f>
        <v>1.1131965654538689</v>
      </c>
      <c r="P102" s="994">
        <f>P101/O101</f>
        <v>1.0253888388505425</v>
      </c>
      <c r="Q102" s="994"/>
      <c r="R102" s="994">
        <f>(L102*M102*N102*O102*P102)^(1/5)-1</f>
        <v>7.6897547236727704E-2</v>
      </c>
      <c r="S102" s="994"/>
      <c r="T102" s="994"/>
      <c r="U102" s="994">
        <f>U101/P101</f>
        <v>0.98350531680321718</v>
      </c>
      <c r="V102" s="994">
        <f>V101/U101</f>
        <v>1.0601452593906722</v>
      </c>
      <c r="W102" s="994">
        <f>W101/V101</f>
        <v>1.0554874651810584</v>
      </c>
      <c r="X102" s="994">
        <f>X101/W101</f>
        <v>1.0556317956296843</v>
      </c>
      <c r="Y102" s="994">
        <f>Y101/X101</f>
        <v>1.0563</v>
      </c>
      <c r="Z102" s="994"/>
      <c r="AA102" s="994">
        <f>(U102*V102*W102*X102*Y102)^(1/5)-1</f>
        <v>4.1787115837529365E-2</v>
      </c>
      <c r="AB102" s="994"/>
      <c r="AC102" s="994"/>
    </row>
    <row r="103" spans="1:29" s="715" customFormat="1" x14ac:dyDescent="0.25">
      <c r="A103" s="1091" t="s">
        <v>564</v>
      </c>
      <c r="B103" s="1114" t="s">
        <v>429</v>
      </c>
      <c r="C103" s="994">
        <f>C101/C95</f>
        <v>0.59599524089325784</v>
      </c>
      <c r="D103" s="994">
        <f t="shared" ref="D103:I103" si="62">D101/D95</f>
        <v>0.74022811258345056</v>
      </c>
      <c r="E103" s="994">
        <f t="shared" si="62"/>
        <v>0.7854232059729821</v>
      </c>
      <c r="F103" s="994">
        <f t="shared" si="62"/>
        <v>0.81322187411375157</v>
      </c>
      <c r="G103" s="994">
        <f t="shared" si="62"/>
        <v>0.74376799591049281</v>
      </c>
      <c r="H103" s="994">
        <f t="shared" si="62"/>
        <v>0.71566660132780435</v>
      </c>
      <c r="I103" s="994">
        <f t="shared" si="62"/>
        <v>0.7573151375078313</v>
      </c>
      <c r="J103" s="994"/>
      <c r="K103" s="994"/>
      <c r="L103" s="994">
        <f>L101/L95</f>
        <v>0.71832269529027382</v>
      </c>
      <c r="M103" s="994">
        <f>M101/M95</f>
        <v>0.69525160941441921</v>
      </c>
      <c r="N103" s="994">
        <f>N101/N95</f>
        <v>0.72317479253766881</v>
      </c>
      <c r="O103" s="994">
        <f>O101/O95</f>
        <v>0.8168149786058142</v>
      </c>
      <c r="P103" s="994">
        <f>P101/P95</f>
        <v>0.71833841736796245</v>
      </c>
      <c r="Q103" s="994">
        <f>(L103*M103*N103*O103*P103)^(1/5)</f>
        <v>0.73321532137405121</v>
      </c>
      <c r="R103" s="994"/>
      <c r="S103" s="994"/>
      <c r="T103" s="994"/>
      <c r="U103" s="994">
        <f>U101/U95</f>
        <v>0.66701420527626798</v>
      </c>
      <c r="V103" s="994">
        <f>V101/V95</f>
        <v>0.6652290307579668</v>
      </c>
      <c r="W103" s="994">
        <f>W101/W95</f>
        <v>0.66555429473621941</v>
      </c>
      <c r="X103" s="994">
        <f>X101/X95</f>
        <v>0.67292763019988844</v>
      </c>
      <c r="Y103" s="994">
        <f>Y101/Y95</f>
        <v>0.6798610207801391</v>
      </c>
      <c r="Z103" s="994">
        <f>(U103*V103*W103*X103*Y103)^(1/5)</f>
        <v>0.67009388372545664</v>
      </c>
      <c r="AA103" s="994"/>
      <c r="AB103" s="994"/>
      <c r="AC103" s="994"/>
    </row>
    <row r="104" spans="1:29" s="11" customFormat="1" x14ac:dyDescent="0.25">
      <c r="A104" s="1097" t="s">
        <v>436</v>
      </c>
      <c r="B104" s="823" t="s">
        <v>526</v>
      </c>
      <c r="C104" s="26">
        <f t="shared" ref="C104:H104" si="63">C33</f>
        <v>0</v>
      </c>
      <c r="D104" s="26">
        <f t="shared" si="63"/>
        <v>0</v>
      </c>
      <c r="E104" s="26">
        <f t="shared" si="63"/>
        <v>0</v>
      </c>
      <c r="F104" s="26">
        <f t="shared" si="63"/>
        <v>0</v>
      </c>
      <c r="G104" s="26">
        <f t="shared" si="63"/>
        <v>0</v>
      </c>
      <c r="H104" s="26">
        <f t="shared" si="63"/>
        <v>0</v>
      </c>
      <c r="I104" s="26">
        <f>SUM(D104:H104)</f>
        <v>0</v>
      </c>
      <c r="J104" s="822"/>
      <c r="K104" s="822"/>
      <c r="L104" s="26">
        <f>L33</f>
        <v>0</v>
      </c>
      <c r="M104" s="26">
        <f>M33</f>
        <v>0</v>
      </c>
      <c r="N104" s="26">
        <f>N33</f>
        <v>0</v>
      </c>
      <c r="O104" s="26">
        <f>O33</f>
        <v>0</v>
      </c>
      <c r="P104" s="26">
        <f>P33</f>
        <v>189171</v>
      </c>
      <c r="Q104" s="26">
        <f>SUM(L104:P104)</f>
        <v>189171</v>
      </c>
      <c r="R104" s="822"/>
      <c r="S104" s="822"/>
      <c r="T104" s="822"/>
      <c r="U104" s="26">
        <f>U33</f>
        <v>606749</v>
      </c>
      <c r="V104" s="26">
        <f>V33</f>
        <v>721594</v>
      </c>
      <c r="W104" s="26">
        <f>W33</f>
        <v>841249</v>
      </c>
      <c r="X104" s="26">
        <f>X33</f>
        <v>865249</v>
      </c>
      <c r="Y104" s="26">
        <f>Y33</f>
        <v>895999</v>
      </c>
      <c r="Z104" s="26">
        <f>SUM(U104:Y104)</f>
        <v>3930840</v>
      </c>
      <c r="AA104" s="822"/>
      <c r="AB104" s="822"/>
      <c r="AC104" s="822"/>
    </row>
    <row r="105" spans="1:29" s="11" customFormat="1" x14ac:dyDescent="0.25">
      <c r="A105" s="1109" t="s">
        <v>564</v>
      </c>
      <c r="B105" s="1110" t="s">
        <v>1173</v>
      </c>
      <c r="C105" s="994"/>
      <c r="D105" s="994"/>
      <c r="E105" s="994"/>
      <c r="F105" s="994"/>
      <c r="G105" s="994"/>
      <c r="H105" s="994"/>
      <c r="I105" s="994"/>
      <c r="J105" s="994"/>
      <c r="K105" s="994"/>
      <c r="L105" s="994"/>
      <c r="M105" s="994"/>
      <c r="N105" s="994"/>
      <c r="O105" s="994"/>
      <c r="P105" s="994"/>
      <c r="Q105" s="994"/>
      <c r="R105" s="994"/>
      <c r="S105" s="994"/>
      <c r="T105" s="994"/>
      <c r="U105" s="994"/>
      <c r="V105" s="994"/>
      <c r="W105" s="994"/>
      <c r="X105" s="994"/>
      <c r="Y105" s="994"/>
      <c r="Z105" s="994"/>
      <c r="AA105" s="994"/>
      <c r="AB105" s="994"/>
      <c r="AC105" s="994"/>
    </row>
    <row r="106" spans="1:29" s="715" customFormat="1" x14ac:dyDescent="0.25">
      <c r="A106" s="1091" t="s">
        <v>564</v>
      </c>
      <c r="B106" s="1114" t="s">
        <v>429</v>
      </c>
      <c r="C106" s="994">
        <f>C104/C95</f>
        <v>0</v>
      </c>
      <c r="D106" s="994">
        <f t="shared" ref="D106:I106" si="64">D104/D95</f>
        <v>0</v>
      </c>
      <c r="E106" s="994">
        <f t="shared" si="64"/>
        <v>0</v>
      </c>
      <c r="F106" s="994">
        <f t="shared" si="64"/>
        <v>0</v>
      </c>
      <c r="G106" s="994">
        <f t="shared" si="64"/>
        <v>0</v>
      </c>
      <c r="H106" s="994">
        <f t="shared" si="64"/>
        <v>0</v>
      </c>
      <c r="I106" s="994">
        <f t="shared" si="64"/>
        <v>0</v>
      </c>
      <c r="J106" s="994"/>
      <c r="K106" s="994"/>
      <c r="L106" s="994">
        <f t="shared" ref="L106:Q106" si="65">L104/L95</f>
        <v>0</v>
      </c>
      <c r="M106" s="994">
        <f t="shared" si="65"/>
        <v>0</v>
      </c>
      <c r="N106" s="994">
        <f t="shared" si="65"/>
        <v>0</v>
      </c>
      <c r="O106" s="994">
        <f t="shared" si="65"/>
        <v>0</v>
      </c>
      <c r="P106" s="994">
        <f t="shared" si="65"/>
        <v>1.5786697368099324E-2</v>
      </c>
      <c r="Q106" s="994">
        <f t="shared" si="65"/>
        <v>3.6770621680774452E-3</v>
      </c>
      <c r="R106" s="994"/>
      <c r="S106" s="994"/>
      <c r="T106" s="994"/>
      <c r="U106" s="994">
        <f t="shared" ref="U106:Z106" si="66">U104/U95</f>
        <v>4.780519243640638E-2</v>
      </c>
      <c r="V106" s="994">
        <f t="shared" si="66"/>
        <v>5.3484710553845599E-2</v>
      </c>
      <c r="W106" s="994">
        <f t="shared" si="66"/>
        <v>5.9104495396658907E-2</v>
      </c>
      <c r="X106" s="994">
        <f t="shared" si="66"/>
        <v>5.822499591028233E-2</v>
      </c>
      <c r="Y106" s="994">
        <f t="shared" si="66"/>
        <v>5.7668729978035009E-2</v>
      </c>
      <c r="Z106" s="994">
        <f t="shared" si="66"/>
        <v>5.5509052142448549E-2</v>
      </c>
      <c r="AA106" s="994"/>
      <c r="AB106" s="994"/>
      <c r="AC106" s="994"/>
    </row>
    <row r="107" spans="1:29" s="11" customFormat="1" ht="31.5" x14ac:dyDescent="0.25">
      <c r="A107" s="1097" t="s">
        <v>437</v>
      </c>
      <c r="B107" s="823" t="s">
        <v>1182</v>
      </c>
      <c r="C107" s="26">
        <f t="shared" ref="C107:H107" si="67">C95-C98-C101-C104</f>
        <v>859263</v>
      </c>
      <c r="D107" s="26">
        <f t="shared" si="67"/>
        <v>2000</v>
      </c>
      <c r="E107" s="26">
        <f t="shared" si="67"/>
        <v>2000</v>
      </c>
      <c r="F107" s="26">
        <f t="shared" si="67"/>
        <v>2000</v>
      </c>
      <c r="G107" s="26">
        <f t="shared" si="67"/>
        <v>2000</v>
      </c>
      <c r="H107" s="26">
        <f t="shared" si="67"/>
        <v>492365</v>
      </c>
      <c r="I107" s="26">
        <f>SUM(D107:H107)</f>
        <v>500365</v>
      </c>
      <c r="J107" s="822"/>
      <c r="K107" s="822"/>
      <c r="L107" s="26">
        <f>L95-L98-L101-L104</f>
        <v>414232.00000000093</v>
      </c>
      <c r="M107" s="26">
        <f>M95-M98-M101-M104</f>
        <v>1272800.0000000009</v>
      </c>
      <c r="N107" s="26">
        <f>N95-N98-N101-N104</f>
        <v>281496</v>
      </c>
      <c r="O107" s="26">
        <f>O95-O98-O101-O104</f>
        <v>2000</v>
      </c>
      <c r="P107" s="26">
        <f>P95-P98-P101-P104</f>
        <v>3000</v>
      </c>
      <c r="Q107" s="26">
        <f>SUM(L107:P107)</f>
        <v>1973528.0000000019</v>
      </c>
      <c r="R107" s="822"/>
      <c r="S107" s="822"/>
      <c r="T107" s="822"/>
      <c r="U107" s="26">
        <f>U95-U98-U101-U104</f>
        <v>238060</v>
      </c>
      <c r="V107" s="26">
        <f>V95-V98-V101-V104</f>
        <v>250000</v>
      </c>
      <c r="W107" s="26">
        <f>W95-W98-W101-W104</f>
        <v>263000</v>
      </c>
      <c r="X107" s="26">
        <f>X95-X98-X101-X104</f>
        <v>276000</v>
      </c>
      <c r="Y107" s="26">
        <f>Y95-Y98-Y101-Y104</f>
        <v>291000</v>
      </c>
      <c r="Z107" s="26">
        <f>SUM(U107:Y107)</f>
        <v>1318060</v>
      </c>
      <c r="AA107" s="822"/>
      <c r="AB107" s="822"/>
      <c r="AC107" s="822"/>
    </row>
    <row r="108" spans="1:29" s="11" customFormat="1" x14ac:dyDescent="0.25">
      <c r="A108" s="1109" t="s">
        <v>564</v>
      </c>
      <c r="B108" s="1110" t="s">
        <v>1173</v>
      </c>
      <c r="C108" s="994"/>
      <c r="D108" s="994">
        <f>D107/C107</f>
        <v>2.3275760739145056E-3</v>
      </c>
      <c r="E108" s="994">
        <f>E107/D107</f>
        <v>1</v>
      </c>
      <c r="F108" s="994">
        <f>F107/E107</f>
        <v>1</v>
      </c>
      <c r="G108" s="994">
        <f>G107/F107</f>
        <v>1</v>
      </c>
      <c r="H108" s="994">
        <f>H107/G107</f>
        <v>246.1825</v>
      </c>
      <c r="I108" s="994"/>
      <c r="J108" s="994">
        <f>(D108*E108*F108*G108*H108)^(1/5)-1</f>
        <v>-0.10539316412243604</v>
      </c>
      <c r="K108" s="994"/>
      <c r="L108" s="994">
        <f>L107/H107</f>
        <v>0.8413108161628079</v>
      </c>
      <c r="M108" s="994">
        <f>M107/L107</f>
        <v>3.0726742501786393</v>
      </c>
      <c r="N108" s="994">
        <f>N107/M107</f>
        <v>0.22116279069767425</v>
      </c>
      <c r="O108" s="994">
        <f>O107/N107</f>
        <v>7.1048966948020573E-3</v>
      </c>
      <c r="P108" s="994">
        <f>P107/O107</f>
        <v>1.5</v>
      </c>
      <c r="Q108" s="994"/>
      <c r="R108" s="994">
        <f>(L108*M108*N108*O108*P108)^(1/5)-1</f>
        <v>-0.63944890714220404</v>
      </c>
      <c r="S108" s="994"/>
      <c r="T108" s="994"/>
      <c r="U108" s="994">
        <f>U107/P107</f>
        <v>79.353333333333339</v>
      </c>
      <c r="V108" s="994">
        <f>V107/U107</f>
        <v>1.0501554230026044</v>
      </c>
      <c r="W108" s="994">
        <f>W107/V107</f>
        <v>1.052</v>
      </c>
      <c r="X108" s="994">
        <f>X107/W107</f>
        <v>1.0494296577946769</v>
      </c>
      <c r="Y108" s="994">
        <f>Y107/X107</f>
        <v>1.0543478260869565</v>
      </c>
      <c r="Z108" s="994"/>
      <c r="AA108" s="994">
        <f>(U108*V108*W108*X108*Y108)^(1/5)-1</f>
        <v>1.4966309317320872</v>
      </c>
      <c r="AB108" s="994"/>
      <c r="AC108" s="994"/>
    </row>
    <row r="109" spans="1:29" s="715" customFormat="1" x14ac:dyDescent="0.25">
      <c r="A109" s="1091" t="s">
        <v>564</v>
      </c>
      <c r="B109" s="1114" t="s">
        <v>429</v>
      </c>
      <c r="C109" s="994">
        <f>C107/C95</f>
        <v>0.19943462942915355</v>
      </c>
      <c r="D109" s="994">
        <f t="shared" ref="D109:I109" si="68">D107/D95</f>
        <v>3.9999817253603785E-4</v>
      </c>
      <c r="E109" s="994">
        <f t="shared" si="68"/>
        <v>3.3384503036759634E-4</v>
      </c>
      <c r="F109" s="994">
        <f t="shared" si="68"/>
        <v>3.0528723472844936E-4</v>
      </c>
      <c r="G109" s="994">
        <f t="shared" si="68"/>
        <v>2.6217619766793061E-4</v>
      </c>
      <c r="H109" s="994">
        <f t="shared" si="68"/>
        <v>5.9289459728647582E-2</v>
      </c>
      <c r="I109" s="994">
        <f t="shared" si="68"/>
        <v>1.4947459806888781E-2</v>
      </c>
      <c r="J109" s="994"/>
      <c r="K109" s="994"/>
      <c r="L109" s="994">
        <f t="shared" ref="L109:Q109" si="69">L107/L95</f>
        <v>4.7751134249200848E-2</v>
      </c>
      <c r="M109" s="994">
        <f t="shared" si="69"/>
        <v>0.12622652200199527</v>
      </c>
      <c r="N109" s="994">
        <f t="shared" si="69"/>
        <v>2.6995015538704332E-2</v>
      </c>
      <c r="O109" s="994">
        <f t="shared" si="69"/>
        <v>1.9460316765306147E-4</v>
      </c>
      <c r="P109" s="994">
        <f t="shared" si="69"/>
        <v>2.503559853481663E-4</v>
      </c>
      <c r="Q109" s="994">
        <f t="shared" si="69"/>
        <v>3.8360981051226407E-2</v>
      </c>
      <c r="R109" s="994"/>
      <c r="S109" s="994"/>
      <c r="T109" s="994"/>
      <c r="U109" s="994">
        <f t="shared" ref="U109:Z109" si="70">U107/U95</f>
        <v>1.8756527182427832E-2</v>
      </c>
      <c r="V109" s="994">
        <f t="shared" si="70"/>
        <v>1.8530056567074283E-2</v>
      </c>
      <c r="W109" s="994">
        <f t="shared" si="70"/>
        <v>1.8477861238849962E-2</v>
      </c>
      <c r="X109" s="994">
        <f t="shared" si="70"/>
        <v>1.8572802593516922E-2</v>
      </c>
      <c r="Y109" s="994">
        <f t="shared" si="70"/>
        <v>1.8729485661935101E-2</v>
      </c>
      <c r="Z109" s="994">
        <f t="shared" si="70"/>
        <v>1.8612882047317047E-2</v>
      </c>
      <c r="AA109" s="994"/>
      <c r="AB109" s="994"/>
      <c r="AC109" s="994"/>
    </row>
    <row r="110" spans="1:29" s="17" customFormat="1" ht="31.5" x14ac:dyDescent="0.25">
      <c r="A110" s="1085">
        <v>13</v>
      </c>
      <c r="B110" s="1111" t="s">
        <v>1183</v>
      </c>
      <c r="C110" s="41">
        <f t="shared" ref="C110:H111" si="71">C11</f>
        <v>881389.27447200008</v>
      </c>
      <c r="D110" s="41">
        <f t="shared" si="71"/>
        <v>1296865.3711568909</v>
      </c>
      <c r="E110" s="41">
        <f t="shared" si="71"/>
        <v>1283487.4238549999</v>
      </c>
      <c r="F110" s="41">
        <f t="shared" si="71"/>
        <v>1221622.2457999999</v>
      </c>
      <c r="G110" s="41">
        <f t="shared" si="71"/>
        <v>1952654.9714940002</v>
      </c>
      <c r="H110" s="41">
        <f t="shared" si="71"/>
        <v>1868861</v>
      </c>
      <c r="I110" s="41">
        <f>SUM(D110:H110)</f>
        <v>7623491.0123058911</v>
      </c>
      <c r="J110" s="985"/>
      <c r="K110" s="985"/>
      <c r="L110" s="41">
        <f t="shared" ref="L110:P111" si="72">L11</f>
        <v>2029265</v>
      </c>
      <c r="M110" s="41">
        <f t="shared" si="72"/>
        <v>1800118</v>
      </c>
      <c r="N110" s="41">
        <f t="shared" si="72"/>
        <v>2605155</v>
      </c>
      <c r="O110" s="41">
        <f t="shared" si="72"/>
        <v>1880652</v>
      </c>
      <c r="P110" s="41">
        <f t="shared" si="72"/>
        <v>3182962</v>
      </c>
      <c r="Q110" s="41">
        <f>SUM(L110:P110)</f>
        <v>11498152</v>
      </c>
      <c r="R110" s="985"/>
      <c r="S110" s="985"/>
      <c r="T110" s="985"/>
      <c r="U110" s="41">
        <f t="shared" ref="U110:Y111" si="73">U11</f>
        <v>3381485</v>
      </c>
      <c r="V110" s="41">
        <f t="shared" si="73"/>
        <v>3545000</v>
      </c>
      <c r="W110" s="41">
        <f t="shared" si="73"/>
        <v>3656000</v>
      </c>
      <c r="X110" s="41">
        <f t="shared" si="73"/>
        <v>3719190</v>
      </c>
      <c r="Y110" s="41">
        <f t="shared" si="73"/>
        <v>3787000</v>
      </c>
      <c r="Z110" s="41">
        <f>SUM(U110:Y110)</f>
        <v>18088675</v>
      </c>
      <c r="AA110" s="985"/>
      <c r="AB110" s="985"/>
      <c r="AC110" s="985"/>
    </row>
    <row r="111" spans="1:29" s="11" customFormat="1" x14ac:dyDescent="0.25">
      <c r="A111" s="1097" t="s">
        <v>434</v>
      </c>
      <c r="B111" s="1112" t="s">
        <v>390</v>
      </c>
      <c r="C111" s="26">
        <f t="shared" si="71"/>
        <v>249673.54338399999</v>
      </c>
      <c r="D111" s="26">
        <f t="shared" si="71"/>
        <v>478645.8879538909</v>
      </c>
      <c r="E111" s="26">
        <f t="shared" si="71"/>
        <v>473880.659055</v>
      </c>
      <c r="F111" s="26">
        <f t="shared" si="71"/>
        <v>347996.01699999999</v>
      </c>
      <c r="G111" s="26">
        <f t="shared" si="71"/>
        <v>453930.929489</v>
      </c>
      <c r="H111" s="26">
        <f t="shared" si="71"/>
        <v>494263</v>
      </c>
      <c r="I111" s="26">
        <f>SUM(D111:H111)</f>
        <v>2248716.4934978909</v>
      </c>
      <c r="J111" s="822"/>
      <c r="K111" s="822"/>
      <c r="L111" s="26">
        <f t="shared" si="72"/>
        <v>755259</v>
      </c>
      <c r="M111" s="26">
        <f t="shared" si="72"/>
        <v>553506</v>
      </c>
      <c r="N111" s="26">
        <f t="shared" si="72"/>
        <v>1113443</v>
      </c>
      <c r="O111" s="26">
        <f t="shared" si="72"/>
        <v>435314</v>
      </c>
      <c r="P111" s="26">
        <f t="shared" si="72"/>
        <v>1131485</v>
      </c>
      <c r="Q111" s="26">
        <f>SUM(L111:P111)</f>
        <v>3989007</v>
      </c>
      <c r="R111" s="822"/>
      <c r="S111" s="822"/>
      <c r="T111" s="822"/>
      <c r="U111" s="26">
        <f t="shared" si="73"/>
        <v>1131485</v>
      </c>
      <c r="V111" s="26">
        <f t="shared" si="73"/>
        <v>1195000</v>
      </c>
      <c r="W111" s="26">
        <f t="shared" si="73"/>
        <v>1256000</v>
      </c>
      <c r="X111" s="26">
        <f t="shared" si="73"/>
        <v>1319190</v>
      </c>
      <c r="Y111" s="26">
        <f t="shared" si="73"/>
        <v>1387000</v>
      </c>
      <c r="Z111" s="26">
        <f>SUM(U111:Y111)</f>
        <v>6288675</v>
      </c>
      <c r="AA111" s="822"/>
      <c r="AB111" s="822"/>
      <c r="AC111" s="822"/>
    </row>
    <row r="112" spans="1:29" s="715" customFormat="1" x14ac:dyDescent="0.25">
      <c r="A112" s="1091" t="s">
        <v>564</v>
      </c>
      <c r="B112" s="1116" t="s">
        <v>1173</v>
      </c>
      <c r="C112" s="994"/>
      <c r="D112" s="994">
        <f>D111/C111</f>
        <v>1.9170869346686426</v>
      </c>
      <c r="E112" s="994">
        <f>E111/D111</f>
        <v>0.99004435425265802</v>
      </c>
      <c r="F112" s="994">
        <f>F111/E111</f>
        <v>0.73435370351253471</v>
      </c>
      <c r="G112" s="994">
        <f>G111/F111</f>
        <v>1.3044141522142767</v>
      </c>
      <c r="H112" s="994">
        <f>H111/G111</f>
        <v>1.0888506772526003</v>
      </c>
      <c r="I112" s="994"/>
      <c r="J112" s="994">
        <f>(D112*E112*F112*G112*H112)^(1/5)-1</f>
        <v>0.1463496829624471</v>
      </c>
      <c r="K112" s="994"/>
      <c r="L112" s="994">
        <f>L111/H111</f>
        <v>1.5280508555161927</v>
      </c>
      <c r="M112" s="994">
        <f>M111/L111</f>
        <v>0.73286912171850982</v>
      </c>
      <c r="N112" s="994">
        <f>N111/M111</f>
        <v>2.0116186635736559</v>
      </c>
      <c r="O112" s="994">
        <f>O111/N111</f>
        <v>0.39096208786619524</v>
      </c>
      <c r="P112" s="994">
        <f>P111/O111</f>
        <v>2.5992387104480903</v>
      </c>
      <c r="Q112" s="994"/>
      <c r="R112" s="994">
        <f>(L112*M112*N112*O112*P112)^(1/5)-1</f>
        <v>0.18015252525221959</v>
      </c>
      <c r="S112" s="994"/>
      <c r="T112" s="994"/>
      <c r="U112" s="994">
        <f>U111/P111</f>
        <v>1</v>
      </c>
      <c r="V112" s="994">
        <f>V111/U111</f>
        <v>1.0561341953273795</v>
      </c>
      <c r="W112" s="994">
        <f>W111/V111</f>
        <v>1.0510460251046025</v>
      </c>
      <c r="X112" s="994">
        <f>X111/W111</f>
        <v>1.0503105095541401</v>
      </c>
      <c r="Y112" s="994">
        <f>Y111/X111</f>
        <v>1.0514027547206999</v>
      </c>
      <c r="Z112" s="994"/>
      <c r="AA112" s="994">
        <f>(U112*V112*W112*X112*Y112)^(1/5)-1</f>
        <v>4.1562971717168828E-2</v>
      </c>
      <c r="AB112" s="994"/>
      <c r="AC112" s="994"/>
    </row>
    <row r="113" spans="1:29" s="715" customFormat="1" x14ac:dyDescent="0.25">
      <c r="A113" s="1091" t="s">
        <v>564</v>
      </c>
      <c r="B113" s="1116" t="s">
        <v>429</v>
      </c>
      <c r="C113" s="994">
        <f>C111/C110</f>
        <v>0.2832727270632695</v>
      </c>
      <c r="D113" s="994">
        <f t="shared" ref="D113:I113" si="74">D111/D110</f>
        <v>0.36907908762102781</v>
      </c>
      <c r="E113" s="994">
        <f t="shared" si="74"/>
        <v>0.36921332476455643</v>
      </c>
      <c r="F113" s="994">
        <f t="shared" si="74"/>
        <v>0.28486385066777248</v>
      </c>
      <c r="G113" s="994">
        <f t="shared" si="74"/>
        <v>0.2324685805304825</v>
      </c>
      <c r="H113" s="994">
        <f t="shared" si="74"/>
        <v>0.2644728527161731</v>
      </c>
      <c r="I113" s="994">
        <f t="shared" si="74"/>
        <v>0.29497201346049956</v>
      </c>
      <c r="J113" s="994"/>
      <c r="K113" s="994"/>
      <c r="L113" s="994">
        <f>L111/L110</f>
        <v>0.37218352457663245</v>
      </c>
      <c r="M113" s="994">
        <f>M111/M110</f>
        <v>0.30748317610289994</v>
      </c>
      <c r="N113" s="994">
        <f>N111/N110</f>
        <v>0.42739990518798304</v>
      </c>
      <c r="O113" s="994">
        <f>O111/O110</f>
        <v>0.23146972432964738</v>
      </c>
      <c r="P113" s="994">
        <f>P111/P110</f>
        <v>0.35548178080668258</v>
      </c>
      <c r="Q113" s="994">
        <f>(L113*M113*N113*O113*P113)^(1/5)</f>
        <v>0.33185234673309089</v>
      </c>
      <c r="R113" s="994"/>
      <c r="S113" s="994"/>
      <c r="T113" s="994"/>
      <c r="U113" s="994">
        <f t="shared" ref="U113:Z113" si="75">U111/U110</f>
        <v>0.33461186431405138</v>
      </c>
      <c r="V113" s="994">
        <f t="shared" si="75"/>
        <v>0.33709449929478136</v>
      </c>
      <c r="W113" s="994">
        <f t="shared" si="75"/>
        <v>0.34354485776805249</v>
      </c>
      <c r="X113" s="994">
        <f t="shared" si="75"/>
        <v>0.35469820041460642</v>
      </c>
      <c r="Y113" s="994">
        <f>Y111/Y110</f>
        <v>0.36625297068919987</v>
      </c>
      <c r="Z113" s="994">
        <f t="shared" si="75"/>
        <v>0.34765813416405567</v>
      </c>
      <c r="AA113" s="994"/>
      <c r="AB113" s="994"/>
      <c r="AC113" s="994"/>
    </row>
    <row r="114" spans="1:29" s="11" customFormat="1" ht="31.5" x14ac:dyDescent="0.25">
      <c r="A114" s="1097" t="s">
        <v>435</v>
      </c>
      <c r="B114" s="1112" t="s">
        <v>479</v>
      </c>
      <c r="C114" s="26">
        <f t="shared" ref="C114:H114" si="76">C13</f>
        <v>282628.00725800003</v>
      </c>
      <c r="D114" s="26">
        <f t="shared" si="76"/>
        <v>262379.85220299999</v>
      </c>
      <c r="E114" s="26">
        <f t="shared" si="76"/>
        <v>291839.82780000003</v>
      </c>
      <c r="F114" s="26">
        <f t="shared" si="76"/>
        <v>303789.2758</v>
      </c>
      <c r="G114" s="26">
        <f t="shared" si="76"/>
        <v>355825.039116</v>
      </c>
      <c r="H114" s="26">
        <f t="shared" si="76"/>
        <v>317091</v>
      </c>
      <c r="I114" s="26">
        <f>SUM(D114:H114)</f>
        <v>1530924.994919</v>
      </c>
      <c r="J114" s="822"/>
      <c r="K114" s="822"/>
      <c r="L114" s="26">
        <f>L13</f>
        <v>333567</v>
      </c>
      <c r="M114" s="26">
        <f>M13</f>
        <v>351441</v>
      </c>
      <c r="N114" s="26">
        <f>N13</f>
        <v>281847</v>
      </c>
      <c r="O114" s="26">
        <f>O13</f>
        <v>323534</v>
      </c>
      <c r="P114" s="26">
        <f>P13</f>
        <v>560182</v>
      </c>
      <c r="Q114" s="26">
        <f>SUM(L114:P114)</f>
        <v>1850571</v>
      </c>
      <c r="R114" s="822"/>
      <c r="S114" s="822"/>
      <c r="T114" s="822"/>
      <c r="U114" s="26">
        <f t="shared" ref="U114:Z114" si="77">U13</f>
        <v>750000</v>
      </c>
      <c r="V114" s="26">
        <f t="shared" si="77"/>
        <v>800000</v>
      </c>
      <c r="W114" s="26">
        <f t="shared" si="77"/>
        <v>800000</v>
      </c>
      <c r="X114" s="26">
        <f t="shared" si="77"/>
        <v>800000</v>
      </c>
      <c r="Y114" s="26">
        <f t="shared" si="77"/>
        <v>800000</v>
      </c>
      <c r="Z114" s="26">
        <f t="shared" si="77"/>
        <v>3950000</v>
      </c>
      <c r="AA114" s="822"/>
      <c r="AB114" s="822"/>
      <c r="AC114" s="822"/>
    </row>
    <row r="115" spans="1:29" s="715" customFormat="1" x14ac:dyDescent="0.25">
      <c r="A115" s="1091" t="s">
        <v>564</v>
      </c>
      <c r="B115" s="1116" t="s">
        <v>1173</v>
      </c>
      <c r="C115" s="994"/>
      <c r="D115" s="994">
        <f>D114/C114</f>
        <v>0.92835757768154836</v>
      </c>
      <c r="E115" s="994">
        <f>E114/D114</f>
        <v>1.1122798696227911</v>
      </c>
      <c r="F115" s="994">
        <f>F114/E114</f>
        <v>1.0409452270105815</v>
      </c>
      <c r="G115" s="994">
        <f>G114/F114</f>
        <v>1.1712890067595993</v>
      </c>
      <c r="H115" s="994">
        <f>H114/G114</f>
        <v>0.89114302014206315</v>
      </c>
      <c r="I115" s="994"/>
      <c r="J115" s="994">
        <f>(D115*E115*F115*G115*H115)^(1/5)-1</f>
        <v>2.3278251500093994E-2</v>
      </c>
      <c r="K115" s="994"/>
      <c r="L115" s="994">
        <f>L114/H114</f>
        <v>1.0519598474885758</v>
      </c>
      <c r="M115" s="994">
        <f>M114/L114</f>
        <v>1.0535844373094461</v>
      </c>
      <c r="N115" s="994">
        <f>N114/M114</f>
        <v>0.80197529599562944</v>
      </c>
      <c r="O115" s="994">
        <f>O114/N114</f>
        <v>1.1479064882720058</v>
      </c>
      <c r="P115" s="994">
        <f>P114/O114</f>
        <v>1.7314470812959379</v>
      </c>
      <c r="Q115" s="994"/>
      <c r="R115" s="994">
        <f>(L115*M115*N115*O115*P115)^(1/5)-1</f>
        <v>0.12054434146159809</v>
      </c>
      <c r="S115" s="994"/>
      <c r="T115" s="994"/>
      <c r="U115" s="994">
        <f>U114/P114</f>
        <v>1.3388505878446648</v>
      </c>
      <c r="V115" s="994">
        <f>V114/U114</f>
        <v>1.0666666666666667</v>
      </c>
      <c r="W115" s="994">
        <f>W114/V114</f>
        <v>1</v>
      </c>
      <c r="X115" s="994">
        <f>X114/W114</f>
        <v>1</v>
      </c>
      <c r="Y115" s="994">
        <f>Y114/X114</f>
        <v>1</v>
      </c>
      <c r="Z115" s="994"/>
      <c r="AA115" s="994">
        <f>(U115*V115*W115*X115*Y115)^(1/5)-1</f>
        <v>7.3871131234691134E-2</v>
      </c>
      <c r="AB115" s="994"/>
      <c r="AC115" s="994"/>
    </row>
    <row r="116" spans="1:29" s="715" customFormat="1" x14ac:dyDescent="0.25">
      <c r="A116" s="1091" t="s">
        <v>564</v>
      </c>
      <c r="B116" s="1116" t="s">
        <v>429</v>
      </c>
      <c r="C116" s="994">
        <f>C114/C110</f>
        <v>0.32066195430765765</v>
      </c>
      <c r="D116" s="994">
        <f t="shared" ref="D116:I116" si="78">D114/D110</f>
        <v>0.20231849661383092</v>
      </c>
      <c r="E116" s="994">
        <f t="shared" si="78"/>
        <v>0.22738035634462919</v>
      </c>
      <c r="F116" s="994">
        <f t="shared" si="78"/>
        <v>0.24867693498906324</v>
      </c>
      <c r="G116" s="994">
        <f t="shared" si="78"/>
        <v>0.18222627361748087</v>
      </c>
      <c r="H116" s="994">
        <f t="shared" si="78"/>
        <v>0.16967072457502189</v>
      </c>
      <c r="I116" s="994">
        <f t="shared" si="78"/>
        <v>0.20081679016185242</v>
      </c>
      <c r="J116" s="994"/>
      <c r="K116" s="994"/>
      <c r="L116" s="994">
        <f>L114/L110</f>
        <v>0.16437823546949265</v>
      </c>
      <c r="M116" s="994">
        <f>M114/M110</f>
        <v>0.19523220144457196</v>
      </c>
      <c r="N116" s="994">
        <f>N114/N110</f>
        <v>0.10818818841873132</v>
      </c>
      <c r="O116" s="994">
        <f>O114/O110</f>
        <v>0.17203289072087766</v>
      </c>
      <c r="P116" s="994">
        <f>P114/P110</f>
        <v>0.17599393269539504</v>
      </c>
      <c r="Q116" s="994">
        <f>(L116*M116*N116*O116*P116)^(1/5)</f>
        <v>0.16007995717887266</v>
      </c>
      <c r="R116" s="994"/>
      <c r="S116" s="994"/>
      <c r="T116" s="994"/>
      <c r="U116" s="994">
        <f t="shared" ref="U116:Z116" si="79">U114/U110</f>
        <v>0.22179604522864954</v>
      </c>
      <c r="V116" s="994">
        <f t="shared" si="79"/>
        <v>0.22566995768688294</v>
      </c>
      <c r="W116" s="994">
        <f t="shared" si="79"/>
        <v>0.21881838074398249</v>
      </c>
      <c r="X116" s="994">
        <f t="shared" si="79"/>
        <v>0.21510059986179786</v>
      </c>
      <c r="Y116" s="994">
        <f t="shared" si="79"/>
        <v>0.2112490097702667</v>
      </c>
      <c r="Z116" s="994">
        <f t="shared" si="79"/>
        <v>0.2183686754281339</v>
      </c>
      <c r="AA116" s="994"/>
      <c r="AB116" s="994"/>
      <c r="AC116" s="994"/>
    </row>
    <row r="117" spans="1:29" s="11" customFormat="1" x14ac:dyDescent="0.25">
      <c r="A117" s="1097" t="s">
        <v>436</v>
      </c>
      <c r="B117" s="1112" t="s">
        <v>30</v>
      </c>
      <c r="C117" s="26">
        <f t="shared" ref="C117:H117" si="80">C14</f>
        <v>349087.72382999997</v>
      </c>
      <c r="D117" s="26">
        <f t="shared" si="80"/>
        <v>555839.63100000005</v>
      </c>
      <c r="E117" s="26">
        <f t="shared" si="80"/>
        <v>517766.93699999998</v>
      </c>
      <c r="F117" s="26">
        <f t="shared" si="80"/>
        <v>569836.95299999998</v>
      </c>
      <c r="G117" s="26">
        <f t="shared" si="80"/>
        <v>1142899.0028890001</v>
      </c>
      <c r="H117" s="26">
        <f t="shared" si="80"/>
        <v>1057507</v>
      </c>
      <c r="I117" s="26">
        <f>SUM(D117:H117)</f>
        <v>3843849.5238890001</v>
      </c>
      <c r="J117" s="822"/>
      <c r="K117" s="822"/>
      <c r="L117" s="26">
        <f>L14</f>
        <v>940439</v>
      </c>
      <c r="M117" s="26">
        <f>M14</f>
        <v>895171</v>
      </c>
      <c r="N117" s="26">
        <f>N14</f>
        <v>1209865</v>
      </c>
      <c r="O117" s="26">
        <f>O14</f>
        <v>1121804</v>
      </c>
      <c r="P117" s="26">
        <f>P14</f>
        <v>1491295</v>
      </c>
      <c r="Q117" s="26">
        <f>SUM(L117:P117)</f>
        <v>5658574</v>
      </c>
      <c r="R117" s="822"/>
      <c r="S117" s="822"/>
      <c r="T117" s="822"/>
      <c r="U117" s="26">
        <f>U14</f>
        <v>1500000</v>
      </c>
      <c r="V117" s="26">
        <f>V14</f>
        <v>1550000</v>
      </c>
      <c r="W117" s="26">
        <f>W14</f>
        <v>1600000</v>
      </c>
      <c r="X117" s="26">
        <f>X14</f>
        <v>1600000</v>
      </c>
      <c r="Y117" s="26">
        <f>Y14</f>
        <v>1600000</v>
      </c>
      <c r="Z117" s="26">
        <f>SUM(U117:Y117)</f>
        <v>7850000</v>
      </c>
      <c r="AA117" s="822"/>
      <c r="AB117" s="822"/>
      <c r="AC117" s="822"/>
    </row>
    <row r="118" spans="1:29" s="715" customFormat="1" x14ac:dyDescent="0.25">
      <c r="A118" s="1091" t="s">
        <v>564</v>
      </c>
      <c r="B118" s="1116" t="s">
        <v>1173</v>
      </c>
      <c r="C118" s="994"/>
      <c r="D118" s="994">
        <f>D117/C117</f>
        <v>1.592263471489719</v>
      </c>
      <c r="E118" s="994">
        <f>E117/D117</f>
        <v>0.93150417516738726</v>
      </c>
      <c r="F118" s="994">
        <f>F117/E117</f>
        <v>1.1005665141573149</v>
      </c>
      <c r="G118" s="994">
        <f>G117/F117</f>
        <v>2.0056596836551597</v>
      </c>
      <c r="H118" s="994">
        <f>H117/G117</f>
        <v>0.92528473410760903</v>
      </c>
      <c r="I118" s="994"/>
      <c r="J118" s="994">
        <f>(D118*E118*F118*G118*H118)^(1/5)-1</f>
        <v>0.24815848915268068</v>
      </c>
      <c r="K118" s="994"/>
      <c r="L118" s="994">
        <f>L117/H117</f>
        <v>0.88929813230550725</v>
      </c>
      <c r="M118" s="994">
        <f>M117/L117</f>
        <v>0.95186503324511207</v>
      </c>
      <c r="N118" s="994">
        <f>N117/M117</f>
        <v>1.3515462408858196</v>
      </c>
      <c r="O118" s="994">
        <f>O117/N117</f>
        <v>0.92721419331908927</v>
      </c>
      <c r="P118" s="994">
        <f>P117/O117</f>
        <v>1.3293721541374428</v>
      </c>
      <c r="Q118" s="994"/>
      <c r="R118" s="994">
        <f>(L118*M118*N118*O118*P118)^(1/5)-1</f>
        <v>7.1164231456495308E-2</v>
      </c>
      <c r="S118" s="994"/>
      <c r="T118" s="994"/>
      <c r="U118" s="994">
        <f>U117/P117</f>
        <v>1.0058372086005787</v>
      </c>
      <c r="V118" s="994">
        <f>V117/U117</f>
        <v>1.0333333333333334</v>
      </c>
      <c r="W118" s="994">
        <f>W117/V117</f>
        <v>1.032258064516129</v>
      </c>
      <c r="X118" s="994">
        <f>X117/W117</f>
        <v>1</v>
      </c>
      <c r="Y118" s="994">
        <f>Y117/X117</f>
        <v>1</v>
      </c>
      <c r="Z118" s="994"/>
      <c r="AA118" s="994">
        <f>(U118*V118*W118*X118*Y118)^(1/5)-1</f>
        <v>1.417122498834722E-2</v>
      </c>
      <c r="AB118" s="994"/>
      <c r="AC118" s="994"/>
    </row>
    <row r="119" spans="1:29" s="715" customFormat="1" x14ac:dyDescent="0.25">
      <c r="A119" s="1091" t="s">
        <v>564</v>
      </c>
      <c r="B119" s="1116" t="s">
        <v>429</v>
      </c>
      <c r="C119" s="994">
        <f>C117/C110</f>
        <v>0.39606531862907274</v>
      </c>
      <c r="D119" s="994">
        <f t="shared" ref="D119:I119" si="81">D117/D110</f>
        <v>0.4286024157651413</v>
      </c>
      <c r="E119" s="994">
        <f t="shared" si="81"/>
        <v>0.40340631889081441</v>
      </c>
      <c r="F119" s="994">
        <f t="shared" si="81"/>
        <v>0.46645921434316434</v>
      </c>
      <c r="G119" s="994">
        <f t="shared" si="81"/>
        <v>0.58530514585203663</v>
      </c>
      <c r="H119" s="994">
        <f t="shared" si="81"/>
        <v>0.56585642270880498</v>
      </c>
      <c r="I119" s="994">
        <f t="shared" si="81"/>
        <v>0.504211196377648</v>
      </c>
      <c r="J119" s="994"/>
      <c r="K119" s="994"/>
      <c r="L119" s="994">
        <f>L117/L110</f>
        <v>0.4634382399538749</v>
      </c>
      <c r="M119" s="994">
        <f>M117/M110</f>
        <v>0.49728462245252814</v>
      </c>
      <c r="N119" s="994">
        <f>N117/N110</f>
        <v>0.46441190639328561</v>
      </c>
      <c r="O119" s="994">
        <f>O117/O110</f>
        <v>0.59649738494947502</v>
      </c>
      <c r="P119" s="994">
        <f>P117/P110</f>
        <v>0.46852428649792238</v>
      </c>
      <c r="Q119" s="994">
        <f>(L119*M119*N119*O119*P119)^(1/5)</f>
        <v>0.49564208891493305</v>
      </c>
      <c r="R119" s="994"/>
      <c r="S119" s="994"/>
      <c r="T119" s="994"/>
      <c r="U119" s="994">
        <f t="shared" ref="U119:Z119" si="82">U117/U110</f>
        <v>0.44359209045729908</v>
      </c>
      <c r="V119" s="994">
        <f t="shared" si="82"/>
        <v>0.43723554301833567</v>
      </c>
      <c r="W119" s="994">
        <f t="shared" si="82"/>
        <v>0.43763676148796499</v>
      </c>
      <c r="X119" s="994">
        <f t="shared" si="82"/>
        <v>0.43020119972359572</v>
      </c>
      <c r="Y119" s="994">
        <f t="shared" si="82"/>
        <v>0.4224980195405334</v>
      </c>
      <c r="Z119" s="994">
        <f t="shared" si="82"/>
        <v>0.43397319040781041</v>
      </c>
      <c r="AA119" s="994"/>
      <c r="AB119" s="994"/>
      <c r="AC119" s="994"/>
    </row>
    <row r="120" spans="1:29" s="970" customFormat="1" ht="20.25" x14ac:dyDescent="0.4">
      <c r="A120" s="1087">
        <v>14</v>
      </c>
      <c r="B120" s="1088" t="s">
        <v>1332</v>
      </c>
      <c r="C120" s="986">
        <v>30287000</v>
      </c>
      <c r="D120" s="986">
        <v>41703000</v>
      </c>
      <c r="E120" s="986">
        <v>44027000</v>
      </c>
      <c r="F120" s="986">
        <v>48316000</v>
      </c>
      <c r="G120" s="986">
        <v>53472000</v>
      </c>
      <c r="H120" s="986">
        <v>57208361</v>
      </c>
      <c r="I120" s="986">
        <f>SUM(D120:H120)</f>
        <v>244726361</v>
      </c>
      <c r="J120" s="987"/>
      <c r="K120" s="987">
        <f t="shared" ref="K120:K127" si="83">H120/$H$120</f>
        <v>1</v>
      </c>
      <c r="L120" s="988">
        <v>62221079</v>
      </c>
      <c r="M120" s="988">
        <v>68288574</v>
      </c>
      <c r="N120" s="988">
        <v>75875880</v>
      </c>
      <c r="O120" s="989">
        <f>SUM(O121,O122,O125)</f>
        <v>82283000</v>
      </c>
      <c r="P120" s="989">
        <f>SUM(P121,P122,P125)</f>
        <v>86575000</v>
      </c>
      <c r="Q120" s="989">
        <f>SUM(L120:P120)</f>
        <v>375243533</v>
      </c>
      <c r="R120" s="987"/>
      <c r="S120" s="987">
        <f t="shared" ref="S120:S127" si="84">P120/$P$120</f>
        <v>1</v>
      </c>
      <c r="T120" s="987"/>
      <c r="U120" s="990">
        <f>P120*1.07</f>
        <v>92635250</v>
      </c>
      <c r="V120" s="990">
        <f>U120*1.07</f>
        <v>99119717.5</v>
      </c>
      <c r="W120" s="990">
        <f>V120*1.07</f>
        <v>106058097.72500001</v>
      </c>
      <c r="X120" s="990">
        <f>W120*1.07</f>
        <v>113482164.56575002</v>
      </c>
      <c r="Y120" s="990">
        <f>X120*1.07</f>
        <v>121425916.08535253</v>
      </c>
      <c r="Z120" s="991">
        <f>SUM(U120:Y120)</f>
        <v>532721145.87610257</v>
      </c>
      <c r="AA120" s="987"/>
      <c r="AB120" s="987"/>
      <c r="AC120" s="987"/>
    </row>
    <row r="121" spans="1:29" x14ac:dyDescent="0.25">
      <c r="A121" s="257" t="s">
        <v>434</v>
      </c>
      <c r="B121" s="915" t="s">
        <v>1051</v>
      </c>
      <c r="C121" s="965">
        <v>12433000</v>
      </c>
      <c r="D121" s="965">
        <v>18357000</v>
      </c>
      <c r="E121" s="965">
        <v>18479000</v>
      </c>
      <c r="F121" s="965">
        <v>19829000</v>
      </c>
      <c r="G121" s="965">
        <v>21568000</v>
      </c>
      <c r="H121" s="965">
        <v>22812751</v>
      </c>
      <c r="I121" s="965">
        <f t="shared" ref="I121:I127" si="85">SUM(D121:H121)</f>
        <v>101045751</v>
      </c>
      <c r="J121" s="992"/>
      <c r="K121" s="992">
        <f t="shared" si="83"/>
        <v>0.39876603002138095</v>
      </c>
      <c r="L121" s="964">
        <v>24048745</v>
      </c>
      <c r="M121" s="964">
        <v>25053517</v>
      </c>
      <c r="N121" s="966">
        <v>27636696</v>
      </c>
      <c r="O121" s="967">
        <v>29135000</v>
      </c>
      <c r="P121" s="967">
        <v>28219000</v>
      </c>
      <c r="Q121" s="967">
        <f t="shared" ref="Q121:Q127" si="86">SUM(L121:P121)</f>
        <v>134092958</v>
      </c>
      <c r="R121" s="992"/>
      <c r="S121" s="992">
        <f t="shared" si="84"/>
        <v>0.32594859948021948</v>
      </c>
      <c r="T121" s="992"/>
      <c r="U121" s="968">
        <v>33516948.789955687</v>
      </c>
      <c r="V121" s="968">
        <v>35695516.944354013</v>
      </c>
      <c r="W121" s="968">
        <v>37942371.25841637</v>
      </c>
      <c r="X121" s="993">
        <v>40155819.530657232</v>
      </c>
      <c r="Y121" s="993">
        <v>40155819.530657232</v>
      </c>
      <c r="Z121" s="993">
        <f t="shared" ref="Z121:Z127" si="87">SUM(U121:Y121)</f>
        <v>187466476.05404055</v>
      </c>
      <c r="AA121" s="992"/>
      <c r="AB121" s="992"/>
      <c r="AC121" s="992"/>
    </row>
    <row r="122" spans="1:29" x14ac:dyDescent="0.25">
      <c r="A122" s="257" t="s">
        <v>435</v>
      </c>
      <c r="B122" s="915" t="s">
        <v>1052</v>
      </c>
      <c r="C122" s="965">
        <v>5537000</v>
      </c>
      <c r="D122" s="965">
        <v>7684000</v>
      </c>
      <c r="E122" s="965">
        <v>7550000</v>
      </c>
      <c r="F122" s="965">
        <v>8222000</v>
      </c>
      <c r="G122" s="965">
        <v>9344000</v>
      </c>
      <c r="H122" s="965">
        <v>9956179</v>
      </c>
      <c r="I122" s="965">
        <f t="shared" si="85"/>
        <v>42756179</v>
      </c>
      <c r="J122" s="992"/>
      <c r="K122" s="992">
        <f t="shared" si="83"/>
        <v>0.17403363469895597</v>
      </c>
      <c r="L122" s="964">
        <v>10918344</v>
      </c>
      <c r="M122" s="964">
        <v>12602909</v>
      </c>
      <c r="N122" s="966">
        <v>14241397</v>
      </c>
      <c r="O122" s="967">
        <v>15934000</v>
      </c>
      <c r="P122" s="967">
        <v>17300000</v>
      </c>
      <c r="Q122" s="967">
        <f t="shared" si="86"/>
        <v>70996650</v>
      </c>
      <c r="R122" s="992"/>
      <c r="S122" s="992">
        <f t="shared" si="84"/>
        <v>0.19982673982096449</v>
      </c>
      <c r="T122" s="992"/>
      <c r="U122" s="968">
        <v>21870181.051513352</v>
      </c>
      <c r="V122" s="968">
        <v>24733621.047940463</v>
      </c>
      <c r="W122" s="968">
        <v>27968987.070854526</v>
      </c>
      <c r="X122" s="968">
        <v>31565712.958486915</v>
      </c>
      <c r="Y122" s="968">
        <v>31565712.958486915</v>
      </c>
      <c r="Z122" s="968">
        <f t="shared" si="87"/>
        <v>137704215.08728218</v>
      </c>
      <c r="AA122" s="992"/>
      <c r="AB122" s="992"/>
      <c r="AC122" s="992"/>
    </row>
    <row r="123" spans="1:29" s="715" customFormat="1" hidden="1" x14ac:dyDescent="0.25">
      <c r="A123" s="1091"/>
      <c r="B123" s="916" t="s">
        <v>1050</v>
      </c>
      <c r="C123" s="1035">
        <v>4504000</v>
      </c>
      <c r="D123" s="1035">
        <v>6402000</v>
      </c>
      <c r="E123" s="1035">
        <v>5954000</v>
      </c>
      <c r="F123" s="1035">
        <v>6517000</v>
      </c>
      <c r="G123" s="1035">
        <v>7470000</v>
      </c>
      <c r="H123" s="1035">
        <v>7929072</v>
      </c>
      <c r="I123" s="1035">
        <f t="shared" si="85"/>
        <v>34272072</v>
      </c>
      <c r="J123" s="994"/>
      <c r="K123" s="994">
        <f t="shared" si="83"/>
        <v>0.13859988053144889</v>
      </c>
      <c r="L123" s="1036">
        <v>8682916</v>
      </c>
      <c r="M123" s="1036">
        <v>9979782</v>
      </c>
      <c r="N123" s="1037">
        <v>11226790</v>
      </c>
      <c r="O123" s="1038">
        <v>12407642</v>
      </c>
      <c r="P123" s="1038">
        <v>13619869</v>
      </c>
      <c r="Q123" s="1038">
        <f t="shared" si="86"/>
        <v>55916999</v>
      </c>
      <c r="R123" s="994"/>
      <c r="S123" s="994">
        <f t="shared" si="84"/>
        <v>0.15731872942535374</v>
      </c>
      <c r="T123" s="994"/>
      <c r="U123" s="969">
        <v>17183562.06968103</v>
      </c>
      <c r="V123" s="969">
        <v>19323388.095313232</v>
      </c>
      <c r="W123" s="969">
        <v>21779680.573048972</v>
      </c>
      <c r="X123" s="969">
        <v>24548355.266670678</v>
      </c>
      <c r="Y123" s="969">
        <v>24548355.266670678</v>
      </c>
      <c r="Z123" s="969">
        <f t="shared" si="87"/>
        <v>107383341.27138458</v>
      </c>
      <c r="AA123" s="994"/>
      <c r="AB123" s="994"/>
      <c r="AC123" s="994"/>
    </row>
    <row r="124" spans="1:29" s="715" customFormat="1" hidden="1" x14ac:dyDescent="0.25">
      <c r="A124" s="1091"/>
      <c r="B124" s="916" t="s">
        <v>1364</v>
      </c>
      <c r="C124" s="1035">
        <v>1033000</v>
      </c>
      <c r="D124" s="1035">
        <v>1282000</v>
      </c>
      <c r="E124" s="1035">
        <v>1596000</v>
      </c>
      <c r="F124" s="1035">
        <v>1705000</v>
      </c>
      <c r="G124" s="1035">
        <v>1874000</v>
      </c>
      <c r="H124" s="1035">
        <v>2027108</v>
      </c>
      <c r="I124" s="1035">
        <f t="shared" si="85"/>
        <v>8484108</v>
      </c>
      <c r="J124" s="994"/>
      <c r="K124" s="994"/>
      <c r="L124" s="1036">
        <v>2235428</v>
      </c>
      <c r="M124" s="1036">
        <v>2632127</v>
      </c>
      <c r="N124" s="1036">
        <v>3014608</v>
      </c>
      <c r="O124" s="1035">
        <v>3231658</v>
      </c>
      <c r="P124" s="1038">
        <v>3581323</v>
      </c>
      <c r="Q124" s="1038">
        <f t="shared" si="86"/>
        <v>14695144</v>
      </c>
      <c r="R124" s="994"/>
      <c r="S124" s="994"/>
      <c r="T124" s="994"/>
      <c r="U124" s="969">
        <v>4686618.9818323208</v>
      </c>
      <c r="V124" s="969">
        <v>5410232.9526272314</v>
      </c>
      <c r="W124" s="969">
        <v>6189306.4978055544</v>
      </c>
      <c r="X124" s="969">
        <v>7017357.6918162387</v>
      </c>
      <c r="Y124" s="969">
        <v>7017357.6918162387</v>
      </c>
      <c r="Z124" s="969">
        <f t="shared" si="87"/>
        <v>30320873.815897584</v>
      </c>
      <c r="AA124" s="994"/>
      <c r="AB124" s="994"/>
      <c r="AC124" s="994"/>
    </row>
    <row r="125" spans="1:29" x14ac:dyDescent="0.25">
      <c r="A125" s="257" t="s">
        <v>436</v>
      </c>
      <c r="B125" s="915" t="s">
        <v>1053</v>
      </c>
      <c r="C125" s="965">
        <v>12318000</v>
      </c>
      <c r="D125" s="965">
        <v>15662000</v>
      </c>
      <c r="E125" s="965">
        <v>17997000</v>
      </c>
      <c r="F125" s="965">
        <v>20265000</v>
      </c>
      <c r="G125" s="965">
        <v>22560000</v>
      </c>
      <c r="H125" s="965">
        <v>24439431</v>
      </c>
      <c r="I125" s="965">
        <f t="shared" si="85"/>
        <v>100923431</v>
      </c>
      <c r="J125" s="994"/>
      <c r="K125" s="994">
        <f t="shared" si="83"/>
        <v>0.42720033527966306</v>
      </c>
      <c r="L125" s="964">
        <v>27253990</v>
      </c>
      <c r="M125" s="964">
        <v>30632149</v>
      </c>
      <c r="N125" s="966">
        <v>33997786</v>
      </c>
      <c r="O125" s="967">
        <v>37214000</v>
      </c>
      <c r="P125" s="967">
        <v>41056000</v>
      </c>
      <c r="Q125" s="967">
        <f t="shared" si="86"/>
        <v>170153925</v>
      </c>
      <c r="R125" s="994"/>
      <c r="S125" s="994">
        <f t="shared" si="84"/>
        <v>0.47422466069881608</v>
      </c>
      <c r="T125" s="994"/>
      <c r="U125" s="969">
        <v>51150752.386760205</v>
      </c>
      <c r="V125" s="969">
        <v>57584424.718697324</v>
      </c>
      <c r="W125" s="969">
        <v>64879104.399336763</v>
      </c>
      <c r="X125" s="969">
        <v>73002529.284254506</v>
      </c>
      <c r="Y125" s="969">
        <v>73002529.284254506</v>
      </c>
      <c r="Z125" s="969">
        <f t="shared" si="87"/>
        <v>319619340.07330328</v>
      </c>
      <c r="AA125" s="994"/>
      <c r="AB125" s="994"/>
      <c r="AC125" s="994"/>
    </row>
    <row r="126" spans="1:29" hidden="1" x14ac:dyDescent="0.25">
      <c r="A126" s="257"/>
      <c r="B126" s="915" t="s">
        <v>1365</v>
      </c>
      <c r="C126" s="965">
        <v>10250000</v>
      </c>
      <c r="D126" s="965">
        <v>13064000</v>
      </c>
      <c r="E126" s="965">
        <v>15397000</v>
      </c>
      <c r="F126" s="965">
        <v>17597000</v>
      </c>
      <c r="G126" s="965">
        <v>19550000</v>
      </c>
      <c r="H126" s="965">
        <v>21355327</v>
      </c>
      <c r="I126" s="965">
        <f t="shared" si="85"/>
        <v>86963327</v>
      </c>
      <c r="J126" s="994"/>
      <c r="K126" s="994"/>
      <c r="L126" s="964">
        <v>23812618</v>
      </c>
      <c r="M126" s="964">
        <v>26587715</v>
      </c>
      <c r="N126" s="964">
        <v>29244625</v>
      </c>
      <c r="O126" s="967">
        <v>31342234</v>
      </c>
      <c r="P126" s="967">
        <v>34916571.696000002</v>
      </c>
      <c r="Q126" s="967">
        <f t="shared" si="86"/>
        <v>145903763.69600001</v>
      </c>
      <c r="R126" s="994"/>
      <c r="S126" s="994"/>
      <c r="T126" s="994"/>
      <c r="U126" s="969">
        <v>44131561.117197707</v>
      </c>
      <c r="V126" s="969">
        <v>49706259.917522117</v>
      </c>
      <c r="W126" s="969">
        <v>56036849.180617742</v>
      </c>
      <c r="X126" s="969">
        <v>63078203.083144747</v>
      </c>
      <c r="Y126" s="969">
        <v>63078203.083144747</v>
      </c>
      <c r="Z126" s="969">
        <f t="shared" si="87"/>
        <v>276031076.38162708</v>
      </c>
      <c r="AA126" s="994"/>
      <c r="AB126" s="994"/>
      <c r="AC126" s="994"/>
    </row>
    <row r="127" spans="1:29" hidden="1" x14ac:dyDescent="0.25">
      <c r="A127" s="256"/>
      <c r="B127" s="915" t="s">
        <v>1366</v>
      </c>
      <c r="C127" s="1039">
        <v>2068000</v>
      </c>
      <c r="D127" s="1039">
        <v>2598000</v>
      </c>
      <c r="E127" s="1039">
        <v>2600000</v>
      </c>
      <c r="F127" s="1039">
        <v>2668000</v>
      </c>
      <c r="G127" s="1039">
        <v>3010000</v>
      </c>
      <c r="H127" s="1039">
        <v>3084104</v>
      </c>
      <c r="I127" s="1039">
        <f t="shared" si="85"/>
        <v>13960104</v>
      </c>
      <c r="J127" s="992"/>
      <c r="K127" s="992">
        <f t="shared" si="83"/>
        <v>5.3910021998357899E-2</v>
      </c>
      <c r="L127" s="1040">
        <v>3441372</v>
      </c>
      <c r="M127" s="1040">
        <v>4044434</v>
      </c>
      <c r="N127" s="1041">
        <v>4753161</v>
      </c>
      <c r="O127" s="1042">
        <v>5215166</v>
      </c>
      <c r="P127" s="1042">
        <v>5572000</v>
      </c>
      <c r="Q127" s="1042">
        <f t="shared" si="86"/>
        <v>23026133</v>
      </c>
      <c r="R127" s="992"/>
      <c r="S127" s="992">
        <f t="shared" si="84"/>
        <v>6.4360381172393871E-2</v>
      </c>
      <c r="T127" s="992"/>
      <c r="U127" s="1043">
        <v>7019191.2695624987</v>
      </c>
      <c r="V127" s="1043">
        <v>7878164.8011752078</v>
      </c>
      <c r="W127" s="1043">
        <v>8842255.2187190223</v>
      </c>
      <c r="X127" s="1043">
        <v>9924326.2011097651</v>
      </c>
      <c r="Y127" s="1043">
        <v>9924326.2011097651</v>
      </c>
      <c r="Z127" s="1043">
        <f t="shared" si="87"/>
        <v>43588263.691676259</v>
      </c>
      <c r="AA127" s="992"/>
      <c r="AB127" s="992"/>
      <c r="AC127" s="992"/>
    </row>
    <row r="128" spans="1:29" s="11" customFormat="1" ht="31.5" x14ac:dyDescent="0.25">
      <c r="A128" s="1085">
        <v>15</v>
      </c>
      <c r="B128" s="1117" t="s">
        <v>1260</v>
      </c>
      <c r="C128" s="985">
        <f t="shared" ref="C128:I128" si="88">C8/C120</f>
        <v>0.15479801498722226</v>
      </c>
      <c r="D128" s="985">
        <f t="shared" si="88"/>
        <v>0.13230479446092344</v>
      </c>
      <c r="E128" s="985">
        <f t="shared" si="88"/>
        <v>0.15165502011810936</v>
      </c>
      <c r="F128" s="985">
        <f t="shared" si="88"/>
        <v>0.15161152472406655</v>
      </c>
      <c r="G128" s="985">
        <f t="shared" si="88"/>
        <v>0.15260266253110041</v>
      </c>
      <c r="H128" s="985">
        <f t="shared" si="88"/>
        <v>0.15449243801141233</v>
      </c>
      <c r="I128" s="985">
        <f t="shared" si="88"/>
        <v>0.14921937068766322</v>
      </c>
      <c r="J128" s="985"/>
      <c r="K128" s="985"/>
      <c r="L128" s="985">
        <f>L8/L120</f>
        <v>0.15164731627619316</v>
      </c>
      <c r="M128" s="985">
        <f>M8/M120</f>
        <v>0.15852312748952704</v>
      </c>
      <c r="N128" s="985">
        <f>N8/N120</f>
        <v>0.16139501555218866</v>
      </c>
      <c r="O128" s="985">
        <f>O8/O120</f>
        <v>0.13569463923289135</v>
      </c>
      <c r="P128" s="985">
        <f>P8/P120</f>
        <v>0.15544267975743575</v>
      </c>
      <c r="Q128" s="985">
        <f>(L128*M128*N128*O128*P128)^(1/5)</f>
        <v>0.15226149472027636</v>
      </c>
      <c r="R128" s="985"/>
      <c r="S128" s="985"/>
      <c r="T128" s="985">
        <f>Q128-I128</f>
        <v>3.0421240326131416E-3</v>
      </c>
      <c r="U128" s="985">
        <f>U8/U120</f>
        <v>0.15180947857322133</v>
      </c>
      <c r="V128" s="985">
        <f>V8/V120</f>
        <v>0.15224583342865158</v>
      </c>
      <c r="W128" s="985">
        <f>W8/W120</f>
        <v>0.15181508385855785</v>
      </c>
      <c r="X128" s="985">
        <f>X8/X120</f>
        <v>0.15020341800163781</v>
      </c>
      <c r="Y128" s="985">
        <f>Y8/Y120</f>
        <v>0.14903712142702144</v>
      </c>
      <c r="Z128" s="985">
        <f>(U128*V128*W128*X128*Y128)^(1/5)</f>
        <v>0.15101729936373903</v>
      </c>
      <c r="AA128" s="985"/>
      <c r="AB128" s="985"/>
      <c r="AC128" s="985">
        <f>+Z128-Q128</f>
        <v>-1.2441953565373309E-3</v>
      </c>
    </row>
    <row r="129" spans="1:29" ht="30.75" customHeight="1" x14ac:dyDescent="0.25">
      <c r="A129" s="1085" t="s">
        <v>422</v>
      </c>
      <c r="B129" s="1111" t="s">
        <v>451</v>
      </c>
      <c r="C129" s="41">
        <f t="shared" ref="C129:H129" si="89">SUM(C132,C135)</f>
        <v>379873</v>
      </c>
      <c r="D129" s="41">
        <f t="shared" si="89"/>
        <v>517484</v>
      </c>
      <c r="E129" s="41">
        <f t="shared" si="89"/>
        <v>686112</v>
      </c>
      <c r="F129" s="41">
        <f t="shared" si="89"/>
        <v>774055</v>
      </c>
      <c r="G129" s="41">
        <f t="shared" si="89"/>
        <v>531512</v>
      </c>
      <c r="H129" s="41">
        <f t="shared" si="89"/>
        <v>533832</v>
      </c>
      <c r="I129" s="41">
        <f>SUM(D129:H129)</f>
        <v>3042995</v>
      </c>
      <c r="J129" s="985"/>
      <c r="K129" s="985">
        <f>I129/I8</f>
        <v>8.3328829655301417E-2</v>
      </c>
      <c r="L129" s="41">
        <f>SUM(L132,L135)</f>
        <v>760850</v>
      </c>
      <c r="M129" s="41">
        <f>SUM(M132,M135)</f>
        <v>741859</v>
      </c>
      <c r="N129" s="41">
        <f>SUM(N132,N135)</f>
        <v>1818286</v>
      </c>
      <c r="O129" s="41">
        <f>SUM(O132,O135)</f>
        <v>888037</v>
      </c>
      <c r="P129" s="41">
        <f>SUM(P132,P135)</f>
        <v>1474513</v>
      </c>
      <c r="Q129" s="41">
        <f>SUM(L129:P129)</f>
        <v>5683545</v>
      </c>
      <c r="R129" s="985"/>
      <c r="S129" s="985">
        <f>Q129/Q8</f>
        <v>9.948480668531931E-2</v>
      </c>
      <c r="T129" s="985">
        <f>Q129/I129-1</f>
        <v>0.86774707155286168</v>
      </c>
      <c r="U129" s="41">
        <f>SUM(U132,U135)</f>
        <v>1370794</v>
      </c>
      <c r="V129" s="41">
        <f>SUM(V132,V135)</f>
        <v>1598970</v>
      </c>
      <c r="W129" s="41">
        <f>SUM(W132,W135)</f>
        <v>1867970</v>
      </c>
      <c r="X129" s="41">
        <f>SUM(X132,X135)</f>
        <v>2184970</v>
      </c>
      <c r="Y129" s="41">
        <f>SUM(Y132,Y135)</f>
        <v>2559970</v>
      </c>
      <c r="Z129" s="41">
        <f>SUM(U129:Y129)</f>
        <v>9582674</v>
      </c>
      <c r="AA129" s="985"/>
      <c r="AB129" s="985">
        <f>Z129/Z8</f>
        <v>0.11919183124459636</v>
      </c>
      <c r="AC129" s="985">
        <f>+Z129/Q129-1</f>
        <v>0.68603820326926246</v>
      </c>
    </row>
    <row r="130" spans="1:29" x14ac:dyDescent="0.25">
      <c r="A130" s="1091" t="s">
        <v>564</v>
      </c>
      <c r="B130" s="1116" t="s">
        <v>1173</v>
      </c>
      <c r="C130" s="994"/>
      <c r="D130" s="994">
        <f>D129/C129</f>
        <v>1.3622552800541234</v>
      </c>
      <c r="E130" s="994">
        <f>E129/D129</f>
        <v>1.3258612826676768</v>
      </c>
      <c r="F130" s="994">
        <f>F129/E129</f>
        <v>1.1281758663308614</v>
      </c>
      <c r="G130" s="994">
        <f>G129/F129</f>
        <v>0.68665921672232588</v>
      </c>
      <c r="H130" s="994">
        <f>H129/G129</f>
        <v>1.0043649061545177</v>
      </c>
      <c r="I130" s="994"/>
      <c r="J130" s="994">
        <f>(D130*E130*F130*G130*H130)^(1/5)-1</f>
        <v>7.04175856234035E-2</v>
      </c>
      <c r="K130" s="994"/>
      <c r="L130" s="994">
        <f>L129/H129</f>
        <v>1.4252611308426621</v>
      </c>
      <c r="M130" s="994">
        <f>M129/L129</f>
        <v>0.97503975816520994</v>
      </c>
      <c r="N130" s="994">
        <f>N129/M129</f>
        <v>2.450985969031851</v>
      </c>
      <c r="O130" s="994">
        <f>O129/N129</f>
        <v>0.48839236511747874</v>
      </c>
      <c r="P130" s="994">
        <f>P129/O129</f>
        <v>1.6604184285114247</v>
      </c>
      <c r="Q130" s="994"/>
      <c r="R130" s="994">
        <f>(L130*M130*N130*O130*P130)^(1/5)-1</f>
        <v>0.22531796356356182</v>
      </c>
      <c r="S130" s="994"/>
      <c r="T130" s="994"/>
      <c r="U130" s="994">
        <f>U129/P129</f>
        <v>0.92965880938316581</v>
      </c>
      <c r="V130" s="994">
        <f>V129/U129</f>
        <v>1.1664553536125779</v>
      </c>
      <c r="W130" s="994">
        <f>W129/V129</f>
        <v>1.1682333001869953</v>
      </c>
      <c r="X130" s="994">
        <f>X129/W129</f>
        <v>1.1697029395547038</v>
      </c>
      <c r="Y130" s="994">
        <f>Y129/X129</f>
        <v>1.1716270703945593</v>
      </c>
      <c r="Z130" s="994"/>
      <c r="AA130" s="994">
        <f>(U130*V130*W130*X130*Y130)^(1/5)-1</f>
        <v>0.11665047244773863</v>
      </c>
      <c r="AB130" s="994"/>
      <c r="AC130" s="994"/>
    </row>
    <row r="131" spans="1:29" x14ac:dyDescent="0.25">
      <c r="A131" s="1091" t="s">
        <v>564</v>
      </c>
      <c r="B131" s="1116" t="s">
        <v>1256</v>
      </c>
      <c r="C131" s="994"/>
      <c r="D131" s="994">
        <f t="shared" ref="D131:I131" si="90">D129/D8</f>
        <v>9.3789462285605599E-2</v>
      </c>
      <c r="E131" s="994">
        <f t="shared" si="90"/>
        <v>0.10275882519867754</v>
      </c>
      <c r="F131" s="994">
        <f t="shared" si="90"/>
        <v>0.10566925179106769</v>
      </c>
      <c r="G131" s="994">
        <f t="shared" si="90"/>
        <v>6.5136517407844582E-2</v>
      </c>
      <c r="H131" s="994">
        <f t="shared" si="90"/>
        <v>6.040012970904652E-2</v>
      </c>
      <c r="I131" s="994">
        <f t="shared" si="90"/>
        <v>8.3328829655301417E-2</v>
      </c>
      <c r="J131" s="994"/>
      <c r="K131" s="994"/>
      <c r="L131" s="994">
        <f>L129/L8</f>
        <v>8.0635591843302795E-2</v>
      </c>
      <c r="M131" s="994">
        <f>M129/M8</f>
        <v>6.8529994030120264E-2</v>
      </c>
      <c r="N131" s="994">
        <f>N129/N8</f>
        <v>0.14848012886915285</v>
      </c>
      <c r="O131" s="994">
        <f>O129/O8</f>
        <v>7.9534994028854597E-2</v>
      </c>
      <c r="P131" s="994">
        <f>P129/P8</f>
        <v>0.10956852895608009</v>
      </c>
      <c r="Q131" s="994">
        <f>(L131*M131*N131*O131*P131)^(1/5)</f>
        <v>9.3511274949996739E-2</v>
      </c>
      <c r="R131" s="994"/>
      <c r="S131" s="994"/>
      <c r="T131" s="994"/>
      <c r="U131" s="994">
        <f>U129/U8</f>
        <v>9.7475849413517501E-2</v>
      </c>
      <c r="V131" s="994">
        <f>V129/V8</f>
        <v>0.1059582663709587</v>
      </c>
      <c r="W131" s="994">
        <f>W129/W8</f>
        <v>0.11601419743436817</v>
      </c>
      <c r="X131" s="994">
        <f>X129/X8</f>
        <v>0.12818524917765248</v>
      </c>
      <c r="Y131" s="994">
        <f>Y129/Y8</f>
        <v>0.14145849506621799</v>
      </c>
      <c r="Z131" s="994">
        <f>AVERAGE(U131:Y131)</f>
        <v>0.11781841149254298</v>
      </c>
      <c r="AA131" s="994"/>
      <c r="AB131" s="994"/>
      <c r="AC131" s="994"/>
    </row>
    <row r="132" spans="1:29" x14ac:dyDescent="0.25">
      <c r="A132" s="257">
        <v>1</v>
      </c>
      <c r="B132" s="252" t="s">
        <v>576</v>
      </c>
      <c r="C132" s="208">
        <v>88679</v>
      </c>
      <c r="D132" s="208">
        <v>148144</v>
      </c>
      <c r="E132" s="208">
        <v>167267</v>
      </c>
      <c r="F132" s="208">
        <v>155140</v>
      </c>
      <c r="G132" s="208">
        <f>65206+17050</f>
        <v>82256</v>
      </c>
      <c r="H132" s="208">
        <v>76245</v>
      </c>
      <c r="I132" s="208">
        <f>SUM(D132:H132)</f>
        <v>629052</v>
      </c>
      <c r="J132" s="992"/>
      <c r="K132" s="992">
        <f>I132/$I$10</f>
        <v>1.8791741001954576E-2</v>
      </c>
      <c r="L132" s="208">
        <f>'Chi từ NSTW bổ sung 2010-2025'!L9</f>
        <v>53674</v>
      </c>
      <c r="M132" s="208">
        <f>'Chi từ NSTW bổ sung 2010-2025'!M9</f>
        <v>158319</v>
      </c>
      <c r="N132" s="208">
        <f>'Chi từ NSTW bổ sung 2010-2025'!N9</f>
        <v>158489</v>
      </c>
      <c r="O132" s="208">
        <f>'Chi từ NSTW bổ sung 2010-2025'!O9</f>
        <v>374600</v>
      </c>
      <c r="P132" s="208">
        <f>'Chi từ NSTW bổ sung 2010-2025'!P9</f>
        <v>426575</v>
      </c>
      <c r="Q132" s="208">
        <f>SUM(L132:P132)</f>
        <v>1171657</v>
      </c>
      <c r="R132" s="992"/>
      <c r="S132" s="992">
        <f>Q132/$Q$10</f>
        <v>2.2774397918619214E-2</v>
      </c>
      <c r="T132" s="992">
        <f>Q132/I132-1</f>
        <v>0.86257574890470101</v>
      </c>
      <c r="U132" s="208">
        <f>'Chi từ NSTW bổ sung 2010-2025'!U9</f>
        <v>0</v>
      </c>
      <c r="V132" s="208">
        <f>'Chi từ NSTW bổ sung 2010-2025'!V9</f>
        <v>0</v>
      </c>
      <c r="W132" s="208">
        <f>'Chi từ NSTW bổ sung 2010-2025'!W9</f>
        <v>0</v>
      </c>
      <c r="X132" s="208">
        <f>'Chi từ NSTW bổ sung 2010-2025'!X9</f>
        <v>0</v>
      </c>
      <c r="Y132" s="208">
        <f>'Chi từ NSTW bổ sung 2010-2025'!Y9</f>
        <v>0</v>
      </c>
      <c r="Z132" s="208">
        <f>SUM(U132:Y132)</f>
        <v>0</v>
      </c>
      <c r="AA132" s="992"/>
      <c r="AB132" s="992"/>
      <c r="AC132" s="992">
        <f>+Z132/Q132-1</f>
        <v>-1</v>
      </c>
    </row>
    <row r="133" spans="1:29" x14ac:dyDescent="0.25">
      <c r="A133" s="1091" t="s">
        <v>564</v>
      </c>
      <c r="B133" s="1116" t="s">
        <v>1173</v>
      </c>
      <c r="C133" s="994"/>
      <c r="D133" s="994">
        <f>D132/C132</f>
        <v>1.670564620710653</v>
      </c>
      <c r="E133" s="994">
        <f>E132/D132</f>
        <v>1.1290838643482017</v>
      </c>
      <c r="F133" s="994">
        <f>F132/E132</f>
        <v>0.92749914806865674</v>
      </c>
      <c r="G133" s="994">
        <f>G132/F132</f>
        <v>0.53020497615057371</v>
      </c>
      <c r="H133" s="994">
        <f>H132/G132</f>
        <v>0.92692326395642866</v>
      </c>
      <c r="I133" s="994"/>
      <c r="J133" s="994">
        <f>(D133*E133*F133*G133*H133)^(1/5)-1</f>
        <v>-2.9762365748168484E-2</v>
      </c>
      <c r="K133" s="994"/>
      <c r="L133" s="994">
        <f>L132/H132</f>
        <v>0.70396747327693621</v>
      </c>
      <c r="M133" s="994">
        <f>M132/L132</f>
        <v>2.9496404218057162</v>
      </c>
      <c r="N133" s="994">
        <f>N132/M132</f>
        <v>1.0010737814160018</v>
      </c>
      <c r="O133" s="994">
        <f>O132/N132</f>
        <v>2.363570973379856</v>
      </c>
      <c r="P133" s="994">
        <f>P132/O132</f>
        <v>1.1387479978643886</v>
      </c>
      <c r="Q133" s="994"/>
      <c r="R133" s="994">
        <f>(L133*M133*N133*O133*P133)^(1/5)-1</f>
        <v>0.41109679721259784</v>
      </c>
      <c r="S133" s="994"/>
      <c r="T133" s="994"/>
      <c r="U133" s="994">
        <f>U132/P132</f>
        <v>0</v>
      </c>
      <c r="V133" s="994" t="e">
        <f>V132/U132</f>
        <v>#DIV/0!</v>
      </c>
      <c r="W133" s="994" t="e">
        <f>W132/V132</f>
        <v>#DIV/0!</v>
      </c>
      <c r="X133" s="994" t="e">
        <f>X132/W132</f>
        <v>#DIV/0!</v>
      </c>
      <c r="Y133" s="994" t="e">
        <f>Y132/X132</f>
        <v>#DIV/0!</v>
      </c>
      <c r="Z133" s="994"/>
      <c r="AA133" s="994" t="e">
        <f>(U133*V133*W133*X133*Y133)^(1/5)-1</f>
        <v>#DIV/0!</v>
      </c>
      <c r="AB133" s="994"/>
      <c r="AC133" s="994"/>
    </row>
    <row r="134" spans="1:29" x14ac:dyDescent="0.25">
      <c r="A134" s="1091" t="s">
        <v>564</v>
      </c>
      <c r="B134" s="1116" t="s">
        <v>1256</v>
      </c>
      <c r="C134" s="994"/>
      <c r="D134" s="994">
        <f t="shared" ref="D134:I134" si="91">D132/D8</f>
        <v>2.6849808111630031E-2</v>
      </c>
      <c r="E134" s="994">
        <f t="shared" si="91"/>
        <v>2.5051537379476234E-2</v>
      </c>
      <c r="F134" s="994">
        <f t="shared" si="91"/>
        <v>2.1178763424906811E-2</v>
      </c>
      <c r="G134" s="994">
        <f t="shared" si="91"/>
        <v>1.008042974739924E-2</v>
      </c>
      <c r="H134" s="994">
        <f t="shared" si="91"/>
        <v>8.6266988297184349E-3</v>
      </c>
      <c r="I134" s="994">
        <f t="shared" si="91"/>
        <v>1.7225847217076158E-2</v>
      </c>
      <c r="J134" s="994"/>
      <c r="K134" s="994"/>
      <c r="L134" s="994">
        <f>L132/L8</f>
        <v>5.6884205251987036E-3</v>
      </c>
      <c r="M134" s="994">
        <f>M132/M8</f>
        <v>1.462488171587136E-2</v>
      </c>
      <c r="N134" s="994">
        <f>N132/N8</f>
        <v>1.2942115346179405E-2</v>
      </c>
      <c r="O134" s="994">
        <f>O132/O8</f>
        <v>3.3550188520533417E-2</v>
      </c>
      <c r="P134" s="994">
        <f>P132/P8</f>
        <v>3.1698055723781253E-2</v>
      </c>
      <c r="Q134" s="994">
        <f>(L134*M134*N134*O134*P134)^(1/5)</f>
        <v>1.6284085819662713E-2</v>
      </c>
      <c r="R134" s="994"/>
      <c r="S134" s="994"/>
      <c r="T134" s="994"/>
      <c r="U134" s="994">
        <f>U132/U8</f>
        <v>0</v>
      </c>
      <c r="V134" s="994">
        <f>V132/V8</f>
        <v>0</v>
      </c>
      <c r="W134" s="994">
        <f>W132/W8</f>
        <v>0</v>
      </c>
      <c r="X134" s="994">
        <f>X132/X8</f>
        <v>0</v>
      </c>
      <c r="Y134" s="994">
        <f>Y132/Y8</f>
        <v>0</v>
      </c>
      <c r="Z134" s="994">
        <f>(U134*V134*W134*X134*Y134)^(1/5)</f>
        <v>0</v>
      </c>
      <c r="AA134" s="994"/>
      <c r="AB134" s="994"/>
      <c r="AC134" s="994"/>
    </row>
    <row r="135" spans="1:29" ht="31.5" x14ac:dyDescent="0.25">
      <c r="A135" s="257">
        <v>2</v>
      </c>
      <c r="B135" s="252" t="s">
        <v>1191</v>
      </c>
      <c r="C135" s="208">
        <v>291194</v>
      </c>
      <c r="D135" s="208">
        <v>369340</v>
      </c>
      <c r="E135" s="208">
        <v>518845</v>
      </c>
      <c r="F135" s="208">
        <v>618915</v>
      </c>
      <c r="G135" s="208">
        <f>336800+112456</f>
        <v>449256</v>
      </c>
      <c r="H135" s="208">
        <f>372200+85387</f>
        <v>457587</v>
      </c>
      <c r="I135" s="208">
        <f>SUM(D135:H135)</f>
        <v>2413943</v>
      </c>
      <c r="J135" s="992"/>
      <c r="K135" s="992">
        <f>I135/$I$10</f>
        <v>7.2111990184406435E-2</v>
      </c>
      <c r="L135" s="208">
        <f>'Chi từ NSTW bổ sung 2010-2025'!L10</f>
        <v>707176</v>
      </c>
      <c r="M135" s="208">
        <f>'Chi từ NSTW bổ sung 2010-2025'!M10</f>
        <v>583540</v>
      </c>
      <c r="N135" s="208">
        <f>'Chi từ NSTW bổ sung 2010-2025'!N10</f>
        <v>1659797</v>
      </c>
      <c r="O135" s="208">
        <f>'Chi từ NSTW bổ sung 2010-2025'!O10</f>
        <v>513437</v>
      </c>
      <c r="P135" s="208">
        <f>'Chi từ NSTW bổ sung 2010-2025'!P10</f>
        <v>1047938</v>
      </c>
      <c r="Q135" s="208">
        <f>SUM(L135:P135)</f>
        <v>4511888</v>
      </c>
      <c r="R135" s="992"/>
      <c r="S135" s="992">
        <f>Q135/$Q$10</f>
        <v>8.7701035948441405E-2</v>
      </c>
      <c r="T135" s="992">
        <f>Q135/I135-1</f>
        <v>0.86909467207800684</v>
      </c>
      <c r="U135" s="208">
        <f>'Chi từ NSTW bổ sung 2010-2025'!U10</f>
        <v>1370794</v>
      </c>
      <c r="V135" s="208">
        <f>'Chi từ NSTW bổ sung 2010-2025'!V10</f>
        <v>1598970</v>
      </c>
      <c r="W135" s="208">
        <f>'Chi từ NSTW bổ sung 2010-2025'!W10</f>
        <v>1867970</v>
      </c>
      <c r="X135" s="208">
        <f>'Chi từ NSTW bổ sung 2010-2025'!X10</f>
        <v>2184970</v>
      </c>
      <c r="Y135" s="208">
        <f>'Chi từ NSTW bổ sung 2010-2025'!Y10</f>
        <v>2559970</v>
      </c>
      <c r="Z135" s="208">
        <f>SUM(U135:Y135)</f>
        <v>9582674</v>
      </c>
      <c r="AA135" s="992"/>
      <c r="AB135" s="992"/>
      <c r="AC135" s="992">
        <f>+Z135/Q135-1</f>
        <v>1.1238723124332872</v>
      </c>
    </row>
    <row r="136" spans="1:29" x14ac:dyDescent="0.25">
      <c r="A136" s="1091" t="s">
        <v>564</v>
      </c>
      <c r="B136" s="1116" t="s">
        <v>1173</v>
      </c>
      <c r="C136" s="994"/>
      <c r="D136" s="994">
        <f>D135/C135</f>
        <v>1.2683640459624854</v>
      </c>
      <c r="E136" s="994">
        <f>E135/D135</f>
        <v>1.4047896247360157</v>
      </c>
      <c r="F136" s="994">
        <f>F135/E135</f>
        <v>1.1928707031965231</v>
      </c>
      <c r="G136" s="994">
        <f>G135/F135</f>
        <v>0.72587673590072954</v>
      </c>
      <c r="H136" s="994">
        <f>H135/G135</f>
        <v>1.0185439927346547</v>
      </c>
      <c r="I136" s="994"/>
      <c r="J136" s="994">
        <f>(D136*E136*F136*G136*H136)^(1/5)-1</f>
        <v>9.4607075565009691E-2</v>
      </c>
      <c r="K136" s="994"/>
      <c r="L136" s="994">
        <f>L135/H135</f>
        <v>1.5454460026180814</v>
      </c>
      <c r="M136" s="994">
        <f>M135/L135</f>
        <v>0.82516940620156798</v>
      </c>
      <c r="N136" s="994">
        <f>N135/M135</f>
        <v>2.844358570106591</v>
      </c>
      <c r="O136" s="994">
        <f>O135/N135</f>
        <v>0.30933722617886406</v>
      </c>
      <c r="P136" s="994">
        <f>P135/O135</f>
        <v>2.041025481217754</v>
      </c>
      <c r="Q136" s="994"/>
      <c r="R136" s="994">
        <f>(L136*M136*N136*O136*P136)^(1/5)-1</f>
        <v>0.18024557879961201</v>
      </c>
      <c r="S136" s="994"/>
      <c r="T136" s="994"/>
      <c r="U136" s="994">
        <f>U135/P135</f>
        <v>1.3080869288068568</v>
      </c>
      <c r="V136" s="994">
        <f>V135/U135</f>
        <v>1.1664553536125779</v>
      </c>
      <c r="W136" s="994">
        <f>W135/V135</f>
        <v>1.1682333001869953</v>
      </c>
      <c r="X136" s="994">
        <f>X135/W135</f>
        <v>1.1697029395547038</v>
      </c>
      <c r="Y136" s="994">
        <f>Y135/X135</f>
        <v>1.1716270703945593</v>
      </c>
      <c r="Z136" s="994"/>
      <c r="AA136" s="994">
        <f>(U136*V136*W136*X136*Y136)^(1/5)-1</f>
        <v>0.195583347486189</v>
      </c>
      <c r="AB136" s="994"/>
      <c r="AC136" s="994"/>
    </row>
    <row r="137" spans="1:29" x14ac:dyDescent="0.25">
      <c r="A137" s="1091" t="s">
        <v>564</v>
      </c>
      <c r="B137" s="1116" t="s">
        <v>1256</v>
      </c>
      <c r="C137" s="994"/>
      <c r="D137" s="994">
        <f t="shared" ref="D137:I137" si="92">D135/D8</f>
        <v>6.6939654173975571E-2</v>
      </c>
      <c r="E137" s="994">
        <f t="shared" si="92"/>
        <v>7.7707287819201318E-2</v>
      </c>
      <c r="F137" s="994">
        <f t="shared" si="92"/>
        <v>8.4490488366160882E-2</v>
      </c>
      <c r="G137" s="994">
        <f t="shared" si="92"/>
        <v>5.5056087660445348E-2</v>
      </c>
      <c r="H137" s="994">
        <f t="shared" si="92"/>
        <v>5.1773430879328085E-2</v>
      </c>
      <c r="I137" s="994">
        <f t="shared" si="92"/>
        <v>6.6102982438225266E-2</v>
      </c>
      <c r="J137" s="994"/>
      <c r="K137" s="994"/>
      <c r="L137" s="994">
        <f>L135/L8</f>
        <v>7.4947171318104092E-2</v>
      </c>
      <c r="M137" s="994">
        <f>M135/M8</f>
        <v>5.390511231424891E-2</v>
      </c>
      <c r="N137" s="994">
        <f>N135/N8</f>
        <v>0.13553801352297346</v>
      </c>
      <c r="O137" s="994">
        <f>O135/O8</f>
        <v>4.598480550832118E-2</v>
      </c>
      <c r="P137" s="994">
        <f>P135/P8</f>
        <v>7.7870473232298842E-2</v>
      </c>
      <c r="Q137" s="994">
        <f>(L137*M137*N137*O137*P137)^(1/5)</f>
        <v>7.2191604959726416E-2</v>
      </c>
      <c r="R137" s="994"/>
      <c r="S137" s="994"/>
      <c r="T137" s="994"/>
      <c r="U137" s="994">
        <f>U135/U8</f>
        <v>9.7475849413517501E-2</v>
      </c>
      <c r="V137" s="994">
        <f>V135/V8</f>
        <v>0.1059582663709587</v>
      </c>
      <c r="W137" s="994">
        <f>W135/W8</f>
        <v>0.11601419743436817</v>
      </c>
      <c r="X137" s="994">
        <f>X135/X8</f>
        <v>0.12818524917765248</v>
      </c>
      <c r="Y137" s="994">
        <f>Y135/Y8</f>
        <v>0.14145849506621799</v>
      </c>
      <c r="Z137" s="994">
        <f>(U137*V137*W137*X137*Y137)^(1/5)</f>
        <v>0.11678902143851702</v>
      </c>
      <c r="AA137" s="994"/>
      <c r="AB137" s="994"/>
      <c r="AC137" s="994"/>
    </row>
    <row r="138" spans="1:29" s="11" customFormat="1" ht="31.5" x14ac:dyDescent="0.25">
      <c r="A138" s="1097" t="s">
        <v>426</v>
      </c>
      <c r="B138" s="1112" t="s">
        <v>1351</v>
      </c>
      <c r="C138" s="822">
        <f>'Thu NSNN 2010-2025'!G139/'Chi NSĐP 2010-2025'!C10</f>
        <v>0.84720640893834231</v>
      </c>
      <c r="D138" s="822">
        <f>'Thu NSNN 2010-2025'!H139/'Chi NSĐP 2010-2025'!D10</f>
        <v>0.75395017943570752</v>
      </c>
      <c r="E138" s="822">
        <f>'Thu NSNN 2010-2025'!I139/'Chi NSĐP 2010-2025'!E10</f>
        <v>0.68173446106187663</v>
      </c>
      <c r="F138" s="822">
        <f>'Thu NSNN 2010-2025'!J139/'Chi NSĐP 2010-2025'!F10</f>
        <v>0.62175112300288549</v>
      </c>
      <c r="G138" s="822">
        <f>'Thu NSNN 2010-2025'!K139/'Chi NSĐP 2010-2025'!G10</f>
        <v>0.50809387640147996</v>
      </c>
      <c r="H138" s="822">
        <f>'Thu NSNN 2010-2025'!L139/'Chi NSĐP 2010-2025'!H10</f>
        <v>0.58364310593534119</v>
      </c>
      <c r="I138" s="822">
        <f>(D138*E138*F138*G138*H138)^(1/5)</f>
        <v>0.62421350307285772</v>
      </c>
      <c r="J138" s="822"/>
      <c r="K138" s="822"/>
      <c r="L138" s="822">
        <f>'Thu NSNN 2010-2025'!P139/'Chi NSĐP 2010-2025'!L10</f>
        <v>0.70951621945517296</v>
      </c>
      <c r="M138" s="822">
        <f>'Thu NSNN 2010-2025'!Q139/'Chi NSĐP 2010-2025'!M10</f>
        <v>0.53457177707542691</v>
      </c>
      <c r="N138" s="822">
        <f>'Thu NSNN 2010-2025'!R139/'Chi NSĐP 2010-2025'!N10</f>
        <v>0.54993672798003645</v>
      </c>
      <c r="O138" s="822">
        <f>'Thu NSNN 2010-2025'!S139/'Chi NSĐP 2010-2025'!O10</f>
        <v>0.55798340289209492</v>
      </c>
      <c r="P138" s="822">
        <f>'Thu NSNN 2010-2025'!V139/'Chi NSĐP 2010-2025'!P10</f>
        <v>0.54413705087492326</v>
      </c>
      <c r="Q138" s="822">
        <f>(L138*M138*N138*O138*P138)^(1/5)</f>
        <v>0.57586692014377305</v>
      </c>
      <c r="R138" s="822"/>
      <c r="S138" s="822"/>
      <c r="T138" s="822"/>
      <c r="U138" s="822">
        <f>'Thu NSNN 2010-2025'!AA139/'Chi NSĐP 2010-2025'!U10</f>
        <v>0.5105878728643729</v>
      </c>
      <c r="V138" s="822">
        <f>'Thu NSNN 2010-2025'!AB139/'Chi NSĐP 2010-2025'!V10</f>
        <v>0.52262171541776314</v>
      </c>
      <c r="W138" s="822">
        <f>'Thu NSNN 2010-2025'!AC139/'Chi NSĐP 2010-2025'!W10</f>
        <v>0.53185326835777269</v>
      </c>
      <c r="X138" s="822">
        <f>'Thu NSNN 2010-2025'!AD139/'Chi NSĐP 2010-2025'!X10</f>
        <v>0.5441965745426498</v>
      </c>
      <c r="Y138" s="822">
        <f>'Thu NSNN 2010-2025'!AE139/'Chi NSĐP 2010-2025'!Y10</f>
        <v>0.55773318901545921</v>
      </c>
      <c r="Z138" s="822">
        <f>(U138*V138*W138*X138*Y138)^(1/5)</f>
        <v>0.53314631810631707</v>
      </c>
      <c r="AA138" s="822"/>
      <c r="AB138" s="822"/>
      <c r="AC138" s="822"/>
    </row>
    <row r="139" spans="1:29" ht="31.5" x14ac:dyDescent="0.25">
      <c r="A139" s="1097" t="s">
        <v>464</v>
      </c>
      <c r="B139" s="1112" t="s">
        <v>1352</v>
      </c>
      <c r="C139" s="822">
        <f>C8/'Thu NSNN 2010-2025'!G139-1</f>
        <v>0.28441944430758492</v>
      </c>
      <c r="D139" s="822">
        <f>D8/'Thu NSNN 2010-2025'!H139-1</f>
        <v>0.4636196890147688</v>
      </c>
      <c r="E139" s="822">
        <f>E8/'Thu NSNN 2010-2025'!I139-1</f>
        <v>0.63484113594871894</v>
      </c>
      <c r="F139" s="822">
        <f>F8/'Thu NSNN 2010-2025'!J139-1</f>
        <v>0.79839571473307291</v>
      </c>
      <c r="G139" s="822">
        <f>G8/'Thu NSNN 2010-2025'!K139-1</f>
        <v>1.1052702015684495</v>
      </c>
      <c r="H139" s="822">
        <f>H8/'Thu NSNN 2010-2025'!L139-1</f>
        <v>0.8235164770662593</v>
      </c>
      <c r="I139" s="822">
        <f>(D139*E139*F139*G139*H139)^(1/5)</f>
        <v>0.73457674696982012</v>
      </c>
      <c r="J139" s="822"/>
      <c r="K139" s="822"/>
      <c r="L139" s="822">
        <f>L10/'Thu NSNN 2010-2025'!P139-1</f>
        <v>0.40941105020528679</v>
      </c>
      <c r="M139" s="822">
        <f>M10/'Thu NSNN 2010-2025'!Q139-1</f>
        <v>0.87065618291872937</v>
      </c>
      <c r="N139" s="822">
        <f>N10/'Thu NSNN 2010-2025'!R139-1</f>
        <v>0.81839100594914549</v>
      </c>
      <c r="O139" s="822">
        <f>O10/'Thu NSNN 2010-2025'!S139-1</f>
        <v>0.79216800144391386</v>
      </c>
      <c r="P139" s="822">
        <f>P10/'Thu NSNN 2010-2025'!V139-1</f>
        <v>0.83777230091590038</v>
      </c>
      <c r="Q139" s="822">
        <f>(L139*M139*N139*O139*P139)^(1/5)</f>
        <v>0.72008220392999878</v>
      </c>
      <c r="R139" s="822"/>
      <c r="S139" s="822"/>
      <c r="T139" s="822"/>
      <c r="U139" s="822">
        <f>U10/'Thu NSNN 2010-2025'!AA139-1</f>
        <v>0.95852673583892445</v>
      </c>
      <c r="V139" s="822">
        <f>V10/'Thu NSNN 2010-2025'!AB139-1</f>
        <v>0.9134298681038151</v>
      </c>
      <c r="W139" s="822">
        <f>W10/'Thu NSNN 2010-2025'!AC139-1</f>
        <v>0.88021783355350069</v>
      </c>
      <c r="X139" s="822">
        <f>X10/'Thu NSNN 2010-2025'!AD139-1</f>
        <v>0.83757128725114383</v>
      </c>
      <c r="Y139" s="822">
        <f>Y10/'Thu NSNN 2010-2025'!AE139-1</f>
        <v>0.79297201546362017</v>
      </c>
      <c r="Z139" s="822">
        <f>(U139*V139*W139*X139*Y139)^(1/5)</f>
        <v>0.87464103482645095</v>
      </c>
      <c r="AA139" s="822"/>
      <c r="AB139" s="822"/>
      <c r="AC139" s="822"/>
    </row>
    <row r="140" spans="1:29" ht="31.5" x14ac:dyDescent="0.25">
      <c r="A140" s="1118" t="s">
        <v>740</v>
      </c>
      <c r="B140" s="1119" t="s">
        <v>1353</v>
      </c>
      <c r="C140" s="1011">
        <f>D38/'Thu NSNN 2010-2025'!H137</f>
        <v>0.30833526137981221</v>
      </c>
      <c r="D140" s="1011">
        <f>E38/'Thu NSNN 2010-2025'!I137</f>
        <v>0.38474018637755625</v>
      </c>
      <c r="E140" s="1011">
        <f>F38/'Thu NSNN 2010-2025'!J137</f>
        <v>0.34558806860699737</v>
      </c>
      <c r="F140" s="1011">
        <f>G38/'Thu NSNN 2010-2025'!K137</f>
        <v>0.33731302226570958</v>
      </c>
      <c r="G140" s="1011">
        <f>H38/'Thu NSNN 2010-2025'!L137</f>
        <v>0.33128720388766236</v>
      </c>
      <c r="H140" s="1011">
        <f>I38/'Thu NSNN 2010-2025'!M137</f>
        <v>0.34180783929257574</v>
      </c>
      <c r="I140" s="1011">
        <f>(D140*E140*F140*G140*H140)^(1/5)</f>
        <v>0.34765558920372519</v>
      </c>
      <c r="J140" s="1011"/>
      <c r="K140" s="1011"/>
      <c r="L140" s="1011">
        <f>L38/'Thu NSNN 2010-2025'!P137</f>
        <v>0.32465900138862785</v>
      </c>
      <c r="M140" s="1011">
        <f>M38/'Thu NSNN 2010-2025'!Q137</f>
        <v>0.33496651806296129</v>
      </c>
      <c r="N140" s="1011">
        <f>N38/'Thu NSNN 2010-2025'!R137</f>
        <v>0.31129017588445934</v>
      </c>
      <c r="O140" s="1011">
        <f>O38/'Thu NSNN 2010-2025'!S137</f>
        <v>0.36564865239555655</v>
      </c>
      <c r="P140" s="1011">
        <f>P38/'Thu NSNN 2010-2025'!V137</f>
        <v>0.33397396519786199</v>
      </c>
      <c r="Q140" s="1011">
        <f>(L140*M140*N140*O140*P140)^(1/5)</f>
        <v>0.33363697157170435</v>
      </c>
      <c r="R140" s="1011"/>
      <c r="S140" s="1011"/>
      <c r="T140" s="1011"/>
      <c r="U140" s="1011">
        <f>U38/'Thu NSNN 2010-2025'!AA137</f>
        <v>0.31743252422833185</v>
      </c>
      <c r="V140" s="1011">
        <f>V38/'Thu NSNN 2010-2025'!AB137</f>
        <v>0.33487997644247974</v>
      </c>
      <c r="W140" s="1011">
        <f>W38/'Thu NSNN 2010-2025'!AC137</f>
        <v>0.3391182696531001</v>
      </c>
      <c r="X140" s="1011">
        <f>X38/'Thu NSNN 2010-2025'!AD137</f>
        <v>0.34622110563455089</v>
      </c>
      <c r="Y140" s="1011">
        <f>Y38/'Thu NSNN 2010-2025'!AE137</f>
        <v>0.35254243957989506</v>
      </c>
      <c r="Z140" s="1011">
        <f>(U140*V140*W140*X140*Y140)^(1/5)</f>
        <v>0.33782465896560582</v>
      </c>
      <c r="AA140" s="1011"/>
      <c r="AB140" s="1011"/>
      <c r="AC140" s="1011"/>
    </row>
    <row r="141" spans="1:29" x14ac:dyDescent="0.25">
      <c r="O141" s="210" t="s">
        <v>1316</v>
      </c>
      <c r="P141" s="230" t="s">
        <v>1317</v>
      </c>
      <c r="Q141" s="230" t="s">
        <v>1318</v>
      </c>
      <c r="S141" s="230" t="s">
        <v>1319</v>
      </c>
      <c r="V141" s="230" t="s">
        <v>1320</v>
      </c>
      <c r="W141" s="230" t="s">
        <v>1321</v>
      </c>
    </row>
    <row r="142" spans="1:29" x14ac:dyDescent="0.25">
      <c r="O142" s="210" t="s">
        <v>1303</v>
      </c>
      <c r="P142" s="879">
        <v>1131.7059999999999</v>
      </c>
      <c r="Q142" s="230">
        <f>RANK(P142,$P$142:$P$154,0)</f>
        <v>4</v>
      </c>
      <c r="R142" s="794">
        <f>P142/$P$155</f>
        <v>0.10104789423358611</v>
      </c>
      <c r="S142" s="230">
        <v>1200</v>
      </c>
      <c r="T142" s="230">
        <f>RANK(S142,$S$142:$S$154,0)</f>
        <v>1</v>
      </c>
      <c r="U142" s="794">
        <f>S142/$S$155</f>
        <v>0.20294266869609334</v>
      </c>
      <c r="W142" s="230">
        <v>1688547</v>
      </c>
      <c r="X142" s="230">
        <f>RANK(W142,$W$142:$W$154,0)</f>
        <v>4</v>
      </c>
      <c r="Y142" s="794">
        <f>W142/$W$155</f>
        <v>9.7752875336567943E-2</v>
      </c>
    </row>
    <row r="143" spans="1:29" x14ac:dyDescent="0.25">
      <c r="O143" s="210" t="s">
        <v>1304</v>
      </c>
      <c r="P143" s="879">
        <v>798.99099999999999</v>
      </c>
      <c r="Q143" s="230">
        <f t="shared" ref="Q143:Q154" si="93">RANK(P143,$P$142:$P$154,0)</f>
        <v>7</v>
      </c>
      <c r="R143" s="794">
        <f t="shared" ref="R143:R154" si="94">P143/$P$155</f>
        <v>7.1340399416091452E-2</v>
      </c>
      <c r="S143" s="230">
        <v>500</v>
      </c>
      <c r="T143" s="230">
        <f t="shared" ref="T143:T154" si="95">RANK(S143,$S$142:$S$154,0)</f>
        <v>5</v>
      </c>
      <c r="U143" s="794">
        <f t="shared" ref="U143:U154" si="96">S143/$S$155</f>
        <v>8.4559445290038893E-2</v>
      </c>
      <c r="V143" s="254"/>
      <c r="W143" s="230">
        <v>1764185</v>
      </c>
      <c r="X143" s="230">
        <f t="shared" ref="X143:X154" si="97">RANK(W143,$W$142:$W$154,0)</f>
        <v>2</v>
      </c>
      <c r="Y143" s="794">
        <f t="shared" ref="Y143:Y154" si="98">W143/$W$155</f>
        <v>0.10213168859122257</v>
      </c>
    </row>
    <row r="144" spans="1:29" x14ac:dyDescent="0.25">
      <c r="L144" s="879">
        <v>39781</v>
      </c>
      <c r="O144" s="210" t="s">
        <v>1305</v>
      </c>
      <c r="P144" s="879">
        <v>454.64800000000002</v>
      </c>
      <c r="Q144" s="230">
        <f t="shared" si="93"/>
        <v>13</v>
      </c>
      <c r="R144" s="794">
        <f t="shared" si="94"/>
        <v>4.0594662410123709E-2</v>
      </c>
      <c r="S144" s="230">
        <v>150</v>
      </c>
      <c r="T144" s="230">
        <f t="shared" si="95"/>
        <v>12</v>
      </c>
      <c r="U144" s="794">
        <f t="shared" si="96"/>
        <v>2.5367833587011668E-2</v>
      </c>
      <c r="W144" s="230">
        <v>1288463</v>
      </c>
      <c r="X144" s="230">
        <f t="shared" si="97"/>
        <v>6</v>
      </c>
      <c r="Y144" s="794">
        <f t="shared" si="98"/>
        <v>7.4591327937439902E-2</v>
      </c>
    </row>
    <row r="145" spans="1:25" x14ac:dyDescent="0.25">
      <c r="L145" s="879">
        <v>37123</v>
      </c>
      <c r="O145" s="210" t="s">
        <v>1306</v>
      </c>
      <c r="P145" s="879">
        <v>720.31399999999996</v>
      </c>
      <c r="Q145" s="230">
        <f t="shared" si="93"/>
        <v>8</v>
      </c>
      <c r="R145" s="794">
        <f t="shared" si="94"/>
        <v>6.4315478478484109E-2</v>
      </c>
      <c r="S145" s="230">
        <v>190</v>
      </c>
      <c r="T145" s="230">
        <f t="shared" si="95"/>
        <v>11</v>
      </c>
      <c r="U145" s="794">
        <f t="shared" si="96"/>
        <v>3.2132589210214779E-2</v>
      </c>
      <c r="W145" s="230">
        <v>1009168</v>
      </c>
      <c r="X145" s="230">
        <f t="shared" si="97"/>
        <v>11</v>
      </c>
      <c r="Y145" s="794">
        <f t="shared" si="98"/>
        <v>5.842246244709421E-2</v>
      </c>
    </row>
    <row r="146" spans="1:25" x14ac:dyDescent="0.25">
      <c r="L146" s="879">
        <f>+L144-L145</f>
        <v>2658</v>
      </c>
      <c r="O146" s="210" t="s">
        <v>1307</v>
      </c>
      <c r="P146" s="879">
        <v>572.27599999999995</v>
      </c>
      <c r="Q146" s="230">
        <f t="shared" si="93"/>
        <v>10</v>
      </c>
      <c r="R146" s="794">
        <f t="shared" si="94"/>
        <v>5.1097444672396998E-2</v>
      </c>
      <c r="S146" s="230">
        <v>400</v>
      </c>
      <c r="T146" s="230">
        <f t="shared" si="95"/>
        <v>6</v>
      </c>
      <c r="U146" s="794">
        <f t="shared" si="96"/>
        <v>6.7647556232031114E-2</v>
      </c>
      <c r="W146" s="230">
        <v>1022791</v>
      </c>
      <c r="X146" s="230">
        <f t="shared" si="97"/>
        <v>10</v>
      </c>
      <c r="Y146" s="794">
        <f t="shared" si="98"/>
        <v>5.9211121229295754E-2</v>
      </c>
    </row>
    <row r="147" spans="1:25" x14ac:dyDescent="0.25">
      <c r="A147" s="230"/>
      <c r="B147" s="230"/>
      <c r="C147" s="230"/>
      <c r="D147" s="230"/>
      <c r="E147" s="230"/>
      <c r="F147" s="230"/>
      <c r="G147" s="230"/>
      <c r="H147" s="230"/>
      <c r="I147" s="230"/>
      <c r="J147" s="230"/>
      <c r="K147" s="230"/>
      <c r="L147" s="230"/>
      <c r="M147" s="230"/>
      <c r="N147" s="230"/>
      <c r="O147" s="210" t="s">
        <v>1308</v>
      </c>
      <c r="P147" s="879">
        <v>1464.8</v>
      </c>
      <c r="Q147" s="230">
        <f t="shared" si="93"/>
        <v>1</v>
      </c>
      <c r="R147" s="794">
        <f t="shared" si="94"/>
        <v>0.13078922924625028</v>
      </c>
      <c r="S147" s="230">
        <v>700</v>
      </c>
      <c r="T147" s="230">
        <f t="shared" si="95"/>
        <v>3</v>
      </c>
      <c r="U147" s="794">
        <f t="shared" si="96"/>
        <v>0.11838322340605445</v>
      </c>
      <c r="W147" s="230">
        <v>1235171</v>
      </c>
      <c r="X147" s="230">
        <f t="shared" si="97"/>
        <v>7</v>
      </c>
      <c r="Y147" s="794">
        <f t="shared" si="98"/>
        <v>7.1506162862119887E-2</v>
      </c>
    </row>
    <row r="148" spans="1:25" x14ac:dyDescent="0.25">
      <c r="O148" s="210" t="s">
        <v>1309</v>
      </c>
      <c r="P148" s="879">
        <v>571.46699999999998</v>
      </c>
      <c r="Q148" s="230">
        <f t="shared" si="93"/>
        <v>11</v>
      </c>
      <c r="R148" s="794">
        <f t="shared" si="94"/>
        <v>5.1025210588248847E-2</v>
      </c>
      <c r="S148" s="230">
        <v>200</v>
      </c>
      <c r="T148" s="230">
        <f t="shared" si="95"/>
        <v>9</v>
      </c>
      <c r="U148" s="794">
        <f t="shared" si="96"/>
        <v>3.3823778116015557E-2</v>
      </c>
      <c r="W148" s="230">
        <v>733017</v>
      </c>
      <c r="X148" s="230">
        <f t="shared" si="97"/>
        <v>13</v>
      </c>
      <c r="Y148" s="794">
        <f t="shared" si="98"/>
        <v>4.2435608496882243E-2</v>
      </c>
    </row>
    <row r="149" spans="1:25" x14ac:dyDescent="0.25">
      <c r="O149" s="210" t="s">
        <v>1310</v>
      </c>
      <c r="P149" s="879">
        <v>813.48599999999999</v>
      </c>
      <c r="Q149" s="230">
        <f t="shared" si="93"/>
        <v>6</v>
      </c>
      <c r="R149" s="794">
        <f t="shared" si="94"/>
        <v>7.2634630627126689E-2</v>
      </c>
      <c r="S149" s="230">
        <v>200</v>
      </c>
      <c r="T149" s="230">
        <f t="shared" si="95"/>
        <v>9</v>
      </c>
      <c r="U149" s="794">
        <f t="shared" si="96"/>
        <v>3.3823778116015557E-2</v>
      </c>
      <c r="W149" s="230">
        <v>1199653</v>
      </c>
      <c r="X149" s="230">
        <f t="shared" si="97"/>
        <v>8</v>
      </c>
      <c r="Y149" s="794">
        <f t="shared" si="98"/>
        <v>6.9449965062352265E-2</v>
      </c>
    </row>
    <row r="150" spans="1:25" x14ac:dyDescent="0.25">
      <c r="O150" s="210" t="s">
        <v>1311</v>
      </c>
      <c r="P150" s="879">
        <v>1300.9960000000001</v>
      </c>
      <c r="Q150" s="230">
        <f t="shared" si="93"/>
        <v>2</v>
      </c>
      <c r="R150" s="794">
        <f t="shared" si="94"/>
        <v>0.11616347903635627</v>
      </c>
      <c r="S150" s="230">
        <v>300</v>
      </c>
      <c r="T150" s="230">
        <f t="shared" si="95"/>
        <v>8</v>
      </c>
      <c r="U150" s="794">
        <f t="shared" si="96"/>
        <v>5.0735667174023336E-2</v>
      </c>
      <c r="W150" s="230">
        <v>1908352</v>
      </c>
      <c r="X150" s="230">
        <f t="shared" si="97"/>
        <v>1</v>
      </c>
      <c r="Y150" s="794">
        <f t="shared" si="98"/>
        <v>0.11047776292533763</v>
      </c>
    </row>
    <row r="151" spans="1:25" x14ac:dyDescent="0.25">
      <c r="O151" s="210" t="s">
        <v>1312</v>
      </c>
      <c r="P151" s="879">
        <v>1067.085</v>
      </c>
      <c r="Q151" s="230">
        <f t="shared" si="93"/>
        <v>5</v>
      </c>
      <c r="R151" s="794">
        <f t="shared" si="94"/>
        <v>9.5278007025010242E-2</v>
      </c>
      <c r="S151" s="230">
        <v>573</v>
      </c>
      <c r="T151" s="230">
        <f t="shared" si="95"/>
        <v>4</v>
      </c>
      <c r="U151" s="794">
        <f t="shared" si="96"/>
        <v>9.6905124302384571E-2</v>
      </c>
      <c r="W151" s="230">
        <v>1599504</v>
      </c>
      <c r="X151" s="230">
        <f t="shared" si="97"/>
        <v>5</v>
      </c>
      <c r="Y151" s="794">
        <f t="shared" si="98"/>
        <v>9.2598023692761738E-2</v>
      </c>
    </row>
    <row r="152" spans="1:25" x14ac:dyDescent="0.25">
      <c r="O152" s="210" t="s">
        <v>1313</v>
      </c>
      <c r="P152" s="879">
        <v>1211.692</v>
      </c>
      <c r="Q152" s="230">
        <f t="shared" si="93"/>
        <v>3</v>
      </c>
      <c r="R152" s="794">
        <f t="shared" si="94"/>
        <v>0.1081896933122935</v>
      </c>
      <c r="S152" s="230">
        <v>1000</v>
      </c>
      <c r="T152" s="230">
        <f t="shared" si="95"/>
        <v>2</v>
      </c>
      <c r="U152" s="794">
        <f t="shared" si="96"/>
        <v>0.16911889058007779</v>
      </c>
      <c r="W152" s="230">
        <v>1723067</v>
      </c>
      <c r="X152" s="230">
        <f t="shared" si="97"/>
        <v>3</v>
      </c>
      <c r="Y152" s="794">
        <f t="shared" si="98"/>
        <v>9.9751297208519579E-2</v>
      </c>
    </row>
    <row r="153" spans="1:25" x14ac:dyDescent="0.25">
      <c r="O153" s="210" t="s">
        <v>1314</v>
      </c>
      <c r="P153" s="879">
        <v>456.42</v>
      </c>
      <c r="Q153" s="230">
        <f t="shared" si="93"/>
        <v>12</v>
      </c>
      <c r="R153" s="794">
        <f t="shared" si="94"/>
        <v>4.0752880947961194E-2</v>
      </c>
      <c r="S153" s="230">
        <v>140</v>
      </c>
      <c r="T153" s="230">
        <f t="shared" si="95"/>
        <v>13</v>
      </c>
      <c r="U153" s="794">
        <f t="shared" si="96"/>
        <v>2.367664468121089E-2</v>
      </c>
      <c r="W153" s="230">
        <v>907236</v>
      </c>
      <c r="X153" s="230">
        <f t="shared" si="97"/>
        <v>12</v>
      </c>
      <c r="Y153" s="794">
        <f t="shared" si="98"/>
        <v>5.2521444537135503E-2</v>
      </c>
    </row>
    <row r="154" spans="1:25" x14ac:dyDescent="0.25">
      <c r="O154" s="210" t="s">
        <v>1315</v>
      </c>
      <c r="P154" s="879">
        <v>635.81799999999998</v>
      </c>
      <c r="Q154" s="230">
        <f t="shared" si="93"/>
        <v>9</v>
      </c>
      <c r="R154" s="794">
        <f t="shared" si="94"/>
        <v>5.6770990006070707E-2</v>
      </c>
      <c r="S154" s="230">
        <v>360</v>
      </c>
      <c r="T154" s="230">
        <f t="shared" si="95"/>
        <v>7</v>
      </c>
      <c r="U154" s="794">
        <f t="shared" si="96"/>
        <v>6.0882800608828003E-2</v>
      </c>
      <c r="W154" s="230">
        <v>1194476</v>
      </c>
      <c r="X154" s="230">
        <f t="shared" si="97"/>
        <v>9</v>
      </c>
      <c r="Y154" s="794">
        <f t="shared" si="98"/>
        <v>6.9150259673270764E-2</v>
      </c>
    </row>
    <row r="155" spans="1:25" x14ac:dyDescent="0.25">
      <c r="P155" s="230">
        <f>SUM(P142:P154)</f>
        <v>11199.698999999999</v>
      </c>
      <c r="R155" s="794">
        <f>SUM(R142:R154)</f>
        <v>1</v>
      </c>
      <c r="S155" s="230">
        <f>SUM(S142:S154)</f>
        <v>5913</v>
      </c>
      <c r="U155" s="794">
        <f>SUM(U142:U154)</f>
        <v>1</v>
      </c>
      <c r="W155" s="230">
        <f>SUM(W142:W154)</f>
        <v>17273630</v>
      </c>
      <c r="Y155" s="794">
        <f>SUM(Y142:Y154)</f>
        <v>0.99999999999999978</v>
      </c>
    </row>
    <row r="157" spans="1:25" ht="16.5" x14ac:dyDescent="0.25">
      <c r="V157" s="1014">
        <v>61239</v>
      </c>
      <c r="W157" s="1014">
        <v>65552</v>
      </c>
    </row>
    <row r="158" spans="1:25" x14ac:dyDescent="0.25">
      <c r="W158" s="794">
        <f>+W157/V157</f>
        <v>1.0704289749995917</v>
      </c>
    </row>
    <row r="159" spans="1:25" x14ac:dyDescent="0.25">
      <c r="I159" s="230">
        <f>I11/5</f>
        <v>1524698.2024611782</v>
      </c>
      <c r="O159" s="230">
        <v>18916</v>
      </c>
      <c r="Q159" s="230">
        <f>Q11/5</f>
        <v>2299630.4</v>
      </c>
    </row>
    <row r="160" spans="1:25" x14ac:dyDescent="0.25">
      <c r="O160" s="230">
        <v>37999</v>
      </c>
      <c r="Q160" s="230">
        <f>Q12/5</f>
        <v>797801.4</v>
      </c>
      <c r="X160" s="230">
        <v>213</v>
      </c>
    </row>
    <row r="161" spans="15:24" x14ac:dyDescent="0.25">
      <c r="O161" s="794">
        <f>+O159/O160</f>
        <v>0.49780257375194081</v>
      </c>
      <c r="X161" s="230">
        <v>2300</v>
      </c>
    </row>
    <row r="162" spans="15:24" x14ac:dyDescent="0.25">
      <c r="X162" s="230">
        <f>+X160*X161</f>
        <v>489900</v>
      </c>
    </row>
  </sheetData>
  <sortState ref="A41:AC42">
    <sortCondition descending="1" ref="A41"/>
  </sortState>
  <customSheetViews>
    <customSheetView guid="{88621519-296E-4458-B04E-813E881018FE}" hiddenColumns="1">
      <pageMargins left="0" right="0" top="0.19685039370078741" bottom="0.19685039370078741" header="0.19685039370078741" footer="0.19685039370078741"/>
      <printOptions horizontalCentered="1"/>
      <pageSetup paperSize="9" orientation="portrait" r:id="rId1"/>
    </customSheetView>
  </customSheetViews>
  <mergeCells count="30">
    <mergeCell ref="U5:U6"/>
    <mergeCell ref="V5:V6"/>
    <mergeCell ref="W5:W6"/>
    <mergeCell ref="A5:A6"/>
    <mergeCell ref="B5:B6"/>
    <mergeCell ref="O5:O6"/>
    <mergeCell ref="P5:P6"/>
    <mergeCell ref="H5:H6"/>
    <mergeCell ref="L5:L6"/>
    <mergeCell ref="M5:M6"/>
    <mergeCell ref="N5:N6"/>
    <mergeCell ref="E5:E6"/>
    <mergeCell ref="D5:D6"/>
    <mergeCell ref="C5:C6"/>
    <mergeCell ref="Y5:Y6"/>
    <mergeCell ref="R5:R6"/>
    <mergeCell ref="T5:T6"/>
    <mergeCell ref="A2:AC2"/>
    <mergeCell ref="F5:F6"/>
    <mergeCell ref="I5:I6"/>
    <mergeCell ref="J5:J6"/>
    <mergeCell ref="K5:K6"/>
    <mergeCell ref="Q5:Q6"/>
    <mergeCell ref="AC5:AC6"/>
    <mergeCell ref="AA5:AA6"/>
    <mergeCell ref="S5:S6"/>
    <mergeCell ref="AB5:AB6"/>
    <mergeCell ref="G5:G6"/>
    <mergeCell ref="Z5:Z6"/>
    <mergeCell ref="X5:X6"/>
  </mergeCells>
  <printOptions horizontalCentered="1"/>
  <pageMargins left="0" right="0" top="0.19685039370078741" bottom="0.19685039370078741" header="0.19685039370078741" footer="0.19685039370078741"/>
  <pageSetup paperSize="9" scale="70" orientation="landscape"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10"/>
  </sheetPr>
  <dimension ref="A1:AQ77"/>
  <sheetViews>
    <sheetView showGridLines="0" showZeros="0" zoomScale="90" zoomScaleNormal="90" workbookViewId="0">
      <pane xSplit="7" ySplit="14" topLeftCell="H3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10" customWidth="1"/>
    <col min="2" max="2" width="27" style="210" customWidth="1"/>
    <col min="3" max="3" width="9.5" style="210" customWidth="1"/>
    <col min="4" max="4" width="8.125" style="210" hidden="1" customWidth="1"/>
    <col min="5" max="5" width="10.875" style="210" hidden="1" customWidth="1"/>
    <col min="6" max="6" width="10.5" style="210" hidden="1" customWidth="1"/>
    <col min="7" max="7" width="8.125" style="210" hidden="1" customWidth="1"/>
    <col min="8" max="8" width="8.125" style="210" customWidth="1"/>
    <col min="9" max="9" width="6.625" style="797" customWidth="1"/>
    <col min="10" max="10" width="7" style="210" customWidth="1"/>
    <col min="11" max="12" width="8.125" style="210" customWidth="1"/>
    <col min="13" max="13" width="8.5" style="210" customWidth="1"/>
    <col min="14" max="14" width="8.375" style="210" customWidth="1"/>
    <col min="15" max="15" width="6.625" style="797" customWidth="1"/>
    <col min="16" max="16" width="7.375" style="210" customWidth="1"/>
    <col min="17" max="17" width="8.125" style="210" customWidth="1"/>
    <col min="18" max="18" width="9" style="210" customWidth="1"/>
    <col min="19" max="19" width="7.875" style="210" customWidth="1"/>
    <col min="20" max="20" width="9" style="210"/>
    <col min="21" max="21" width="9" style="797"/>
    <col min="22" max="26" width="9" style="210"/>
    <col min="27" max="27" width="9" style="797"/>
    <col min="28" max="32" width="9" style="210"/>
    <col min="33" max="33" width="9" style="797"/>
    <col min="34" max="38" width="9" style="210"/>
    <col min="39" max="39" width="8.375" style="797" customWidth="1"/>
    <col min="40" max="16384" width="9" style="210"/>
  </cols>
  <sheetData>
    <row r="1" spans="1:43" s="1" customFormat="1" ht="21" hidden="1" customHeight="1" x14ac:dyDescent="0.25">
      <c r="A1" s="1445" t="s">
        <v>503</v>
      </c>
      <c r="B1" s="1445"/>
      <c r="C1" s="1445" t="s">
        <v>1541</v>
      </c>
      <c r="D1" s="1445"/>
      <c r="E1" s="1445"/>
      <c r="F1" s="1445"/>
      <c r="G1" s="1445"/>
      <c r="H1" s="1445"/>
      <c r="I1" s="1445"/>
      <c r="J1" s="1445"/>
      <c r="K1" s="1445"/>
      <c r="L1" s="1445"/>
      <c r="M1" s="1445"/>
      <c r="N1" s="1445"/>
      <c r="O1" s="1445"/>
      <c r="P1" s="1445"/>
      <c r="Q1" s="1445"/>
      <c r="U1" s="796"/>
      <c r="AA1" s="796"/>
      <c r="AD1" s="1" t="s">
        <v>1537</v>
      </c>
      <c r="AG1" s="796"/>
      <c r="AI1" s="1269" t="s">
        <v>1541</v>
      </c>
      <c r="AM1" s="796"/>
      <c r="AQ1" s="1269" t="s">
        <v>1541</v>
      </c>
    </row>
    <row r="2" spans="1:43" s="1" customFormat="1" ht="21" hidden="1" customHeight="1" x14ac:dyDescent="0.25">
      <c r="A2" s="1445" t="s">
        <v>504</v>
      </c>
      <c r="B2" s="1445"/>
      <c r="C2" s="1445" t="s">
        <v>463</v>
      </c>
      <c r="D2" s="1445"/>
      <c r="E2" s="1445"/>
      <c r="F2" s="1445"/>
      <c r="G2" s="1445"/>
      <c r="H2" s="1445"/>
      <c r="I2" s="1445"/>
      <c r="J2" s="1445"/>
      <c r="K2" s="1445"/>
      <c r="L2" s="1445"/>
      <c r="M2" s="1445"/>
      <c r="N2" s="1445"/>
      <c r="O2" s="1445"/>
      <c r="P2" s="1445"/>
      <c r="Q2" s="1445"/>
      <c r="U2" s="796"/>
      <c r="AA2" s="796"/>
      <c r="AG2" s="796"/>
      <c r="AM2" s="796"/>
    </row>
    <row r="3" spans="1:43" ht="17.25" hidden="1" customHeight="1" x14ac:dyDescent="0.25">
      <c r="A3" s="1367" t="s">
        <v>399</v>
      </c>
      <c r="B3" s="1367"/>
      <c r="C3" s="1446" t="s">
        <v>476</v>
      </c>
      <c r="D3" s="1446"/>
      <c r="E3" s="1446"/>
      <c r="F3" s="1446"/>
      <c r="G3" s="1446"/>
      <c r="H3" s="1446"/>
      <c r="I3" s="1446"/>
      <c r="J3" s="1446"/>
      <c r="K3" s="1446"/>
      <c r="L3" s="1446"/>
      <c r="M3" s="1446"/>
      <c r="N3" s="1446"/>
      <c r="O3" s="1446"/>
      <c r="P3" s="1446"/>
      <c r="Q3" s="1446"/>
      <c r="S3" s="34"/>
    </row>
    <row r="4" spans="1:43" ht="17.25" hidden="1" customHeight="1" x14ac:dyDescent="0.25">
      <c r="A4" s="668"/>
      <c r="B4" s="668"/>
      <c r="C4" s="669"/>
      <c r="D4" s="669"/>
      <c r="E4" s="669"/>
      <c r="F4" s="669"/>
      <c r="G4" s="669"/>
      <c r="H4" s="669"/>
      <c r="J4" s="669"/>
      <c r="K4" s="669"/>
      <c r="L4" s="669"/>
      <c r="M4" s="669"/>
    </row>
    <row r="5" spans="1:43" s="1" customFormat="1" ht="33.75" customHeight="1" x14ac:dyDescent="0.25">
      <c r="A5" s="1362" t="s">
        <v>1383</v>
      </c>
      <c r="B5" s="1362"/>
      <c r="C5" s="1362"/>
      <c r="D5" s="1362"/>
      <c r="E5" s="1362"/>
      <c r="F5" s="1362"/>
      <c r="G5" s="1362"/>
      <c r="H5" s="1362"/>
      <c r="I5" s="1362"/>
      <c r="J5" s="1362"/>
      <c r="K5" s="1362"/>
      <c r="L5" s="1362"/>
      <c r="M5" s="1362"/>
      <c r="N5" s="1362"/>
      <c r="O5" s="1362"/>
      <c r="P5" s="1362"/>
      <c r="Q5" s="1362"/>
      <c r="R5" s="1362"/>
      <c r="S5" s="1362"/>
      <c r="U5" s="853"/>
      <c r="AA5" s="853"/>
      <c r="AG5" s="853"/>
      <c r="AM5" s="853"/>
    </row>
    <row r="6" spans="1:43" s="1" customFormat="1" x14ac:dyDescent="0.25">
      <c r="A6" s="182"/>
      <c r="B6" s="182"/>
      <c r="C6" s="182"/>
      <c r="D6" s="182"/>
      <c r="E6" s="1447"/>
      <c r="F6" s="1447"/>
      <c r="G6" s="1447"/>
      <c r="H6" s="183"/>
      <c r="I6" s="807"/>
      <c r="J6" s="184"/>
      <c r="K6" s="1449"/>
      <c r="L6" s="1449"/>
      <c r="M6" s="1449"/>
      <c r="N6" s="183"/>
      <c r="O6" s="806"/>
      <c r="P6" s="185"/>
      <c r="Q6" s="185"/>
      <c r="R6" s="185"/>
      <c r="S6" s="185"/>
      <c r="U6" s="796"/>
      <c r="AA6" s="796"/>
      <c r="AG6" s="796"/>
      <c r="AM6" s="796"/>
    </row>
    <row r="7" spans="1:43" x14ac:dyDescent="0.25">
      <c r="B7" s="243"/>
      <c r="C7" s="244"/>
      <c r="D7" s="244"/>
      <c r="E7" s="1448"/>
      <c r="F7" s="1448"/>
      <c r="G7" s="1448"/>
      <c r="H7" s="245"/>
      <c r="I7" s="808"/>
      <c r="J7" s="246"/>
      <c r="L7" s="229"/>
      <c r="S7" s="673" t="s">
        <v>474</v>
      </c>
    </row>
    <row r="8" spans="1:43" s="7" customFormat="1" ht="21.75" customHeight="1" x14ac:dyDescent="0.25">
      <c r="A8" s="1358" t="s">
        <v>400</v>
      </c>
      <c r="B8" s="1358" t="s">
        <v>401</v>
      </c>
      <c r="C8" s="1442" t="s">
        <v>949</v>
      </c>
      <c r="D8" s="5"/>
      <c r="E8" s="5"/>
      <c r="F8" s="5"/>
      <c r="G8" s="6"/>
      <c r="H8" s="1437" t="s">
        <v>1384</v>
      </c>
      <c r="I8" s="1438"/>
      <c r="J8" s="1438"/>
      <c r="K8" s="1438"/>
      <c r="L8" s="1438"/>
      <c r="M8" s="1439"/>
      <c r="N8" s="1437" t="s">
        <v>1023</v>
      </c>
      <c r="O8" s="1438"/>
      <c r="P8" s="1438"/>
      <c r="Q8" s="1438"/>
      <c r="R8" s="1438"/>
      <c r="S8" s="1439"/>
      <c r="T8" s="1437" t="s">
        <v>950</v>
      </c>
      <c r="U8" s="1438"/>
      <c r="V8" s="1438"/>
      <c r="W8" s="1438"/>
      <c r="X8" s="1438"/>
      <c r="Y8" s="1439"/>
      <c r="Z8" s="1437" t="s">
        <v>972</v>
      </c>
      <c r="AA8" s="1438"/>
      <c r="AB8" s="1438"/>
      <c r="AC8" s="1438"/>
      <c r="AD8" s="1438"/>
      <c r="AE8" s="1439"/>
      <c r="AF8" s="1437" t="s">
        <v>971</v>
      </c>
      <c r="AG8" s="1438"/>
      <c r="AH8" s="1438"/>
      <c r="AI8" s="1438"/>
      <c r="AJ8" s="1438"/>
      <c r="AK8" s="1439"/>
      <c r="AL8" s="1437" t="s">
        <v>970</v>
      </c>
      <c r="AM8" s="1438"/>
      <c r="AN8" s="1438"/>
      <c r="AO8" s="1438"/>
      <c r="AP8" s="1438"/>
      <c r="AQ8" s="1439"/>
    </row>
    <row r="9" spans="1:43" s="7" customFormat="1" ht="15.75" customHeight="1" x14ac:dyDescent="0.25">
      <c r="A9" s="1441"/>
      <c r="B9" s="1441"/>
      <c r="C9" s="1443"/>
      <c r="D9" s="1358" t="s">
        <v>402</v>
      </c>
      <c r="E9" s="4" t="s">
        <v>403</v>
      </c>
      <c r="F9" s="5"/>
      <c r="G9" s="6"/>
      <c r="H9" s="1358" t="s">
        <v>466</v>
      </c>
      <c r="I9" s="1358" t="s">
        <v>391</v>
      </c>
      <c r="J9" s="1358" t="s">
        <v>402</v>
      </c>
      <c r="K9" s="4" t="s">
        <v>403</v>
      </c>
      <c r="L9" s="5"/>
      <c r="M9" s="6"/>
      <c r="N9" s="1358" t="s">
        <v>466</v>
      </c>
      <c r="O9" s="1358" t="s">
        <v>1385</v>
      </c>
      <c r="P9" s="1358" t="s">
        <v>402</v>
      </c>
      <c r="Q9" s="4" t="s">
        <v>403</v>
      </c>
      <c r="R9" s="5"/>
      <c r="S9" s="6"/>
      <c r="T9" s="1358" t="s">
        <v>466</v>
      </c>
      <c r="U9" s="1358" t="s">
        <v>955</v>
      </c>
      <c r="V9" s="1358" t="s">
        <v>402</v>
      </c>
      <c r="W9" s="4" t="s">
        <v>403</v>
      </c>
      <c r="X9" s="5"/>
      <c r="Y9" s="6"/>
      <c r="Z9" s="1358" t="s">
        <v>466</v>
      </c>
      <c r="AA9" s="1358" t="s">
        <v>973</v>
      </c>
      <c r="AB9" s="1358" t="s">
        <v>402</v>
      </c>
      <c r="AC9" s="4" t="s">
        <v>403</v>
      </c>
      <c r="AD9" s="5"/>
      <c r="AE9" s="6"/>
      <c r="AF9" s="1358" t="s">
        <v>466</v>
      </c>
      <c r="AG9" s="1358" t="s">
        <v>974</v>
      </c>
      <c r="AH9" s="1358" t="s">
        <v>402</v>
      </c>
      <c r="AI9" s="4" t="s">
        <v>403</v>
      </c>
      <c r="AJ9" s="5"/>
      <c r="AK9" s="6"/>
      <c r="AL9" s="1358" t="s">
        <v>466</v>
      </c>
      <c r="AM9" s="1358" t="s">
        <v>975</v>
      </c>
      <c r="AN9" s="1358" t="s">
        <v>402</v>
      </c>
      <c r="AO9" s="4" t="s">
        <v>403</v>
      </c>
      <c r="AP9" s="5"/>
      <c r="AQ9" s="6"/>
    </row>
    <row r="10" spans="1:43" s="7" customFormat="1" ht="79.5" customHeight="1" x14ac:dyDescent="0.25">
      <c r="A10" s="1440"/>
      <c r="B10" s="1440"/>
      <c r="C10" s="1444"/>
      <c r="D10" s="1360"/>
      <c r="E10" s="666" t="s">
        <v>404</v>
      </c>
      <c r="F10" s="666" t="s">
        <v>405</v>
      </c>
      <c r="G10" s="666" t="s">
        <v>469</v>
      </c>
      <c r="H10" s="1440"/>
      <c r="I10" s="1440"/>
      <c r="J10" s="1440"/>
      <c r="K10" s="666" t="s">
        <v>404</v>
      </c>
      <c r="L10" s="666" t="s">
        <v>405</v>
      </c>
      <c r="M10" s="666" t="s">
        <v>469</v>
      </c>
      <c r="N10" s="1440"/>
      <c r="O10" s="1440"/>
      <c r="P10" s="1440"/>
      <c r="Q10" s="666" t="s">
        <v>404</v>
      </c>
      <c r="R10" s="666" t="s">
        <v>405</v>
      </c>
      <c r="S10" s="666" t="s">
        <v>469</v>
      </c>
      <c r="T10" s="1440"/>
      <c r="U10" s="1440"/>
      <c r="V10" s="1440"/>
      <c r="W10" s="666" t="s">
        <v>404</v>
      </c>
      <c r="X10" s="666" t="s">
        <v>405</v>
      </c>
      <c r="Y10" s="666" t="s">
        <v>469</v>
      </c>
      <c r="Z10" s="1440"/>
      <c r="AA10" s="1440"/>
      <c r="AB10" s="1440"/>
      <c r="AC10" s="666" t="s">
        <v>404</v>
      </c>
      <c r="AD10" s="666" t="s">
        <v>405</v>
      </c>
      <c r="AE10" s="666" t="s">
        <v>469</v>
      </c>
      <c r="AF10" s="1440"/>
      <c r="AG10" s="1440"/>
      <c r="AH10" s="1440"/>
      <c r="AI10" s="666" t="s">
        <v>404</v>
      </c>
      <c r="AJ10" s="666" t="s">
        <v>405</v>
      </c>
      <c r="AK10" s="666" t="s">
        <v>469</v>
      </c>
      <c r="AL10" s="1440"/>
      <c r="AM10" s="1440"/>
      <c r="AN10" s="1440"/>
      <c r="AO10" s="666" t="s">
        <v>404</v>
      </c>
      <c r="AP10" s="666" t="s">
        <v>405</v>
      </c>
      <c r="AQ10" s="666" t="s">
        <v>469</v>
      </c>
    </row>
    <row r="11" spans="1:43" s="248" customFormat="1" x14ac:dyDescent="0.25">
      <c r="A11" s="247">
        <v>1</v>
      </c>
      <c r="B11" s="247">
        <v>2</v>
      </c>
      <c r="C11" s="247">
        <v>3</v>
      </c>
      <c r="D11" s="247"/>
      <c r="E11" s="247"/>
      <c r="F11" s="247"/>
      <c r="G11" s="247"/>
      <c r="H11" s="247" t="s">
        <v>485</v>
      </c>
      <c r="I11" s="30" t="s">
        <v>480</v>
      </c>
      <c r="J11" s="247">
        <v>6</v>
      </c>
      <c r="K11" s="247" t="s">
        <v>481</v>
      </c>
      <c r="L11" s="247">
        <v>8</v>
      </c>
      <c r="M11" s="30">
        <v>9</v>
      </c>
      <c r="N11" s="247" t="s">
        <v>483</v>
      </c>
      <c r="O11" s="247" t="s">
        <v>488</v>
      </c>
      <c r="P11" s="30">
        <v>12</v>
      </c>
      <c r="Q11" s="247" t="s">
        <v>484</v>
      </c>
      <c r="R11" s="247">
        <v>14</v>
      </c>
      <c r="S11" s="247">
        <v>15</v>
      </c>
      <c r="T11" s="247">
        <v>16</v>
      </c>
      <c r="U11" s="247" t="s">
        <v>623</v>
      </c>
      <c r="V11" s="247">
        <v>18</v>
      </c>
      <c r="W11" s="247" t="s">
        <v>622</v>
      </c>
      <c r="X11" s="247">
        <v>20</v>
      </c>
      <c r="Y11" s="247">
        <v>21</v>
      </c>
      <c r="Z11" s="247">
        <v>22</v>
      </c>
      <c r="AA11" s="247" t="s">
        <v>625</v>
      </c>
      <c r="AB11" s="247">
        <v>24</v>
      </c>
      <c r="AC11" s="247" t="s">
        <v>624</v>
      </c>
      <c r="AD11" s="247">
        <v>26</v>
      </c>
      <c r="AE11" s="247">
        <v>27</v>
      </c>
      <c r="AF11" s="247"/>
      <c r="AG11" s="247"/>
      <c r="AH11" s="247"/>
      <c r="AI11" s="247"/>
      <c r="AJ11" s="247"/>
      <c r="AK11" s="247"/>
      <c r="AL11" s="247"/>
      <c r="AM11" s="247"/>
      <c r="AN11" s="247"/>
      <c r="AO11" s="247"/>
      <c r="AP11" s="247"/>
      <c r="AQ11" s="247"/>
    </row>
    <row r="12" spans="1:43" s="18" customFormat="1" x14ac:dyDescent="0.25">
      <c r="A12" s="58" t="s">
        <v>407</v>
      </c>
      <c r="B12" s="47" t="s">
        <v>408</v>
      </c>
      <c r="C12" s="539">
        <f t="shared" ref="C12:H12" si="0">SUM(C13,C52)</f>
        <v>8495000</v>
      </c>
      <c r="D12" s="570">
        <f t="shared" si="0"/>
        <v>1776300</v>
      </c>
      <c r="E12" s="570">
        <f>SUM(E13,E52)</f>
        <v>6718700</v>
      </c>
      <c r="F12" s="570">
        <f t="shared" si="0"/>
        <v>4210265</v>
      </c>
      <c r="G12" s="570">
        <f t="shared" si="0"/>
        <v>2508435</v>
      </c>
      <c r="H12" s="539">
        <f t="shared" si="0"/>
        <v>8050000</v>
      </c>
      <c r="I12" s="800">
        <f>H12/C12*100</f>
        <v>94.761624484991174</v>
      </c>
      <c r="J12" s="212">
        <f>SUM(J13,J52)</f>
        <v>1529640</v>
      </c>
      <c r="K12" s="212">
        <f>SUM(K13,K52)</f>
        <v>6520360</v>
      </c>
      <c r="L12" s="212">
        <f>SUM(L13,L52)</f>
        <v>4141560</v>
      </c>
      <c r="M12" s="212">
        <f>SUM(M13,M52)</f>
        <v>2378800</v>
      </c>
      <c r="N12" s="570">
        <f>SUM(N13,N52)</f>
        <v>8140900</v>
      </c>
      <c r="O12" s="653">
        <f>N12/H12*100</f>
        <v>101.12919254658385</v>
      </c>
      <c r="P12" s="539">
        <f>SUM(P13,P52)</f>
        <v>1660460</v>
      </c>
      <c r="Q12" s="539">
        <f>SUM(Q13,Q52)</f>
        <v>6480440</v>
      </c>
      <c r="R12" s="539">
        <f>SUM(R13,R52)</f>
        <v>4103130</v>
      </c>
      <c r="S12" s="539">
        <f>SUM(S13,S52)</f>
        <v>2377310</v>
      </c>
      <c r="T12" s="539">
        <f>SUM(T13,T52)</f>
        <v>8857000</v>
      </c>
      <c r="U12" s="800">
        <f>T12/N12*100</f>
        <v>108.79632473068088</v>
      </c>
      <c r="V12" s="539">
        <f>SUM(V13,V52)</f>
        <v>1806000</v>
      </c>
      <c r="W12" s="539">
        <f>SUM(W13,W52)</f>
        <v>7051000</v>
      </c>
      <c r="X12" s="539">
        <f>SUM(X13,X52)</f>
        <v>4394000</v>
      </c>
      <c r="Y12" s="539">
        <f>SUM(Y13,Y52)</f>
        <v>2657000</v>
      </c>
      <c r="Z12" s="539">
        <f>SUM(Z13,Z52)</f>
        <v>9551000</v>
      </c>
      <c r="AA12" s="800">
        <f>Z12/T12*100</f>
        <v>107.83561025177826</v>
      </c>
      <c r="AB12" s="539">
        <f>SUM(AB13,AB52)</f>
        <v>1981000</v>
      </c>
      <c r="AC12" s="539">
        <f>SUM(AC13,AC52)</f>
        <v>7570000</v>
      </c>
      <c r="AD12" s="539">
        <f>SUM(AD13,AD52)</f>
        <v>4666000</v>
      </c>
      <c r="AE12" s="539">
        <f>SUM(AE13,AE52)</f>
        <v>2904000</v>
      </c>
      <c r="AF12" s="539">
        <f>SUM(AF13,AF52)</f>
        <v>10261000</v>
      </c>
      <c r="AG12" s="800">
        <f>AF12/Z12*100</f>
        <v>107.43377656789865</v>
      </c>
      <c r="AH12" s="539">
        <f>SUM(AH13,AH52)</f>
        <v>2174000</v>
      </c>
      <c r="AI12" s="539">
        <f>SUM(AI13,AI52)</f>
        <v>8087000</v>
      </c>
      <c r="AJ12" s="539">
        <f>SUM(AJ13,AJ52)</f>
        <v>4903000</v>
      </c>
      <c r="AK12" s="539">
        <f>SUM(AK13,AK52)</f>
        <v>3184000</v>
      </c>
      <c r="AL12" s="539">
        <f>SUM(AL13,AL52)</f>
        <v>11050000</v>
      </c>
      <c r="AM12" s="800">
        <f>AL12/AF12*100</f>
        <v>107.6893090342072</v>
      </c>
      <c r="AN12" s="539">
        <f>SUM(AN13,AN52)</f>
        <v>2384500</v>
      </c>
      <c r="AO12" s="539">
        <f>SUM(AO13,AO52)</f>
        <v>8665500</v>
      </c>
      <c r="AP12" s="539">
        <f>SUM(AP13,AP52)</f>
        <v>5161500</v>
      </c>
      <c r="AQ12" s="539">
        <f>SUM(AQ13,AQ52)</f>
        <v>3504000</v>
      </c>
    </row>
    <row r="13" spans="1:43" s="18" customFormat="1" x14ac:dyDescent="0.25">
      <c r="A13" s="51" t="s">
        <v>409</v>
      </c>
      <c r="B13" s="41" t="s">
        <v>410</v>
      </c>
      <c r="C13" s="552">
        <f t="shared" ref="C13:H13" si="1">SUM(C15,C21,C27,C32,C38:C51)</f>
        <v>8425000</v>
      </c>
      <c r="D13" s="552">
        <f t="shared" si="1"/>
        <v>1706300</v>
      </c>
      <c r="E13" s="552">
        <f t="shared" si="1"/>
        <v>6718700</v>
      </c>
      <c r="F13" s="552">
        <f t="shared" si="1"/>
        <v>4210265</v>
      </c>
      <c r="G13" s="552">
        <f t="shared" si="1"/>
        <v>2508435</v>
      </c>
      <c r="H13" s="552">
        <f t="shared" si="1"/>
        <v>7964000</v>
      </c>
      <c r="I13" s="801">
        <f>H13/C13*100</f>
        <v>94.528189910979236</v>
      </c>
      <c r="J13" s="225">
        <f>SUM(J15,J21,J27,J32,J38:J51)</f>
        <v>1443640</v>
      </c>
      <c r="K13" s="225">
        <f>SUM(K15,K21,K27,K32,K38,K39,K40,K41,K42,K43,K44,K45,K46,K47,K48,K49,K50,K51)</f>
        <v>6520360</v>
      </c>
      <c r="L13" s="225">
        <f>SUM(L15,L21,L27,L32,L38,L39,L40,L41,L42,L43,L44,L45,L46,L47,L48,L49,L50,L51)</f>
        <v>4141560</v>
      </c>
      <c r="M13" s="225">
        <f>SUM(M15,M21,M27,M32,M38,M39,M40,M41,M42,M43,M44,M45,M46,M47,M48,M49,M50,M51)</f>
        <v>2378800</v>
      </c>
      <c r="N13" s="571">
        <f>SUM(N15,N21,N27,N32,N38:N51)</f>
        <v>8035900</v>
      </c>
      <c r="O13" s="609">
        <f>N13/H13*100</f>
        <v>100.90281265695631</v>
      </c>
      <c r="P13" s="552">
        <f>SUM(P15,P21,P27,P32,P38:P50)</f>
        <v>1555460</v>
      </c>
      <c r="Q13" s="552">
        <f>SUM(Q15,Q21,Q27,Q32,Q38:Q51)</f>
        <v>6480440</v>
      </c>
      <c r="R13" s="552">
        <f>SUM(R15,R21,R27,R32,R38:R51)</f>
        <v>4103130</v>
      </c>
      <c r="S13" s="552">
        <f>SUM(S15,S21,S27,S32,S38:S51)</f>
        <v>2377310</v>
      </c>
      <c r="T13" s="552">
        <f>SUM(T15,T21,T27,T32,T38:T51)</f>
        <v>8740000</v>
      </c>
      <c r="U13" s="801">
        <f>T13/N13*100</f>
        <v>108.76193083537625</v>
      </c>
      <c r="V13" s="552">
        <f>SUM(V15,V21,V27,V32,V38:V50)</f>
        <v>1689000</v>
      </c>
      <c r="W13" s="552">
        <f>SUM(W15,W21,W27,W32,W38:W51)</f>
        <v>7051000</v>
      </c>
      <c r="X13" s="552">
        <f>SUM(X15,X21,X27,X32,X38:X51)</f>
        <v>4394000</v>
      </c>
      <c r="Y13" s="552">
        <f>SUM(Y15,Y21,Y27,Y32,Y38:Y51)</f>
        <v>2657000</v>
      </c>
      <c r="Z13" s="552">
        <f>SUM(Z15,Z21,Z27,Z32,Z38:Z51)</f>
        <v>9422000</v>
      </c>
      <c r="AA13" s="801">
        <f>Z13/T13*100</f>
        <v>107.80320366132723</v>
      </c>
      <c r="AB13" s="552">
        <f>SUM(AB15,AB21,AB27,AB32,AB38:AB50)</f>
        <v>1852000</v>
      </c>
      <c r="AC13" s="552">
        <f>SUM(AC15,AC21,AC27,AC32,AC38:AC51)</f>
        <v>7570000</v>
      </c>
      <c r="AD13" s="552">
        <f>SUM(AD15,AD21,AD27,AD32,AD38:AD51)</f>
        <v>4666000</v>
      </c>
      <c r="AE13" s="552">
        <f>SUM(AE15,AE21,AE27,AE32,AE38:AE51)</f>
        <v>2904000</v>
      </c>
      <c r="AF13" s="552">
        <f>SUM(AF15,AF21,AF27,AF32,AF38:AF51)</f>
        <v>10120000</v>
      </c>
      <c r="AG13" s="801">
        <f>AF13/Z13*100</f>
        <v>107.40819358947145</v>
      </c>
      <c r="AH13" s="552">
        <f>SUM(AH15,AH21,AH27,AH32,AH38:AH50)</f>
        <v>2033000</v>
      </c>
      <c r="AI13" s="552">
        <f>SUM(AI15,AI21,AI27,AI32,AI38:AI51)</f>
        <v>8087000</v>
      </c>
      <c r="AJ13" s="552">
        <f>SUM(AJ15,AJ21,AJ27,AJ32,AJ38:AJ51)</f>
        <v>4903000</v>
      </c>
      <c r="AK13" s="552">
        <f>SUM(AK15,AK21,AK27,AK32,AK38:AK51)</f>
        <v>3184000</v>
      </c>
      <c r="AL13" s="552">
        <f>SUM(AL15,AL21,AL27,AL32,AL38:AL51)</f>
        <v>10897000</v>
      </c>
      <c r="AM13" s="801">
        <f>AL13/AF13*100</f>
        <v>107.67786561264823</v>
      </c>
      <c r="AN13" s="552">
        <f>SUM(AN15,AN21,AN27,AN32,AN38:AN50)</f>
        <v>2231500</v>
      </c>
      <c r="AO13" s="552">
        <f>SUM(AO15,AO21,AO27,AO32,AO38:AO51)</f>
        <v>8665500</v>
      </c>
      <c r="AP13" s="552">
        <f>SUM(AP15,AP21,AP27,AP32,AP38:AP51)</f>
        <v>5161500</v>
      </c>
      <c r="AQ13" s="552">
        <f>SUM(AQ15,AQ21,AQ27,AQ32,AQ38:AQ51)</f>
        <v>3504000</v>
      </c>
    </row>
    <row r="14" spans="1:43" s="18" customFormat="1" x14ac:dyDescent="0.25">
      <c r="A14" s="51"/>
      <c r="B14" s="41" t="s">
        <v>978</v>
      </c>
      <c r="C14" s="552">
        <f>C13-C44-C51</f>
        <v>6365000</v>
      </c>
      <c r="D14" s="552"/>
      <c r="E14" s="552">
        <f>E13-E44-E51</f>
        <v>4658700</v>
      </c>
      <c r="F14" s="552">
        <f>F13-F44-F51</f>
        <v>2650265</v>
      </c>
      <c r="G14" s="552">
        <f>G13-G44-G51</f>
        <v>2008435</v>
      </c>
      <c r="H14" s="552">
        <f>H13-H44-H51</f>
        <v>5414000</v>
      </c>
      <c r="I14" s="801">
        <f>H14/C14*100</f>
        <v>85.058915946582886</v>
      </c>
      <c r="J14" s="225">
        <f>J13-J44-J51</f>
        <v>1443640</v>
      </c>
      <c r="K14" s="225">
        <f>K13-K44-K51</f>
        <v>3970360</v>
      </c>
      <c r="L14" s="225">
        <f>L13-L44-L51</f>
        <v>2341560</v>
      </c>
      <c r="M14" s="225">
        <f>M13-M44-M51</f>
        <v>1628800</v>
      </c>
      <c r="N14" s="552">
        <f>N13-N44-N51</f>
        <v>5785900</v>
      </c>
      <c r="O14" s="801">
        <f>N14/H14*100</f>
        <v>106.86922792759512</v>
      </c>
      <c r="P14" s="552">
        <f>P13-P44-P51</f>
        <v>1555460</v>
      </c>
      <c r="Q14" s="552">
        <f>Q13-Q44-Q51</f>
        <v>4230440</v>
      </c>
      <c r="R14" s="552">
        <f>R13-R44-R51</f>
        <v>2503130</v>
      </c>
      <c r="S14" s="552">
        <f>S13-S44-S51</f>
        <v>1727310</v>
      </c>
      <c r="T14" s="552">
        <f>T13-T44-T51</f>
        <v>6390000</v>
      </c>
      <c r="U14" s="801">
        <f>T14/N14*100</f>
        <v>110.44089942791959</v>
      </c>
      <c r="V14" s="552">
        <f>V13-V44-V51</f>
        <v>1689000</v>
      </c>
      <c r="W14" s="552">
        <f>W13-W44-W51</f>
        <v>4701000</v>
      </c>
      <c r="X14" s="552">
        <f>X13-X44-X51</f>
        <v>2744000</v>
      </c>
      <c r="Y14" s="552">
        <f>Y13-Y44-Y51</f>
        <v>1957000</v>
      </c>
      <c r="Z14" s="552">
        <f>Z13-Z44-Z51</f>
        <v>7022000</v>
      </c>
      <c r="AA14" s="801">
        <f>Z14/T14*100</f>
        <v>109.8904538341158</v>
      </c>
      <c r="AB14" s="552">
        <f>AB13-AB44-AB51</f>
        <v>1852000</v>
      </c>
      <c r="AC14" s="552">
        <f>AC13-AC44-AC51</f>
        <v>5170000</v>
      </c>
      <c r="AD14" s="552">
        <f>AD13-AD44-AD51</f>
        <v>2966000</v>
      </c>
      <c r="AE14" s="552">
        <f>AE13-AE44-AE51</f>
        <v>2204000</v>
      </c>
      <c r="AF14" s="552">
        <f>AF13-AF44-AF51</f>
        <v>7720000</v>
      </c>
      <c r="AG14" s="801">
        <f>AF14/Z14*100</f>
        <v>109.9401879806323</v>
      </c>
      <c r="AH14" s="552">
        <f>AH13-AH44-AH51</f>
        <v>2033000</v>
      </c>
      <c r="AI14" s="552">
        <f>AI13-AI44-AI51</f>
        <v>5687000</v>
      </c>
      <c r="AJ14" s="552">
        <f>AJ13-AJ44-AJ51</f>
        <v>3203000</v>
      </c>
      <c r="AK14" s="552">
        <f>AK13-AK44-AK51</f>
        <v>2484000</v>
      </c>
      <c r="AL14" s="552">
        <f>AL13-AL44-AL51</f>
        <v>8497000</v>
      </c>
      <c r="AM14" s="801">
        <f>AL14/AF14*100</f>
        <v>110.06476683937825</v>
      </c>
      <c r="AN14" s="552">
        <f>AN13-AN44-AN51</f>
        <v>2231500</v>
      </c>
      <c r="AO14" s="552">
        <f>AO13-AO44-AO51</f>
        <v>6265500</v>
      </c>
      <c r="AP14" s="552">
        <f>AP13-AP44-AP51</f>
        <v>3461500</v>
      </c>
      <c r="AQ14" s="552">
        <f>AQ13-AQ44-AQ51</f>
        <v>2804000</v>
      </c>
    </row>
    <row r="15" spans="1:43" s="249" customFormat="1" ht="15" customHeight="1" x14ac:dyDescent="0.25">
      <c r="A15" s="148">
        <v>1</v>
      </c>
      <c r="B15" s="26" t="s">
        <v>534</v>
      </c>
      <c r="C15" s="551">
        <f t="shared" ref="C15:H15" si="2">SUM(C16:C20)</f>
        <v>235000</v>
      </c>
      <c r="D15" s="585">
        <f t="shared" si="2"/>
        <v>0</v>
      </c>
      <c r="E15" s="585">
        <f t="shared" si="2"/>
        <v>235000</v>
      </c>
      <c r="F15" s="585">
        <f t="shared" si="2"/>
        <v>235000</v>
      </c>
      <c r="G15" s="585">
        <f t="shared" si="2"/>
        <v>0</v>
      </c>
      <c r="H15" s="551">
        <f t="shared" si="2"/>
        <v>190000</v>
      </c>
      <c r="I15" s="802">
        <f>H15/C15*100</f>
        <v>80.851063829787222</v>
      </c>
      <c r="J15" s="222">
        <f>SUM(J16:J20)</f>
        <v>0</v>
      </c>
      <c r="K15" s="222">
        <f>SUM(K16:K20)</f>
        <v>190000</v>
      </c>
      <c r="L15" s="222">
        <f>SUM(L16:L20)</f>
        <v>190000</v>
      </c>
      <c r="M15" s="222">
        <f>SUM(M16:M20)</f>
        <v>0</v>
      </c>
      <c r="N15" s="551">
        <f>SUM(N16:N20)</f>
        <v>210000</v>
      </c>
      <c r="O15" s="802">
        <f>N15/H15*100</f>
        <v>110.5263157894737</v>
      </c>
      <c r="P15" s="551">
        <f>SUM(P16:P20)</f>
        <v>0</v>
      </c>
      <c r="Q15" s="551">
        <f>SUM(Q16:Q20)</f>
        <v>210000</v>
      </c>
      <c r="R15" s="551">
        <f>SUM(R16:R20)</f>
        <v>210000</v>
      </c>
      <c r="S15" s="551">
        <f>SUM(S16:S20)</f>
        <v>0</v>
      </c>
      <c r="T15" s="551">
        <f>SUM(T16:T20)</f>
        <v>220000</v>
      </c>
      <c r="U15" s="802">
        <f>T15/N15*100</f>
        <v>104.76190476190477</v>
      </c>
      <c r="V15" s="551">
        <f>SUM(V16:V20)</f>
        <v>0</v>
      </c>
      <c r="W15" s="551">
        <f>SUM(W16:W20)</f>
        <v>220000</v>
      </c>
      <c r="X15" s="551">
        <f>SUM(X16:X20)</f>
        <v>220000</v>
      </c>
      <c r="Y15" s="551">
        <f>SUM(Y16:Y20)</f>
        <v>0</v>
      </c>
      <c r="Z15" s="551">
        <f>SUM(Z16:Z20)</f>
        <v>230000</v>
      </c>
      <c r="AA15" s="802">
        <f>Z15/T15*100</f>
        <v>104.54545454545455</v>
      </c>
      <c r="AB15" s="551">
        <f>SUM(AB16:AB20)</f>
        <v>0</v>
      </c>
      <c r="AC15" s="551">
        <f>SUM(AC16:AC20)</f>
        <v>230000</v>
      </c>
      <c r="AD15" s="551">
        <f>SUM(AD16:AD20)</f>
        <v>230000</v>
      </c>
      <c r="AE15" s="551">
        <f>SUM(AE16:AE20)</f>
        <v>0</v>
      </c>
      <c r="AF15" s="551">
        <f>SUM(AF16:AF20)</f>
        <v>240000</v>
      </c>
      <c r="AG15" s="802">
        <f>AF15/Z15*100</f>
        <v>104.34782608695652</v>
      </c>
      <c r="AH15" s="551">
        <f>SUM(AH16:AH20)</f>
        <v>0</v>
      </c>
      <c r="AI15" s="551">
        <f>SUM(AI16:AI20)</f>
        <v>240000</v>
      </c>
      <c r="AJ15" s="551">
        <f>SUM(AJ16:AJ20)</f>
        <v>240000</v>
      </c>
      <c r="AK15" s="551">
        <f>SUM(AK16:AK20)</f>
        <v>0</v>
      </c>
      <c r="AL15" s="551">
        <f>SUM(AL16:AL20)</f>
        <v>250000</v>
      </c>
      <c r="AM15" s="802">
        <f>AL15/AF15*100</f>
        <v>104.16666666666667</v>
      </c>
      <c r="AN15" s="551">
        <f>SUM(AN16:AN20)</f>
        <v>0</v>
      </c>
      <c r="AO15" s="551">
        <f>SUM(AO16:AO20)</f>
        <v>250000</v>
      </c>
      <c r="AP15" s="551">
        <f>SUM(AP16:AP20)</f>
        <v>250000</v>
      </c>
      <c r="AQ15" s="551">
        <f>SUM(AQ16:AQ20)</f>
        <v>0</v>
      </c>
    </row>
    <row r="16" spans="1:43" s="249" customFormat="1" ht="15.75" customHeight="1" x14ac:dyDescent="0.25">
      <c r="A16" s="250"/>
      <c r="B16" s="208" t="s">
        <v>411</v>
      </c>
      <c r="C16" s="542">
        <v>171000</v>
      </c>
      <c r="D16" s="586">
        <v>0</v>
      </c>
      <c r="E16" s="586">
        <f>C16-D16</f>
        <v>171000</v>
      </c>
      <c r="F16" s="586">
        <f>E16-G16</f>
        <v>171000</v>
      </c>
      <c r="G16" s="586">
        <v>0</v>
      </c>
      <c r="H16" s="542">
        <v>145997</v>
      </c>
      <c r="I16" s="803"/>
      <c r="J16" s="219"/>
      <c r="K16" s="219">
        <f>H16-J16</f>
        <v>145997</v>
      </c>
      <c r="L16" s="219">
        <f t="shared" ref="L16:L26" si="3">K16</f>
        <v>145997</v>
      </c>
      <c r="M16" s="219">
        <v>0</v>
      </c>
      <c r="N16" s="542">
        <v>161000</v>
      </c>
      <c r="O16" s="803"/>
      <c r="P16" s="542"/>
      <c r="Q16" s="542">
        <f>N16-P16</f>
        <v>161000</v>
      </c>
      <c r="R16" s="542">
        <f>Q16</f>
        <v>161000</v>
      </c>
      <c r="S16" s="542">
        <v>0</v>
      </c>
      <c r="T16" s="542">
        <v>170000</v>
      </c>
      <c r="U16" s="803"/>
      <c r="V16" s="542"/>
      <c r="W16" s="542">
        <f>T16-V16</f>
        <v>170000</v>
      </c>
      <c r="X16" s="542">
        <f>W16</f>
        <v>170000</v>
      </c>
      <c r="Y16" s="542">
        <v>0</v>
      </c>
      <c r="Z16" s="542">
        <v>177000</v>
      </c>
      <c r="AA16" s="803"/>
      <c r="AB16" s="542"/>
      <c r="AC16" s="542">
        <f>Z16-AB16</f>
        <v>177000</v>
      </c>
      <c r="AD16" s="542">
        <f>AC16</f>
        <v>177000</v>
      </c>
      <c r="AE16" s="542">
        <v>0</v>
      </c>
      <c r="AF16" s="542">
        <v>185000</v>
      </c>
      <c r="AG16" s="803"/>
      <c r="AH16" s="542"/>
      <c r="AI16" s="542">
        <f>AF16-AH16</f>
        <v>185000</v>
      </c>
      <c r="AJ16" s="542">
        <f>AI16</f>
        <v>185000</v>
      </c>
      <c r="AK16" s="542">
        <v>0</v>
      </c>
      <c r="AL16" s="542">
        <v>193000</v>
      </c>
      <c r="AM16" s="803"/>
      <c r="AN16" s="542"/>
      <c r="AO16" s="542">
        <f>AL16-AN16</f>
        <v>193000</v>
      </c>
      <c r="AP16" s="542">
        <f>AO16</f>
        <v>193000</v>
      </c>
      <c r="AQ16" s="542">
        <v>0</v>
      </c>
    </row>
    <row r="17" spans="1:43" s="249" customFormat="1" ht="15.75" customHeight="1" x14ac:dyDescent="0.25">
      <c r="A17" s="250"/>
      <c r="B17" s="208" t="s">
        <v>412</v>
      </c>
      <c r="C17" s="542">
        <v>24000</v>
      </c>
      <c r="D17" s="586">
        <v>0</v>
      </c>
      <c r="E17" s="586">
        <f>C17-D17</f>
        <v>24000</v>
      </c>
      <c r="F17" s="586">
        <f t="shared" ref="F17:F31" si="4">E17-G17</f>
        <v>24000</v>
      </c>
      <c r="G17" s="586">
        <v>0</v>
      </c>
      <c r="H17" s="542">
        <v>19000</v>
      </c>
      <c r="I17" s="803"/>
      <c r="J17" s="219"/>
      <c r="K17" s="219">
        <f t="shared" ref="K17:K26" si="5">H17-J17</f>
        <v>19000</v>
      </c>
      <c r="L17" s="219">
        <f t="shared" si="3"/>
        <v>19000</v>
      </c>
      <c r="M17" s="219">
        <v>0</v>
      </c>
      <c r="N17" s="542">
        <v>21000</v>
      </c>
      <c r="O17" s="803"/>
      <c r="P17" s="542"/>
      <c r="Q17" s="542">
        <f>N17-P17</f>
        <v>21000</v>
      </c>
      <c r="R17" s="542">
        <f>Q17</f>
        <v>21000</v>
      </c>
      <c r="S17" s="542">
        <v>0</v>
      </c>
      <c r="T17" s="542">
        <v>21000</v>
      </c>
      <c r="U17" s="803"/>
      <c r="V17" s="542"/>
      <c r="W17" s="542">
        <f>T17-V17</f>
        <v>21000</v>
      </c>
      <c r="X17" s="542">
        <f>W17</f>
        <v>21000</v>
      </c>
      <c r="Y17" s="542">
        <v>0</v>
      </c>
      <c r="Z17" s="542">
        <v>22000</v>
      </c>
      <c r="AA17" s="803"/>
      <c r="AB17" s="542"/>
      <c r="AC17" s="542">
        <f>Z17-AB17</f>
        <v>22000</v>
      </c>
      <c r="AD17" s="542">
        <f>AC17</f>
        <v>22000</v>
      </c>
      <c r="AE17" s="542">
        <v>0</v>
      </c>
      <c r="AF17" s="542">
        <v>23000</v>
      </c>
      <c r="AG17" s="803"/>
      <c r="AH17" s="542"/>
      <c r="AI17" s="542">
        <f>AF17-AH17</f>
        <v>23000</v>
      </c>
      <c r="AJ17" s="542">
        <f>AI17</f>
        <v>23000</v>
      </c>
      <c r="AK17" s="542">
        <v>0</v>
      </c>
      <c r="AL17" s="542">
        <v>24000</v>
      </c>
      <c r="AM17" s="803"/>
      <c r="AN17" s="542"/>
      <c r="AO17" s="542">
        <f>AL17-AN17</f>
        <v>24000</v>
      </c>
      <c r="AP17" s="542">
        <f>AO17</f>
        <v>24000</v>
      </c>
      <c r="AQ17" s="542">
        <v>0</v>
      </c>
    </row>
    <row r="18" spans="1:43" s="249" customFormat="1" ht="15.75" customHeight="1" x14ac:dyDescent="0.25">
      <c r="A18" s="250"/>
      <c r="B18" s="208" t="s">
        <v>413</v>
      </c>
      <c r="C18" s="542">
        <v>40000</v>
      </c>
      <c r="D18" s="586">
        <v>0</v>
      </c>
      <c r="E18" s="586">
        <f>C18-D18</f>
        <v>40000</v>
      </c>
      <c r="F18" s="586">
        <f t="shared" si="4"/>
        <v>40000</v>
      </c>
      <c r="G18" s="586">
        <v>0</v>
      </c>
      <c r="H18" s="542">
        <v>25000</v>
      </c>
      <c r="I18" s="803"/>
      <c r="J18" s="219"/>
      <c r="K18" s="219">
        <f t="shared" si="5"/>
        <v>25000</v>
      </c>
      <c r="L18" s="219">
        <f t="shared" si="3"/>
        <v>25000</v>
      </c>
      <c r="M18" s="219">
        <v>0</v>
      </c>
      <c r="N18" s="542">
        <v>28000</v>
      </c>
      <c r="O18" s="803"/>
      <c r="P18" s="542"/>
      <c r="Q18" s="542">
        <f>N18-P18</f>
        <v>28000</v>
      </c>
      <c r="R18" s="542">
        <f>Q18</f>
        <v>28000</v>
      </c>
      <c r="S18" s="542">
        <v>0</v>
      </c>
      <c r="T18" s="542">
        <v>29000</v>
      </c>
      <c r="U18" s="803"/>
      <c r="V18" s="542"/>
      <c r="W18" s="542">
        <f>T18-V18</f>
        <v>29000</v>
      </c>
      <c r="X18" s="542">
        <f>W18</f>
        <v>29000</v>
      </c>
      <c r="Y18" s="542">
        <v>0</v>
      </c>
      <c r="Z18" s="542">
        <v>31000</v>
      </c>
      <c r="AA18" s="803"/>
      <c r="AB18" s="542"/>
      <c r="AC18" s="542">
        <f>Z18-AB18</f>
        <v>31000</v>
      </c>
      <c r="AD18" s="542">
        <f>AC18</f>
        <v>31000</v>
      </c>
      <c r="AE18" s="542">
        <v>0</v>
      </c>
      <c r="AF18" s="542">
        <v>32000</v>
      </c>
      <c r="AG18" s="803"/>
      <c r="AH18" s="542"/>
      <c r="AI18" s="542">
        <f>AF18-AH18</f>
        <v>32000</v>
      </c>
      <c r="AJ18" s="542">
        <f>AI18</f>
        <v>32000</v>
      </c>
      <c r="AK18" s="542">
        <v>0</v>
      </c>
      <c r="AL18" s="542">
        <v>33000</v>
      </c>
      <c r="AM18" s="803"/>
      <c r="AN18" s="542"/>
      <c r="AO18" s="542">
        <f>AL18-AN18</f>
        <v>33000</v>
      </c>
      <c r="AP18" s="542">
        <f>AO18</f>
        <v>33000</v>
      </c>
      <c r="AQ18" s="542">
        <v>0</v>
      </c>
    </row>
    <row r="19" spans="1:43" s="249" customFormat="1" ht="15.75" customHeight="1" x14ac:dyDescent="0.25">
      <c r="A19" s="250"/>
      <c r="B19" s="208" t="s">
        <v>414</v>
      </c>
      <c r="C19" s="542">
        <v>0</v>
      </c>
      <c r="D19" s="586">
        <v>0</v>
      </c>
      <c r="E19" s="586">
        <f>C19-D19</f>
        <v>0</v>
      </c>
      <c r="F19" s="586">
        <f t="shared" si="4"/>
        <v>0</v>
      </c>
      <c r="G19" s="586">
        <v>0</v>
      </c>
      <c r="H19" s="542">
        <v>3</v>
      </c>
      <c r="I19" s="803"/>
      <c r="J19" s="219"/>
      <c r="K19" s="219">
        <f t="shared" si="5"/>
        <v>3</v>
      </c>
      <c r="L19" s="219">
        <f t="shared" si="3"/>
        <v>3</v>
      </c>
      <c r="M19" s="219">
        <v>0</v>
      </c>
      <c r="N19" s="542">
        <v>0</v>
      </c>
      <c r="O19" s="803"/>
      <c r="P19" s="542"/>
      <c r="Q19" s="542">
        <f>N19-P19</f>
        <v>0</v>
      </c>
      <c r="R19" s="542"/>
      <c r="S19" s="542">
        <v>0</v>
      </c>
      <c r="T19" s="542">
        <v>0</v>
      </c>
      <c r="U19" s="803"/>
      <c r="V19" s="542"/>
      <c r="W19" s="542">
        <f>T19-V19</f>
        <v>0</v>
      </c>
      <c r="X19" s="542">
        <f>W19</f>
        <v>0</v>
      </c>
      <c r="Y19" s="542">
        <v>0</v>
      </c>
      <c r="Z19" s="542">
        <v>0</v>
      </c>
      <c r="AA19" s="803"/>
      <c r="AB19" s="542"/>
      <c r="AC19" s="542">
        <f>Z19-AB19</f>
        <v>0</v>
      </c>
      <c r="AD19" s="542">
        <f>AC19</f>
        <v>0</v>
      </c>
      <c r="AE19" s="542">
        <v>0</v>
      </c>
      <c r="AF19" s="542">
        <v>0</v>
      </c>
      <c r="AG19" s="803"/>
      <c r="AH19" s="542"/>
      <c r="AI19" s="542">
        <f>AF19-AH19</f>
        <v>0</v>
      </c>
      <c r="AJ19" s="542">
        <f>AI19</f>
        <v>0</v>
      </c>
      <c r="AK19" s="542">
        <v>0</v>
      </c>
      <c r="AL19" s="542">
        <v>0</v>
      </c>
      <c r="AM19" s="803"/>
      <c r="AN19" s="542"/>
      <c r="AO19" s="542">
        <f>AL19-AN19</f>
        <v>0</v>
      </c>
      <c r="AP19" s="542">
        <f>AO19</f>
        <v>0</v>
      </c>
      <c r="AQ19" s="542">
        <v>0</v>
      </c>
    </row>
    <row r="20" spans="1:43" s="249" customFormat="1" ht="15.75" customHeight="1" x14ac:dyDescent="0.25">
      <c r="A20" s="250"/>
      <c r="B20" s="208" t="s">
        <v>1556</v>
      </c>
      <c r="C20" s="634">
        <v>0</v>
      </c>
      <c r="D20" s="586">
        <f>C20</f>
        <v>0</v>
      </c>
      <c r="E20" s="586">
        <f>C20-D20</f>
        <v>0</v>
      </c>
      <c r="F20" s="586">
        <f t="shared" si="4"/>
        <v>0</v>
      </c>
      <c r="G20" s="586">
        <v>0</v>
      </c>
      <c r="H20" s="542">
        <v>0</v>
      </c>
      <c r="I20" s="803"/>
      <c r="J20" s="219">
        <f>H20</f>
        <v>0</v>
      </c>
      <c r="K20" s="219">
        <f t="shared" si="5"/>
        <v>0</v>
      </c>
      <c r="L20" s="219">
        <f t="shared" si="3"/>
        <v>0</v>
      </c>
      <c r="M20" s="219">
        <v>0</v>
      </c>
      <c r="N20" s="542">
        <v>0</v>
      </c>
      <c r="O20" s="803"/>
      <c r="P20" s="542">
        <f>N20</f>
        <v>0</v>
      </c>
      <c r="Q20" s="542">
        <f>N20-P20</f>
        <v>0</v>
      </c>
      <c r="R20" s="542"/>
      <c r="S20" s="542"/>
      <c r="T20" s="542"/>
      <c r="U20" s="803"/>
      <c r="V20" s="542"/>
      <c r="W20" s="542"/>
      <c r="X20" s="542"/>
      <c r="Y20" s="542"/>
      <c r="Z20" s="542"/>
      <c r="AA20" s="803"/>
      <c r="AB20" s="542"/>
      <c r="AC20" s="542"/>
      <c r="AD20" s="542">
        <f>AC20</f>
        <v>0</v>
      </c>
      <c r="AE20" s="542">
        <v>0</v>
      </c>
      <c r="AF20" s="542"/>
      <c r="AG20" s="803"/>
      <c r="AH20" s="542"/>
      <c r="AI20" s="542"/>
      <c r="AJ20" s="542">
        <f>AI20</f>
        <v>0</v>
      </c>
      <c r="AK20" s="542">
        <v>0</v>
      </c>
      <c r="AL20" s="542"/>
      <c r="AM20" s="803"/>
      <c r="AN20" s="542"/>
      <c r="AO20" s="542"/>
      <c r="AP20" s="542">
        <f>AO20</f>
        <v>0</v>
      </c>
      <c r="AQ20" s="542">
        <v>0</v>
      </c>
    </row>
    <row r="21" spans="1:43" s="249" customFormat="1" x14ac:dyDescent="0.25">
      <c r="A21" s="148">
        <v>2</v>
      </c>
      <c r="B21" s="26" t="s">
        <v>535</v>
      </c>
      <c r="C21" s="282">
        <f t="shared" ref="C21:H21" si="6">SUM(C22:C26)</f>
        <v>515000</v>
      </c>
      <c r="D21" s="585">
        <f t="shared" si="6"/>
        <v>0</v>
      </c>
      <c r="E21" s="585">
        <f t="shared" si="6"/>
        <v>515000</v>
      </c>
      <c r="F21" s="585">
        <f t="shared" si="6"/>
        <v>515000</v>
      </c>
      <c r="G21" s="585">
        <f t="shared" si="6"/>
        <v>0</v>
      </c>
      <c r="H21" s="551">
        <f t="shared" si="6"/>
        <v>500000</v>
      </c>
      <c r="I21" s="802">
        <f>H21/C21*100</f>
        <v>97.087378640776706</v>
      </c>
      <c r="J21" s="222">
        <f>SUM(J22:J26)</f>
        <v>0</v>
      </c>
      <c r="K21" s="222">
        <f>SUM(K22:K26)</f>
        <v>500000</v>
      </c>
      <c r="L21" s="222">
        <f>SUM(L22:L26)</f>
        <v>500000</v>
      </c>
      <c r="M21" s="222">
        <f>SUM(M22:M26)</f>
        <v>0</v>
      </c>
      <c r="N21" s="551">
        <f>SUM(N22:N26)</f>
        <v>535000</v>
      </c>
      <c r="O21" s="802">
        <f>N21/H21*100</f>
        <v>107</v>
      </c>
      <c r="P21" s="551">
        <f>SUM(P22:P26)</f>
        <v>0</v>
      </c>
      <c r="Q21" s="551">
        <f>SUM(Q22:Q26)</f>
        <v>535000</v>
      </c>
      <c r="R21" s="551">
        <f>SUM(R22:R26)</f>
        <v>535000</v>
      </c>
      <c r="S21" s="551">
        <f>SUM(S22:S26)</f>
        <v>0</v>
      </c>
      <c r="T21" s="551">
        <f>SUM(T22:T26)</f>
        <v>573000</v>
      </c>
      <c r="U21" s="802">
        <f>T21/N21*100</f>
        <v>107.10280373831776</v>
      </c>
      <c r="V21" s="551">
        <f>SUM(V22:V26)</f>
        <v>0</v>
      </c>
      <c r="W21" s="551">
        <f>SUM(W22:W26)</f>
        <v>573000</v>
      </c>
      <c r="X21" s="551">
        <f>SUM(X22:X26)</f>
        <v>573000</v>
      </c>
      <c r="Y21" s="551">
        <f>SUM(Y22:Y26)</f>
        <v>0</v>
      </c>
      <c r="Z21" s="551">
        <f>SUM(Z22:Z26)</f>
        <v>620000</v>
      </c>
      <c r="AA21" s="802">
        <f>Z21/T21*100</f>
        <v>108.20244328097732</v>
      </c>
      <c r="AB21" s="551">
        <f>SUM(AB22:AB26)</f>
        <v>0</v>
      </c>
      <c r="AC21" s="551">
        <f>SUM(AC22:AC26)</f>
        <v>620000</v>
      </c>
      <c r="AD21" s="551">
        <f>SUM(AD22:AD26)</f>
        <v>620000</v>
      </c>
      <c r="AE21" s="551">
        <f>SUM(AE22:AE26)</f>
        <v>0</v>
      </c>
      <c r="AF21" s="551">
        <f>SUM(AF22:AF26)</f>
        <v>669000</v>
      </c>
      <c r="AG21" s="802">
        <f>AF21/Z21*100</f>
        <v>107.90322580645162</v>
      </c>
      <c r="AH21" s="551">
        <f>SUM(AH22:AH26)</f>
        <v>0</v>
      </c>
      <c r="AI21" s="551">
        <f>SUM(AI22:AI26)</f>
        <v>669000</v>
      </c>
      <c r="AJ21" s="551">
        <f>SUM(AJ22:AJ26)</f>
        <v>669000</v>
      </c>
      <c r="AK21" s="551">
        <f>SUM(AK22:AK26)</f>
        <v>0</v>
      </c>
      <c r="AL21" s="551">
        <f>SUM(AL22:AL26)</f>
        <v>723000</v>
      </c>
      <c r="AM21" s="802">
        <f>AL21/AF21*100</f>
        <v>108.07174887892377</v>
      </c>
      <c r="AN21" s="551">
        <f>SUM(AN22:AN26)</f>
        <v>0</v>
      </c>
      <c r="AO21" s="551">
        <f>SUM(AO22:AO26)</f>
        <v>723000</v>
      </c>
      <c r="AP21" s="551">
        <f>SUM(AP22:AP26)</f>
        <v>723000</v>
      </c>
      <c r="AQ21" s="551">
        <f>SUM(AQ22:AQ26)</f>
        <v>0</v>
      </c>
    </row>
    <row r="22" spans="1:43" s="249" customFormat="1" ht="15.75" customHeight="1" x14ac:dyDescent="0.25">
      <c r="A22" s="250"/>
      <c r="B22" s="208" t="s">
        <v>411</v>
      </c>
      <c r="C22" s="542">
        <v>320000</v>
      </c>
      <c r="D22" s="586">
        <v>0</v>
      </c>
      <c r="E22" s="586">
        <f>C22-D22</f>
        <v>320000</v>
      </c>
      <c r="F22" s="586">
        <f t="shared" si="4"/>
        <v>320000</v>
      </c>
      <c r="G22" s="586">
        <v>0</v>
      </c>
      <c r="H22" s="542">
        <v>337000</v>
      </c>
      <c r="I22" s="803"/>
      <c r="J22" s="219"/>
      <c r="K22" s="219">
        <f t="shared" si="5"/>
        <v>337000</v>
      </c>
      <c r="L22" s="219">
        <f t="shared" si="3"/>
        <v>337000</v>
      </c>
      <c r="M22" s="219">
        <v>0</v>
      </c>
      <c r="N22" s="542">
        <v>358000</v>
      </c>
      <c r="O22" s="803"/>
      <c r="P22" s="542"/>
      <c r="Q22" s="542">
        <f>N22-P22</f>
        <v>358000</v>
      </c>
      <c r="R22" s="542">
        <f>Q22</f>
        <v>358000</v>
      </c>
      <c r="S22" s="542">
        <v>0</v>
      </c>
      <c r="T22" s="542">
        <v>372000</v>
      </c>
      <c r="U22" s="803"/>
      <c r="V22" s="542"/>
      <c r="W22" s="542">
        <f>T22-V22</f>
        <v>372000</v>
      </c>
      <c r="X22" s="542">
        <f>W22</f>
        <v>372000</v>
      </c>
      <c r="Y22" s="542">
        <v>0</v>
      </c>
      <c r="Z22" s="542">
        <v>403000</v>
      </c>
      <c r="AA22" s="803"/>
      <c r="AB22" s="542"/>
      <c r="AC22" s="542">
        <f>Z22-AB22</f>
        <v>403000</v>
      </c>
      <c r="AD22" s="542">
        <f>AC22</f>
        <v>403000</v>
      </c>
      <c r="AE22" s="542">
        <v>0</v>
      </c>
      <c r="AF22" s="542">
        <f>ROUND(Z22*1.08,-3)</f>
        <v>435000</v>
      </c>
      <c r="AG22" s="803"/>
      <c r="AH22" s="542"/>
      <c r="AI22" s="542">
        <f>AF22-AH22</f>
        <v>435000</v>
      </c>
      <c r="AJ22" s="542">
        <f>AI22</f>
        <v>435000</v>
      </c>
      <c r="AK22" s="542">
        <v>0</v>
      </c>
      <c r="AL22" s="542">
        <f>ROUND(AF22*1.08,-3)</f>
        <v>470000</v>
      </c>
      <c r="AM22" s="803"/>
      <c r="AN22" s="542"/>
      <c r="AO22" s="542">
        <f>AL22-AN22</f>
        <v>470000</v>
      </c>
      <c r="AP22" s="542">
        <f>AO22</f>
        <v>470000</v>
      </c>
      <c r="AQ22" s="542">
        <v>0</v>
      </c>
    </row>
    <row r="23" spans="1:43" s="249" customFormat="1" ht="15.75" customHeight="1" x14ac:dyDescent="0.25">
      <c r="A23" s="250"/>
      <c r="B23" s="208" t="s">
        <v>412</v>
      </c>
      <c r="C23" s="542">
        <v>105000</v>
      </c>
      <c r="D23" s="586">
        <v>0</v>
      </c>
      <c r="E23" s="586">
        <f>C23-D23</f>
        <v>105000</v>
      </c>
      <c r="F23" s="586">
        <f t="shared" si="4"/>
        <v>105000</v>
      </c>
      <c r="G23" s="586">
        <v>0</v>
      </c>
      <c r="H23" s="542">
        <v>86000</v>
      </c>
      <c r="I23" s="803"/>
      <c r="J23" s="219"/>
      <c r="K23" s="219">
        <f t="shared" si="5"/>
        <v>86000</v>
      </c>
      <c r="L23" s="219">
        <f t="shared" si="3"/>
        <v>86000</v>
      </c>
      <c r="M23" s="219">
        <v>0</v>
      </c>
      <c r="N23" s="542">
        <v>93000</v>
      </c>
      <c r="O23" s="803"/>
      <c r="P23" s="542"/>
      <c r="Q23" s="542">
        <f>N23-P23</f>
        <v>93000</v>
      </c>
      <c r="R23" s="542">
        <f>Q23</f>
        <v>93000</v>
      </c>
      <c r="S23" s="542">
        <v>0</v>
      </c>
      <c r="T23" s="542">
        <v>108000</v>
      </c>
      <c r="U23" s="803"/>
      <c r="V23" s="542"/>
      <c r="W23" s="542">
        <f>T23-V23</f>
        <v>108000</v>
      </c>
      <c r="X23" s="542">
        <f>W23</f>
        <v>108000</v>
      </c>
      <c r="Y23" s="542">
        <v>0</v>
      </c>
      <c r="Z23" s="542">
        <v>117000</v>
      </c>
      <c r="AA23" s="803"/>
      <c r="AB23" s="542"/>
      <c r="AC23" s="542">
        <f>Z23-AB23</f>
        <v>117000</v>
      </c>
      <c r="AD23" s="542">
        <f>AC23</f>
        <v>117000</v>
      </c>
      <c r="AE23" s="542">
        <v>0</v>
      </c>
      <c r="AF23" s="542">
        <f>ROUND(Z23*1.08,-3)</f>
        <v>126000</v>
      </c>
      <c r="AG23" s="803"/>
      <c r="AH23" s="542"/>
      <c r="AI23" s="542">
        <f>AF23-AH23</f>
        <v>126000</v>
      </c>
      <c r="AJ23" s="542">
        <f>AI23</f>
        <v>126000</v>
      </c>
      <c r="AK23" s="542">
        <v>0</v>
      </c>
      <c r="AL23" s="542">
        <f>ROUND(AF23*1.08,-3)</f>
        <v>136000</v>
      </c>
      <c r="AM23" s="803"/>
      <c r="AN23" s="542"/>
      <c r="AO23" s="542">
        <f>AL23-AN23</f>
        <v>136000</v>
      </c>
      <c r="AP23" s="542">
        <f>AO23</f>
        <v>136000</v>
      </c>
      <c r="AQ23" s="542">
        <v>0</v>
      </c>
    </row>
    <row r="24" spans="1:43" s="249" customFormat="1" ht="15.75" customHeight="1" x14ac:dyDescent="0.25">
      <c r="A24" s="250"/>
      <c r="B24" s="208" t="s">
        <v>413</v>
      </c>
      <c r="C24" s="542">
        <v>0</v>
      </c>
      <c r="D24" s="586">
        <v>0</v>
      </c>
      <c r="E24" s="586">
        <f>C24-D24</f>
        <v>0</v>
      </c>
      <c r="F24" s="586">
        <f t="shared" si="4"/>
        <v>0</v>
      </c>
      <c r="G24" s="586">
        <v>0</v>
      </c>
      <c r="H24" s="542">
        <v>0</v>
      </c>
      <c r="I24" s="803"/>
      <c r="J24" s="219"/>
      <c r="K24" s="219">
        <f t="shared" si="5"/>
        <v>0</v>
      </c>
      <c r="L24" s="219">
        <f t="shared" si="3"/>
        <v>0</v>
      </c>
      <c r="M24" s="219">
        <v>0</v>
      </c>
      <c r="N24" s="542">
        <v>0</v>
      </c>
      <c r="O24" s="803"/>
      <c r="P24" s="542"/>
      <c r="Q24" s="542">
        <f>N24-P24</f>
        <v>0</v>
      </c>
      <c r="R24" s="542">
        <f>Q24</f>
        <v>0</v>
      </c>
      <c r="S24" s="542">
        <v>0</v>
      </c>
      <c r="T24" s="542">
        <f>ROUND(N24*1.11,-3)</f>
        <v>0</v>
      </c>
      <c r="U24" s="803"/>
      <c r="V24" s="542"/>
      <c r="W24" s="542">
        <f>T24-V24</f>
        <v>0</v>
      </c>
      <c r="X24" s="542">
        <f>W24</f>
        <v>0</v>
      </c>
      <c r="Y24" s="542">
        <v>0</v>
      </c>
      <c r="Z24" s="542">
        <f>ROUND(T24*1.11,-3)</f>
        <v>0</v>
      </c>
      <c r="AA24" s="803"/>
      <c r="AB24" s="542"/>
      <c r="AC24" s="542">
        <f>Z24-AB24</f>
        <v>0</v>
      </c>
      <c r="AD24" s="542">
        <f>AC24</f>
        <v>0</v>
      </c>
      <c r="AE24" s="542">
        <v>0</v>
      </c>
      <c r="AF24" s="542">
        <f>ROUND(Z24*1.08,-3)</f>
        <v>0</v>
      </c>
      <c r="AG24" s="803"/>
      <c r="AH24" s="542"/>
      <c r="AI24" s="542">
        <f>AF24-AH24</f>
        <v>0</v>
      </c>
      <c r="AJ24" s="542">
        <f>AI24</f>
        <v>0</v>
      </c>
      <c r="AK24" s="542">
        <v>0</v>
      </c>
      <c r="AL24" s="542">
        <f>ROUND(AF24*1.08,-3)</f>
        <v>0</v>
      </c>
      <c r="AM24" s="803"/>
      <c r="AN24" s="542"/>
      <c r="AO24" s="542">
        <f>AL24-AN24</f>
        <v>0</v>
      </c>
      <c r="AP24" s="542">
        <f>AO24</f>
        <v>0</v>
      </c>
      <c r="AQ24" s="542">
        <v>0</v>
      </c>
    </row>
    <row r="25" spans="1:43" s="249" customFormat="1" ht="15.75" customHeight="1" x14ac:dyDescent="0.25">
      <c r="A25" s="250"/>
      <c r="B25" s="208" t="s">
        <v>414</v>
      </c>
      <c r="C25" s="542">
        <v>90000</v>
      </c>
      <c r="D25" s="586">
        <v>0</v>
      </c>
      <c r="E25" s="586">
        <f>C25-D25</f>
        <v>90000</v>
      </c>
      <c r="F25" s="586">
        <f t="shared" si="4"/>
        <v>90000</v>
      </c>
      <c r="G25" s="586">
        <v>0</v>
      </c>
      <c r="H25" s="542">
        <v>77000</v>
      </c>
      <c r="I25" s="803"/>
      <c r="J25" s="219"/>
      <c r="K25" s="219">
        <f t="shared" si="5"/>
        <v>77000</v>
      </c>
      <c r="L25" s="219">
        <f t="shared" si="3"/>
        <v>77000</v>
      </c>
      <c r="M25" s="219">
        <v>0</v>
      </c>
      <c r="N25" s="542">
        <v>84000</v>
      </c>
      <c r="O25" s="803"/>
      <c r="P25" s="542"/>
      <c r="Q25" s="542">
        <f>N25-P25</f>
        <v>84000</v>
      </c>
      <c r="R25" s="542">
        <f>Q25</f>
        <v>84000</v>
      </c>
      <c r="S25" s="542">
        <v>0</v>
      </c>
      <c r="T25" s="542">
        <v>93000</v>
      </c>
      <c r="U25" s="803"/>
      <c r="V25" s="542"/>
      <c r="W25" s="542">
        <f>T25-V25</f>
        <v>93000</v>
      </c>
      <c r="X25" s="542">
        <f>W25</f>
        <v>93000</v>
      </c>
      <c r="Y25" s="542">
        <v>0</v>
      </c>
      <c r="Z25" s="542">
        <v>100000</v>
      </c>
      <c r="AA25" s="803"/>
      <c r="AB25" s="542"/>
      <c r="AC25" s="542">
        <f>Z25-AB25</f>
        <v>100000</v>
      </c>
      <c r="AD25" s="542">
        <f>AC25</f>
        <v>100000</v>
      </c>
      <c r="AE25" s="542">
        <v>0</v>
      </c>
      <c r="AF25" s="542">
        <f>ROUND(Z25*1.08,-3)</f>
        <v>108000</v>
      </c>
      <c r="AG25" s="803"/>
      <c r="AH25" s="542"/>
      <c r="AI25" s="542">
        <f>AF25-AH25</f>
        <v>108000</v>
      </c>
      <c r="AJ25" s="542">
        <f>AI25</f>
        <v>108000</v>
      </c>
      <c r="AK25" s="542">
        <v>0</v>
      </c>
      <c r="AL25" s="542">
        <f>ROUND(AF25*1.08,-3)</f>
        <v>117000</v>
      </c>
      <c r="AM25" s="803"/>
      <c r="AN25" s="542"/>
      <c r="AO25" s="542">
        <f>AL25-AN25</f>
        <v>117000</v>
      </c>
      <c r="AP25" s="542">
        <f>AO25</f>
        <v>117000</v>
      </c>
      <c r="AQ25" s="542">
        <v>0</v>
      </c>
    </row>
    <row r="26" spans="1:43" s="249" customFormat="1" ht="15.75" customHeight="1" x14ac:dyDescent="0.25">
      <c r="A26" s="250"/>
      <c r="B26" s="208" t="s">
        <v>1556</v>
      </c>
      <c r="C26" s="634">
        <v>0</v>
      </c>
      <c r="D26" s="586">
        <v>0</v>
      </c>
      <c r="E26" s="586">
        <f>C26-D26</f>
        <v>0</v>
      </c>
      <c r="F26" s="586">
        <f t="shared" si="4"/>
        <v>0</v>
      </c>
      <c r="G26" s="586">
        <v>0</v>
      </c>
      <c r="H26" s="542">
        <v>0</v>
      </c>
      <c r="I26" s="803"/>
      <c r="J26" s="219"/>
      <c r="K26" s="219">
        <f t="shared" si="5"/>
        <v>0</v>
      </c>
      <c r="L26" s="219">
        <f t="shared" si="3"/>
        <v>0</v>
      </c>
      <c r="M26" s="219">
        <v>0</v>
      </c>
      <c r="N26" s="542">
        <v>0</v>
      </c>
      <c r="O26" s="803"/>
      <c r="P26" s="542"/>
      <c r="Q26" s="542">
        <f>N26-P26</f>
        <v>0</v>
      </c>
      <c r="R26" s="542">
        <f>Q26</f>
        <v>0</v>
      </c>
      <c r="S26" s="542">
        <v>0</v>
      </c>
      <c r="T26" s="542"/>
      <c r="U26" s="803"/>
      <c r="V26" s="542"/>
      <c r="W26" s="542">
        <f>T26-V26</f>
        <v>0</v>
      </c>
      <c r="X26" s="542">
        <f>W26</f>
        <v>0</v>
      </c>
      <c r="Y26" s="542">
        <v>0</v>
      </c>
      <c r="Z26" s="542"/>
      <c r="AA26" s="803"/>
      <c r="AB26" s="542"/>
      <c r="AC26" s="542">
        <f>Z26-AB26</f>
        <v>0</v>
      </c>
      <c r="AD26" s="542">
        <f>AC26</f>
        <v>0</v>
      </c>
      <c r="AE26" s="542">
        <v>0</v>
      </c>
      <c r="AF26" s="542"/>
      <c r="AG26" s="803"/>
      <c r="AH26" s="542"/>
      <c r="AI26" s="542">
        <f>AF26-AH26</f>
        <v>0</v>
      </c>
      <c r="AJ26" s="542">
        <f>AI26</f>
        <v>0</v>
      </c>
      <c r="AK26" s="542">
        <v>0</v>
      </c>
      <c r="AL26" s="542"/>
      <c r="AM26" s="803"/>
      <c r="AN26" s="542"/>
      <c r="AO26" s="542">
        <f>AL26-AN26</f>
        <v>0</v>
      </c>
      <c r="AP26" s="542">
        <f>AO26</f>
        <v>0</v>
      </c>
      <c r="AQ26" s="542">
        <v>0</v>
      </c>
    </row>
    <row r="27" spans="1:43" s="249" customFormat="1" ht="16.5" customHeight="1" x14ac:dyDescent="0.25">
      <c r="A27" s="148">
        <v>3</v>
      </c>
      <c r="B27" s="26" t="s">
        <v>467</v>
      </c>
      <c r="C27" s="282">
        <f t="shared" ref="C27:H27" si="7">SUM(C28:C31)</f>
        <v>60000</v>
      </c>
      <c r="D27" s="585">
        <f t="shared" si="7"/>
        <v>0</v>
      </c>
      <c r="E27" s="585">
        <f t="shared" si="7"/>
        <v>60000</v>
      </c>
      <c r="F27" s="585">
        <f t="shared" si="7"/>
        <v>60000</v>
      </c>
      <c r="G27" s="585">
        <f t="shared" si="7"/>
        <v>0</v>
      </c>
      <c r="H27" s="551">
        <f t="shared" si="7"/>
        <v>70000</v>
      </c>
      <c r="I27" s="802">
        <f>H27/C27*100</f>
        <v>116.66666666666667</v>
      </c>
      <c r="J27" s="222">
        <f>SUM(J28:J31)</f>
        <v>0</v>
      </c>
      <c r="K27" s="222">
        <f>SUM(K28:K31)</f>
        <v>70000</v>
      </c>
      <c r="L27" s="222">
        <f>SUM(L28:L31)</f>
        <v>70000</v>
      </c>
      <c r="M27" s="222">
        <f>SUM(M28:M31)</f>
        <v>0</v>
      </c>
      <c r="N27" s="551">
        <f>SUM(N28:N31)</f>
        <v>70000</v>
      </c>
      <c r="O27" s="802">
        <f>N27/H27*100</f>
        <v>100</v>
      </c>
      <c r="P27" s="551">
        <f>SUM(P28:P31)</f>
        <v>0</v>
      </c>
      <c r="Q27" s="551">
        <f>SUM(Q28:Q31)</f>
        <v>70000</v>
      </c>
      <c r="R27" s="551">
        <f>SUM(R28:R31)</f>
        <v>70000</v>
      </c>
      <c r="S27" s="551">
        <f>SUM(S28:S31)</f>
        <v>0</v>
      </c>
      <c r="T27" s="551">
        <f>SUM(T28:T31)</f>
        <v>75000</v>
      </c>
      <c r="U27" s="802">
        <f>T27/N27*100</f>
        <v>107.14285714285714</v>
      </c>
      <c r="V27" s="551">
        <f>SUM(V28:V31)</f>
        <v>0</v>
      </c>
      <c r="W27" s="551">
        <f>SUM(W28:W31)</f>
        <v>75000</v>
      </c>
      <c r="X27" s="551">
        <f>SUM(X28:X31)</f>
        <v>75000</v>
      </c>
      <c r="Y27" s="551">
        <f>SUM(Y28:Y31)</f>
        <v>0</v>
      </c>
      <c r="Z27" s="551">
        <f>SUM(Z28:Z31)</f>
        <v>80000</v>
      </c>
      <c r="AA27" s="802">
        <f>Z27/T27*100</f>
        <v>106.66666666666667</v>
      </c>
      <c r="AB27" s="551">
        <f>SUM(AB28:AB31)</f>
        <v>0</v>
      </c>
      <c r="AC27" s="551">
        <f>SUM(AC28:AC31)</f>
        <v>80000</v>
      </c>
      <c r="AD27" s="551">
        <f>SUM(AD28:AD31)</f>
        <v>80000</v>
      </c>
      <c r="AE27" s="551">
        <f>SUM(AE28:AE31)</f>
        <v>0</v>
      </c>
      <c r="AF27" s="551">
        <f>SUM(AF28:AF31)</f>
        <v>85000</v>
      </c>
      <c r="AG27" s="802">
        <f>AF27/Z27*100</f>
        <v>106.25</v>
      </c>
      <c r="AH27" s="551">
        <f>SUM(AH28:AH31)</f>
        <v>0</v>
      </c>
      <c r="AI27" s="551">
        <f>SUM(AI28:AI31)</f>
        <v>85000</v>
      </c>
      <c r="AJ27" s="551">
        <f>SUM(AJ28:AJ31)</f>
        <v>85000</v>
      </c>
      <c r="AK27" s="551">
        <f>SUM(AK28:AK31)</f>
        <v>0</v>
      </c>
      <c r="AL27" s="551">
        <f>SUM(AL28:AL31)</f>
        <v>90000</v>
      </c>
      <c r="AM27" s="802">
        <f>AL27/AF27*100</f>
        <v>105.88235294117648</v>
      </c>
      <c r="AN27" s="551">
        <f>SUM(AN28:AN31)</f>
        <v>0</v>
      </c>
      <c r="AO27" s="551">
        <f>SUM(AO28:AO31)</f>
        <v>90000</v>
      </c>
      <c r="AP27" s="551">
        <f>SUM(AP28:AP31)</f>
        <v>90000</v>
      </c>
      <c r="AQ27" s="551">
        <f>SUM(AQ28:AQ31)</f>
        <v>0</v>
      </c>
    </row>
    <row r="28" spans="1:43" s="249" customFormat="1" ht="15.75" customHeight="1" x14ac:dyDescent="0.25">
      <c r="A28" s="250"/>
      <c r="B28" s="208" t="s">
        <v>411</v>
      </c>
      <c r="C28" s="542">
        <v>25000</v>
      </c>
      <c r="D28" s="586">
        <v>0</v>
      </c>
      <c r="E28" s="586">
        <f>C28-D28</f>
        <v>25000</v>
      </c>
      <c r="F28" s="586">
        <f t="shared" si="4"/>
        <v>25000</v>
      </c>
      <c r="G28" s="586">
        <v>0</v>
      </c>
      <c r="H28" s="542">
        <v>13000</v>
      </c>
      <c r="I28" s="803"/>
      <c r="J28" s="219">
        <f>0</f>
        <v>0</v>
      </c>
      <c r="K28" s="219">
        <f>H28-J28</f>
        <v>13000</v>
      </c>
      <c r="L28" s="219">
        <f>K28-M28</f>
        <v>13000</v>
      </c>
      <c r="M28" s="219">
        <v>0</v>
      </c>
      <c r="N28" s="542">
        <v>14900</v>
      </c>
      <c r="O28" s="803"/>
      <c r="P28" s="542"/>
      <c r="Q28" s="542">
        <f>N28-P28</f>
        <v>14900</v>
      </c>
      <c r="R28" s="542">
        <f>Q28-S28</f>
        <v>14900</v>
      </c>
      <c r="S28" s="542">
        <v>0</v>
      </c>
      <c r="T28" s="542">
        <v>15900</v>
      </c>
      <c r="U28" s="803"/>
      <c r="V28" s="542"/>
      <c r="W28" s="542">
        <f>T28-V28</f>
        <v>15900</v>
      </c>
      <c r="X28" s="542">
        <f>W28-Y28</f>
        <v>15900</v>
      </c>
      <c r="Y28" s="542">
        <v>0</v>
      </c>
      <c r="Z28" s="542">
        <v>16900</v>
      </c>
      <c r="AA28" s="803"/>
      <c r="AB28" s="542"/>
      <c r="AC28" s="542">
        <f>Z28-AB28</f>
        <v>16900</v>
      </c>
      <c r="AD28" s="542">
        <f>AC28-AE28</f>
        <v>16900</v>
      </c>
      <c r="AE28" s="542">
        <v>0</v>
      </c>
      <c r="AF28" s="542">
        <v>17900</v>
      </c>
      <c r="AG28" s="803"/>
      <c r="AH28" s="542"/>
      <c r="AI28" s="542">
        <f>AF28-AH28</f>
        <v>17900</v>
      </c>
      <c r="AJ28" s="542">
        <f>AI28-AK28</f>
        <v>17900</v>
      </c>
      <c r="AK28" s="542">
        <v>0</v>
      </c>
      <c r="AL28" s="542">
        <v>17900</v>
      </c>
      <c r="AM28" s="803"/>
      <c r="AN28" s="542"/>
      <c r="AO28" s="542">
        <f>AL28-AN28</f>
        <v>17900</v>
      </c>
      <c r="AP28" s="542">
        <f>AO28-AQ28</f>
        <v>17900</v>
      </c>
      <c r="AQ28" s="542">
        <v>0</v>
      </c>
    </row>
    <row r="29" spans="1:43" s="249" customFormat="1" ht="15.75" customHeight="1" x14ac:dyDescent="0.25">
      <c r="A29" s="250"/>
      <c r="B29" s="208" t="s">
        <v>412</v>
      </c>
      <c r="C29" s="542">
        <v>34900</v>
      </c>
      <c r="D29" s="586">
        <v>0</v>
      </c>
      <c r="E29" s="586">
        <f>C29-D29</f>
        <v>34900</v>
      </c>
      <c r="F29" s="586">
        <f t="shared" si="4"/>
        <v>34900</v>
      </c>
      <c r="G29" s="586">
        <v>0</v>
      </c>
      <c r="H29" s="542">
        <v>56900</v>
      </c>
      <c r="I29" s="803"/>
      <c r="J29" s="219">
        <f>0</f>
        <v>0</v>
      </c>
      <c r="K29" s="219">
        <f>H29-J29</f>
        <v>56900</v>
      </c>
      <c r="L29" s="219">
        <f>K29-M29</f>
        <v>56900</v>
      </c>
      <c r="M29" s="219">
        <v>0</v>
      </c>
      <c r="N29" s="542">
        <v>55000</v>
      </c>
      <c r="O29" s="803"/>
      <c r="P29" s="542"/>
      <c r="Q29" s="542">
        <f>N29-P29</f>
        <v>55000</v>
      </c>
      <c r="R29" s="542">
        <f>Q29-S29</f>
        <v>55000</v>
      </c>
      <c r="S29" s="542">
        <v>0</v>
      </c>
      <c r="T29" s="542">
        <v>59000</v>
      </c>
      <c r="U29" s="803"/>
      <c r="V29" s="542"/>
      <c r="W29" s="542">
        <f>T29-V29</f>
        <v>59000</v>
      </c>
      <c r="X29" s="542">
        <f>W29-Y29</f>
        <v>59000</v>
      </c>
      <c r="Y29" s="542">
        <v>0</v>
      </c>
      <c r="Z29" s="542">
        <v>63000</v>
      </c>
      <c r="AA29" s="803"/>
      <c r="AB29" s="542"/>
      <c r="AC29" s="542">
        <f>Z29-AB29</f>
        <v>63000</v>
      </c>
      <c r="AD29" s="542">
        <f>AC29-AE29</f>
        <v>63000</v>
      </c>
      <c r="AE29" s="542">
        <v>0</v>
      </c>
      <c r="AF29" s="542">
        <v>67000</v>
      </c>
      <c r="AG29" s="803"/>
      <c r="AH29" s="542"/>
      <c r="AI29" s="542">
        <f>AF29-AH29</f>
        <v>67000</v>
      </c>
      <c r="AJ29" s="542">
        <f>AI29-AK29</f>
        <v>67000</v>
      </c>
      <c r="AK29" s="542">
        <v>0</v>
      </c>
      <c r="AL29" s="542">
        <v>72000</v>
      </c>
      <c r="AM29" s="803"/>
      <c r="AN29" s="542"/>
      <c r="AO29" s="542">
        <f>AL29-AN29</f>
        <v>72000</v>
      </c>
      <c r="AP29" s="542">
        <f>AO29-AQ29</f>
        <v>72000</v>
      </c>
      <c r="AQ29" s="542">
        <v>0</v>
      </c>
    </row>
    <row r="30" spans="1:43" s="249" customFormat="1" ht="15.75" customHeight="1" x14ac:dyDescent="0.25">
      <c r="A30" s="250"/>
      <c r="B30" s="208" t="s">
        <v>414</v>
      </c>
      <c r="C30" s="542">
        <v>100</v>
      </c>
      <c r="D30" s="586"/>
      <c r="E30" s="586">
        <f>C30-D30</f>
        <v>100</v>
      </c>
      <c r="F30" s="586">
        <f>C30</f>
        <v>100</v>
      </c>
      <c r="G30" s="586">
        <v>0</v>
      </c>
      <c r="H30" s="542">
        <v>100</v>
      </c>
      <c r="I30" s="803"/>
      <c r="J30" s="219">
        <v>0</v>
      </c>
      <c r="K30" s="219">
        <f>H30-J30</f>
        <v>100</v>
      </c>
      <c r="L30" s="219">
        <f>K30-M30</f>
        <v>100</v>
      </c>
      <c r="M30" s="219">
        <v>0</v>
      </c>
      <c r="N30" s="542">
        <v>100</v>
      </c>
      <c r="O30" s="803"/>
      <c r="P30" s="542"/>
      <c r="Q30" s="542">
        <f>N30-P30</f>
        <v>100</v>
      </c>
      <c r="R30" s="542">
        <f>Q30-S30</f>
        <v>100</v>
      </c>
      <c r="S30" s="542">
        <v>0</v>
      </c>
      <c r="T30" s="542">
        <v>100</v>
      </c>
      <c r="U30" s="803"/>
      <c r="V30" s="542"/>
      <c r="W30" s="542">
        <f>T30-V30</f>
        <v>100</v>
      </c>
      <c r="X30" s="542">
        <f>W30-Y30</f>
        <v>100</v>
      </c>
      <c r="Y30" s="542">
        <v>0</v>
      </c>
      <c r="Z30" s="542">
        <v>100</v>
      </c>
      <c r="AA30" s="803"/>
      <c r="AB30" s="542"/>
      <c r="AC30" s="542">
        <f>Z30-AB30</f>
        <v>100</v>
      </c>
      <c r="AD30" s="542">
        <f>AC30-AE30</f>
        <v>100</v>
      </c>
      <c r="AE30" s="542">
        <v>0</v>
      </c>
      <c r="AF30" s="542">
        <v>100</v>
      </c>
      <c r="AG30" s="803"/>
      <c r="AH30" s="542"/>
      <c r="AI30" s="542">
        <f>AF30-AH30</f>
        <v>100</v>
      </c>
      <c r="AJ30" s="542">
        <f>AI30-AK30</f>
        <v>100</v>
      </c>
      <c r="AK30" s="542">
        <v>0</v>
      </c>
      <c r="AL30" s="542">
        <v>100</v>
      </c>
      <c r="AM30" s="803"/>
      <c r="AN30" s="542"/>
      <c r="AO30" s="542">
        <f>AL30-AN30</f>
        <v>100</v>
      </c>
      <c r="AP30" s="542">
        <f>AO30-AQ30</f>
        <v>100</v>
      </c>
      <c r="AQ30" s="542">
        <v>0</v>
      </c>
    </row>
    <row r="31" spans="1:43" s="249" customFormat="1" ht="15.75" customHeight="1" x14ac:dyDescent="0.25">
      <c r="A31" s="250"/>
      <c r="B31" s="208" t="s">
        <v>531</v>
      </c>
      <c r="C31" s="634">
        <v>0</v>
      </c>
      <c r="D31" s="586">
        <v>0</v>
      </c>
      <c r="E31" s="586">
        <f>C31-D31</f>
        <v>0</v>
      </c>
      <c r="F31" s="586">
        <f t="shared" si="4"/>
        <v>0</v>
      </c>
      <c r="G31" s="586">
        <v>0</v>
      </c>
      <c r="H31" s="542">
        <v>0</v>
      </c>
      <c r="I31" s="803"/>
      <c r="J31" s="219">
        <v>0</v>
      </c>
      <c r="K31" s="219">
        <f>H31-J31</f>
        <v>0</v>
      </c>
      <c r="L31" s="219">
        <f>K31-M31</f>
        <v>0</v>
      </c>
      <c r="M31" s="219">
        <v>0</v>
      </c>
      <c r="N31" s="542"/>
      <c r="O31" s="803"/>
      <c r="P31" s="542">
        <v>0</v>
      </c>
      <c r="Q31" s="542">
        <f>N31-P31</f>
        <v>0</v>
      </c>
      <c r="R31" s="542">
        <f>Q31-S31</f>
        <v>0</v>
      </c>
      <c r="S31" s="542">
        <v>0</v>
      </c>
      <c r="T31" s="542">
        <f>ROUND(N31*1.1,-3)</f>
        <v>0</v>
      </c>
      <c r="U31" s="803"/>
      <c r="V31" s="542">
        <v>0</v>
      </c>
      <c r="W31" s="542">
        <f>T31-V31</f>
        <v>0</v>
      </c>
      <c r="X31" s="542">
        <f>W31-Y31</f>
        <v>0</v>
      </c>
      <c r="Y31" s="542">
        <v>0</v>
      </c>
      <c r="Z31" s="542">
        <f>ROUND(T31*1.1,-3)</f>
        <v>0</v>
      </c>
      <c r="AA31" s="803"/>
      <c r="AB31" s="542">
        <v>0</v>
      </c>
      <c r="AC31" s="542">
        <f>Z31-AB31</f>
        <v>0</v>
      </c>
      <c r="AD31" s="542">
        <f>AC31-AE31</f>
        <v>0</v>
      </c>
      <c r="AE31" s="542">
        <v>0</v>
      </c>
      <c r="AF31" s="542">
        <f>ROUND(Z31*1.1,-3)</f>
        <v>0</v>
      </c>
      <c r="AG31" s="803"/>
      <c r="AH31" s="542">
        <v>0</v>
      </c>
      <c r="AI31" s="542">
        <f>AF31-AH31</f>
        <v>0</v>
      </c>
      <c r="AJ31" s="542">
        <f>AI31-AK31</f>
        <v>0</v>
      </c>
      <c r="AK31" s="542">
        <v>0</v>
      </c>
      <c r="AL31" s="542">
        <f>ROUND(AF31*1.1,-3)</f>
        <v>0</v>
      </c>
      <c r="AM31" s="803"/>
      <c r="AN31" s="542">
        <v>0</v>
      </c>
      <c r="AO31" s="542">
        <f>AL31-AN31</f>
        <v>0</v>
      </c>
      <c r="AP31" s="542">
        <f>AO31-AQ31</f>
        <v>0</v>
      </c>
      <c r="AQ31" s="542">
        <v>0</v>
      </c>
    </row>
    <row r="32" spans="1:43" s="9" customFormat="1" x14ac:dyDescent="0.25">
      <c r="A32" s="148">
        <v>4</v>
      </c>
      <c r="B32" s="26" t="s">
        <v>536</v>
      </c>
      <c r="C32" s="282">
        <f t="shared" ref="C32:H32" si="8">SUM(C33:C37)</f>
        <v>1410000</v>
      </c>
      <c r="D32" s="585">
        <f t="shared" si="8"/>
        <v>0</v>
      </c>
      <c r="E32" s="585">
        <f t="shared" si="8"/>
        <v>1410000</v>
      </c>
      <c r="F32" s="585">
        <f t="shared" si="8"/>
        <v>87265</v>
      </c>
      <c r="G32" s="585">
        <f t="shared" si="8"/>
        <v>1322735</v>
      </c>
      <c r="H32" s="551">
        <f t="shared" si="8"/>
        <v>1210000</v>
      </c>
      <c r="I32" s="802">
        <f>H32/C32*100</f>
        <v>85.815602836879435</v>
      </c>
      <c r="J32" s="222">
        <f>SUM(J33:J37)</f>
        <v>0</v>
      </c>
      <c r="K32" s="222">
        <f>SUM(K33:K37)</f>
        <v>1210000</v>
      </c>
      <c r="L32" s="222">
        <f>SUM(L33:L37)</f>
        <v>133000</v>
      </c>
      <c r="M32" s="222">
        <f>SUM(M33:M37)</f>
        <v>1077000</v>
      </c>
      <c r="N32" s="551">
        <f>SUM(N33:N37)</f>
        <v>1315000</v>
      </c>
      <c r="O32" s="802">
        <f>N32/H32*100</f>
        <v>108.67768595041323</v>
      </c>
      <c r="P32" s="551">
        <f>SUM(P33:P37)</f>
        <v>0</v>
      </c>
      <c r="Q32" s="551">
        <f>SUM(Q33:Q37)</f>
        <v>1315000</v>
      </c>
      <c r="R32" s="551">
        <f>SUM(R33:R37)</f>
        <v>149690</v>
      </c>
      <c r="S32" s="551">
        <f>SUM(S33:S37)</f>
        <v>1165310</v>
      </c>
      <c r="T32" s="551">
        <f>SUM(T33:T37)</f>
        <v>1511000</v>
      </c>
      <c r="U32" s="802">
        <f>T32/N32*100</f>
        <v>114.90494296577947</v>
      </c>
      <c r="V32" s="551">
        <f>SUM(V33:V37)</f>
        <v>0</v>
      </c>
      <c r="W32" s="551">
        <f>SUM(W33:W37)</f>
        <v>1511000</v>
      </c>
      <c r="X32" s="551">
        <f>SUM(X33:X37)</f>
        <v>171000</v>
      </c>
      <c r="Y32" s="551">
        <f>SUM(Y33:Y37)</f>
        <v>1340000</v>
      </c>
      <c r="Z32" s="551">
        <f>SUM(Z33:Z37)</f>
        <v>1737000</v>
      </c>
      <c r="AA32" s="802">
        <f>Z32/T32*100</f>
        <v>114.95698213103904</v>
      </c>
      <c r="AB32" s="551">
        <f>SUM(AB33:AB37)</f>
        <v>0</v>
      </c>
      <c r="AC32" s="551">
        <f>SUM(AC33:AC37)</f>
        <v>1737000</v>
      </c>
      <c r="AD32" s="551">
        <f>SUM(AD33:AD37)</f>
        <v>196000</v>
      </c>
      <c r="AE32" s="551">
        <f>SUM(AE33:AE37)</f>
        <v>1541000</v>
      </c>
      <c r="AF32" s="551">
        <f>SUM(AF33:AF37)</f>
        <v>1996000</v>
      </c>
      <c r="AG32" s="802">
        <f>AF32/Z32*100</f>
        <v>114.91076568796777</v>
      </c>
      <c r="AH32" s="551">
        <f>SUM(AH33:AH37)</f>
        <v>0</v>
      </c>
      <c r="AI32" s="551">
        <f>SUM(AI33:AI37)</f>
        <v>1996000</v>
      </c>
      <c r="AJ32" s="551">
        <f>SUM(AJ33:AJ37)</f>
        <v>224000</v>
      </c>
      <c r="AK32" s="551">
        <f>SUM(AK33:AK37)</f>
        <v>1772000</v>
      </c>
      <c r="AL32" s="551">
        <f>SUM(AL33:AL37)</f>
        <v>2295000</v>
      </c>
      <c r="AM32" s="802">
        <f>AL32/AF32*100</f>
        <v>114.97995991983967</v>
      </c>
      <c r="AN32" s="551">
        <f>SUM(AN33:AN37)</f>
        <v>0</v>
      </c>
      <c r="AO32" s="551">
        <f>SUM(AO33:AO37)</f>
        <v>2295000</v>
      </c>
      <c r="AP32" s="551">
        <f>SUM(AP33:AP37)</f>
        <v>257000</v>
      </c>
      <c r="AQ32" s="551">
        <f>SUM(AQ33:AQ37)</f>
        <v>2038000</v>
      </c>
    </row>
    <row r="33" spans="1:43" s="249" customFormat="1" ht="15.75" customHeight="1" x14ac:dyDescent="0.25">
      <c r="A33" s="250"/>
      <c r="B33" s="208" t="s">
        <v>411</v>
      </c>
      <c r="C33" s="219">
        <v>664230</v>
      </c>
      <c r="D33" s="586">
        <v>0</v>
      </c>
      <c r="E33" s="586">
        <f t="shared" ref="E33:E39" si="9">C33-D33</f>
        <v>664230</v>
      </c>
      <c r="F33" s="586">
        <f>E33-G33</f>
        <v>0</v>
      </c>
      <c r="G33" s="586">
        <f>C33</f>
        <v>664230</v>
      </c>
      <c r="H33" s="542">
        <v>537000</v>
      </c>
      <c r="I33" s="803"/>
      <c r="J33" s="219">
        <f>0</f>
        <v>0</v>
      </c>
      <c r="K33" s="219">
        <f t="shared" ref="K33:K38" si="10">H33-J33</f>
        <v>537000</v>
      </c>
      <c r="L33" s="383">
        <f>K33-M33</f>
        <v>0</v>
      </c>
      <c r="M33" s="219">
        <f>H33</f>
        <v>537000</v>
      </c>
      <c r="N33" s="542">
        <f>'Phụ lục số 5'!C8</f>
        <v>606070</v>
      </c>
      <c r="O33" s="803"/>
      <c r="P33" s="542"/>
      <c r="Q33" s="542">
        <f t="shared" ref="Q33:Q38" si="11">N33-P33</f>
        <v>606070</v>
      </c>
      <c r="R33" s="586">
        <f>Q33-S33</f>
        <v>0</v>
      </c>
      <c r="S33" s="542">
        <f>N33</f>
        <v>606070</v>
      </c>
      <c r="T33" s="542">
        <f>ROUND(N33*1.15,-3)</f>
        <v>697000</v>
      </c>
      <c r="U33" s="803"/>
      <c r="V33" s="542"/>
      <c r="W33" s="542">
        <f t="shared" ref="W33:W42" si="12">T33-V33</f>
        <v>697000</v>
      </c>
      <c r="X33" s="586">
        <f t="shared" ref="X33:X40" si="13">W33-Y33</f>
        <v>0</v>
      </c>
      <c r="Y33" s="542">
        <f>T33</f>
        <v>697000</v>
      </c>
      <c r="Z33" s="542">
        <f>ROUND(T33*1.15,-3)</f>
        <v>802000</v>
      </c>
      <c r="AA33" s="803"/>
      <c r="AB33" s="542"/>
      <c r="AC33" s="542">
        <f t="shared" ref="AC33:AC42" si="14">Z33-AB33</f>
        <v>802000</v>
      </c>
      <c r="AD33" s="586">
        <f t="shared" ref="AD33:AD40" si="15">AC33-AE33</f>
        <v>0</v>
      </c>
      <c r="AE33" s="542">
        <f>Z33</f>
        <v>802000</v>
      </c>
      <c r="AF33" s="542">
        <f>ROUND(Z33*1.15,-3)</f>
        <v>922000</v>
      </c>
      <c r="AG33" s="803"/>
      <c r="AH33" s="542"/>
      <c r="AI33" s="542">
        <f t="shared" ref="AI33:AI42" si="16">AF33-AH33</f>
        <v>922000</v>
      </c>
      <c r="AJ33" s="586">
        <f t="shared" ref="AJ33:AJ40" si="17">AI33-AK33</f>
        <v>0</v>
      </c>
      <c r="AK33" s="542">
        <f>AF33</f>
        <v>922000</v>
      </c>
      <c r="AL33" s="542">
        <f>ROUND(AF33*1.15,-3)</f>
        <v>1060000</v>
      </c>
      <c r="AM33" s="803"/>
      <c r="AN33" s="542"/>
      <c r="AO33" s="542">
        <f t="shared" ref="AO33:AO42" si="18">AL33-AN33</f>
        <v>1060000</v>
      </c>
      <c r="AP33" s="586">
        <f t="shared" ref="AP33:AP40" si="19">AO33-AQ33</f>
        <v>0</v>
      </c>
      <c r="AQ33" s="542">
        <f>AL33</f>
        <v>1060000</v>
      </c>
    </row>
    <row r="34" spans="1:43" s="249" customFormat="1" ht="15.75" customHeight="1" x14ac:dyDescent="0.25">
      <c r="A34" s="250"/>
      <c r="B34" s="208" t="s">
        <v>412</v>
      </c>
      <c r="C34" s="219">
        <v>658505</v>
      </c>
      <c r="D34" s="586">
        <v>0</v>
      </c>
      <c r="E34" s="586">
        <f t="shared" si="9"/>
        <v>658505</v>
      </c>
      <c r="F34" s="586">
        <f>E34-G34</f>
        <v>0</v>
      </c>
      <c r="G34" s="586">
        <f>C34</f>
        <v>658505</v>
      </c>
      <c r="H34" s="542">
        <v>540000</v>
      </c>
      <c r="I34" s="803"/>
      <c r="J34" s="219">
        <f>0</f>
        <v>0</v>
      </c>
      <c r="K34" s="219">
        <f t="shared" si="10"/>
        <v>540000</v>
      </c>
      <c r="L34" s="383">
        <f>K34-M34</f>
        <v>0</v>
      </c>
      <c r="M34" s="219">
        <f>H34</f>
        <v>540000</v>
      </c>
      <c r="N34" s="542">
        <f>'Phụ lục số 5'!C9</f>
        <v>559240</v>
      </c>
      <c r="O34" s="803"/>
      <c r="P34" s="542"/>
      <c r="Q34" s="542">
        <f t="shared" si="11"/>
        <v>559240</v>
      </c>
      <c r="R34" s="586">
        <f>Q34-S34</f>
        <v>0</v>
      </c>
      <c r="S34" s="542">
        <f>N34</f>
        <v>559240</v>
      </c>
      <c r="T34" s="542">
        <f>ROUND(N34*1.15,-3)</f>
        <v>643000</v>
      </c>
      <c r="U34" s="803"/>
      <c r="V34" s="542"/>
      <c r="W34" s="542">
        <f t="shared" si="12"/>
        <v>643000</v>
      </c>
      <c r="X34" s="586">
        <f t="shared" si="13"/>
        <v>0</v>
      </c>
      <c r="Y34" s="542">
        <f>T34</f>
        <v>643000</v>
      </c>
      <c r="Z34" s="542">
        <f>ROUND(T34*1.15,-3)</f>
        <v>739000</v>
      </c>
      <c r="AA34" s="803"/>
      <c r="AB34" s="542"/>
      <c r="AC34" s="542">
        <f t="shared" si="14"/>
        <v>739000</v>
      </c>
      <c r="AD34" s="586">
        <f t="shared" si="15"/>
        <v>0</v>
      </c>
      <c r="AE34" s="542">
        <f>Z34</f>
        <v>739000</v>
      </c>
      <c r="AF34" s="542">
        <f>ROUND(Z34*1.15,-3)</f>
        <v>850000</v>
      </c>
      <c r="AG34" s="803"/>
      <c r="AH34" s="542"/>
      <c r="AI34" s="542">
        <f t="shared" si="16"/>
        <v>850000</v>
      </c>
      <c r="AJ34" s="586">
        <f t="shared" si="17"/>
        <v>0</v>
      </c>
      <c r="AK34" s="542">
        <f>AF34</f>
        <v>850000</v>
      </c>
      <c r="AL34" s="542">
        <f>ROUND(AF34*1.15,-3)</f>
        <v>978000</v>
      </c>
      <c r="AM34" s="803"/>
      <c r="AN34" s="542"/>
      <c r="AO34" s="542">
        <f t="shared" si="18"/>
        <v>978000</v>
      </c>
      <c r="AP34" s="586">
        <f t="shared" si="19"/>
        <v>0</v>
      </c>
      <c r="AQ34" s="542">
        <f>AL34</f>
        <v>978000</v>
      </c>
    </row>
    <row r="35" spans="1:43" s="249" customFormat="1" ht="15.75" customHeight="1" x14ac:dyDescent="0.25">
      <c r="A35" s="250"/>
      <c r="B35" s="208" t="s">
        <v>413</v>
      </c>
      <c r="C35" s="219">
        <v>68840</v>
      </c>
      <c r="D35" s="586">
        <v>0</v>
      </c>
      <c r="E35" s="586">
        <f t="shared" si="9"/>
        <v>68840</v>
      </c>
      <c r="F35" s="586">
        <f>E35-G35</f>
        <v>68840</v>
      </c>
      <c r="G35" s="586">
        <v>0</v>
      </c>
      <c r="H35" s="542">
        <v>113000</v>
      </c>
      <c r="I35" s="803"/>
      <c r="J35" s="219"/>
      <c r="K35" s="219">
        <f t="shared" si="10"/>
        <v>113000</v>
      </c>
      <c r="L35" s="383">
        <f>K35-M35</f>
        <v>113000</v>
      </c>
      <c r="M35" s="219">
        <v>0</v>
      </c>
      <c r="N35" s="542">
        <f>'Phụ lục số 5'!C10</f>
        <v>130750</v>
      </c>
      <c r="O35" s="803"/>
      <c r="P35" s="542"/>
      <c r="Q35" s="542">
        <f t="shared" si="11"/>
        <v>130750</v>
      </c>
      <c r="R35" s="586">
        <f>Q35-S35</f>
        <v>130750</v>
      </c>
      <c r="S35" s="542"/>
      <c r="T35" s="542">
        <f>ROUND(N35*1.15,-3)</f>
        <v>150000</v>
      </c>
      <c r="U35" s="803"/>
      <c r="V35" s="542"/>
      <c r="W35" s="542">
        <f t="shared" si="12"/>
        <v>150000</v>
      </c>
      <c r="X35" s="586">
        <f t="shared" si="13"/>
        <v>150000</v>
      </c>
      <c r="Y35" s="542"/>
      <c r="Z35" s="542">
        <f>ROUND(T35*1.15,-3)</f>
        <v>173000</v>
      </c>
      <c r="AA35" s="803"/>
      <c r="AB35" s="542"/>
      <c r="AC35" s="542">
        <f t="shared" si="14"/>
        <v>173000</v>
      </c>
      <c r="AD35" s="586">
        <f t="shared" si="15"/>
        <v>173000</v>
      </c>
      <c r="AE35" s="542"/>
      <c r="AF35" s="542">
        <f>ROUND(Z35*1.15,-3)</f>
        <v>199000</v>
      </c>
      <c r="AG35" s="803"/>
      <c r="AH35" s="542"/>
      <c r="AI35" s="542">
        <f t="shared" si="16"/>
        <v>199000</v>
      </c>
      <c r="AJ35" s="586">
        <f t="shared" si="17"/>
        <v>199000</v>
      </c>
      <c r="AK35" s="542"/>
      <c r="AL35" s="542">
        <f>ROUND(AF35*1.15,-3)</f>
        <v>229000</v>
      </c>
      <c r="AM35" s="803"/>
      <c r="AN35" s="542"/>
      <c r="AO35" s="542">
        <f t="shared" si="18"/>
        <v>229000</v>
      </c>
      <c r="AP35" s="586">
        <f t="shared" si="19"/>
        <v>229000</v>
      </c>
      <c r="AQ35" s="542"/>
    </row>
    <row r="36" spans="1:43" s="249" customFormat="1" ht="15.75" customHeight="1" x14ac:dyDescent="0.25">
      <c r="A36" s="250"/>
      <c r="B36" s="208" t="s">
        <v>414</v>
      </c>
      <c r="C36" s="219">
        <v>18425</v>
      </c>
      <c r="D36" s="586">
        <v>0</v>
      </c>
      <c r="E36" s="586">
        <f t="shared" si="9"/>
        <v>18425</v>
      </c>
      <c r="F36" s="586">
        <f>E36-G36</f>
        <v>18425</v>
      </c>
      <c r="G36" s="586">
        <v>0</v>
      </c>
      <c r="H36" s="542">
        <v>20000</v>
      </c>
      <c r="I36" s="803"/>
      <c r="J36" s="219"/>
      <c r="K36" s="219">
        <f t="shared" si="10"/>
        <v>20000</v>
      </c>
      <c r="L36" s="383">
        <f>K36-M36</f>
        <v>20000</v>
      </c>
      <c r="M36" s="219">
        <v>0</v>
      </c>
      <c r="N36" s="542">
        <f>'Phụ lục số 5'!C11</f>
        <v>18940</v>
      </c>
      <c r="O36" s="803"/>
      <c r="P36" s="542"/>
      <c r="Q36" s="542">
        <f t="shared" si="11"/>
        <v>18940</v>
      </c>
      <c r="R36" s="586">
        <f>Q36-S36</f>
        <v>18940</v>
      </c>
      <c r="S36" s="542"/>
      <c r="T36" s="542">
        <f>ROUND(N36*1.1,-3)</f>
        <v>21000</v>
      </c>
      <c r="U36" s="803"/>
      <c r="V36" s="542"/>
      <c r="W36" s="542">
        <f t="shared" si="12"/>
        <v>21000</v>
      </c>
      <c r="X36" s="586">
        <f t="shared" si="13"/>
        <v>21000</v>
      </c>
      <c r="Y36" s="542"/>
      <c r="Z36" s="542">
        <f>ROUND(T36*1.1,-3)</f>
        <v>23000</v>
      </c>
      <c r="AA36" s="803"/>
      <c r="AB36" s="542"/>
      <c r="AC36" s="542">
        <f t="shared" si="14"/>
        <v>23000</v>
      </c>
      <c r="AD36" s="586">
        <f t="shared" si="15"/>
        <v>23000</v>
      </c>
      <c r="AE36" s="542"/>
      <c r="AF36" s="542">
        <f>ROUND(Z36*1.1,-3)</f>
        <v>25000</v>
      </c>
      <c r="AG36" s="803"/>
      <c r="AH36" s="542"/>
      <c r="AI36" s="542">
        <f t="shared" si="16"/>
        <v>25000</v>
      </c>
      <c r="AJ36" s="586">
        <f t="shared" si="17"/>
        <v>25000</v>
      </c>
      <c r="AK36" s="542"/>
      <c r="AL36" s="542">
        <f>ROUND(AF36*1.1,-3)</f>
        <v>28000</v>
      </c>
      <c r="AM36" s="803"/>
      <c r="AN36" s="542"/>
      <c r="AO36" s="542">
        <f t="shared" si="18"/>
        <v>28000</v>
      </c>
      <c r="AP36" s="586">
        <f t="shared" si="19"/>
        <v>28000</v>
      </c>
      <c r="AQ36" s="542"/>
    </row>
    <row r="37" spans="1:43" s="249" customFormat="1" ht="15.75" customHeight="1" x14ac:dyDescent="0.25">
      <c r="A37" s="250"/>
      <c r="B37" s="208" t="s">
        <v>415</v>
      </c>
      <c r="C37" s="634">
        <v>0</v>
      </c>
      <c r="D37" s="586">
        <v>0</v>
      </c>
      <c r="E37" s="586">
        <f t="shared" si="9"/>
        <v>0</v>
      </c>
      <c r="F37" s="586">
        <f>E37-G37</f>
        <v>0</v>
      </c>
      <c r="G37" s="586">
        <f>C37</f>
        <v>0</v>
      </c>
      <c r="H37" s="542">
        <v>0</v>
      </c>
      <c r="I37" s="803"/>
      <c r="J37" s="219"/>
      <c r="K37" s="219">
        <f t="shared" si="10"/>
        <v>0</v>
      </c>
      <c r="L37" s="383">
        <f>K37-M37</f>
        <v>0</v>
      </c>
      <c r="M37" s="219">
        <f>H37</f>
        <v>0</v>
      </c>
      <c r="N37" s="542">
        <f>'Phụ lục số 5'!C12</f>
        <v>0</v>
      </c>
      <c r="O37" s="803"/>
      <c r="P37" s="542"/>
      <c r="Q37" s="542">
        <f t="shared" si="11"/>
        <v>0</v>
      </c>
      <c r="R37" s="586">
        <f>Q37-S37</f>
        <v>0</v>
      </c>
      <c r="S37" s="542">
        <f>N37</f>
        <v>0</v>
      </c>
      <c r="T37" s="542">
        <f>ROUND(N37*1.1,-3)</f>
        <v>0</v>
      </c>
      <c r="U37" s="803"/>
      <c r="V37" s="542"/>
      <c r="W37" s="542">
        <f t="shared" si="12"/>
        <v>0</v>
      </c>
      <c r="X37" s="586">
        <f t="shared" si="13"/>
        <v>0</v>
      </c>
      <c r="Y37" s="542">
        <f>T37</f>
        <v>0</v>
      </c>
      <c r="Z37" s="542">
        <f>ROUND(T37*1.1,-3)</f>
        <v>0</v>
      </c>
      <c r="AA37" s="803"/>
      <c r="AB37" s="542"/>
      <c r="AC37" s="542">
        <f t="shared" si="14"/>
        <v>0</v>
      </c>
      <c r="AD37" s="586">
        <f t="shared" si="15"/>
        <v>0</v>
      </c>
      <c r="AE37" s="542">
        <f>Z37</f>
        <v>0</v>
      </c>
      <c r="AF37" s="542">
        <f>ROUND(Z37*1.1,-3)</f>
        <v>0</v>
      </c>
      <c r="AG37" s="803"/>
      <c r="AH37" s="542"/>
      <c r="AI37" s="542">
        <f t="shared" si="16"/>
        <v>0</v>
      </c>
      <c r="AJ37" s="586">
        <f t="shared" si="17"/>
        <v>0</v>
      </c>
      <c r="AK37" s="542">
        <f>AF37</f>
        <v>0</v>
      </c>
      <c r="AL37" s="542">
        <f>ROUND(AF37*1.1,-3)</f>
        <v>0</v>
      </c>
      <c r="AM37" s="803"/>
      <c r="AN37" s="542"/>
      <c r="AO37" s="542">
        <f t="shared" si="18"/>
        <v>0</v>
      </c>
      <c r="AP37" s="586">
        <f t="shared" si="19"/>
        <v>0</v>
      </c>
      <c r="AQ37" s="542">
        <f>AL37</f>
        <v>0</v>
      </c>
    </row>
    <row r="38" spans="1:43" s="249" customFormat="1" x14ac:dyDescent="0.25">
      <c r="A38" s="148">
        <v>5</v>
      </c>
      <c r="B38" s="26" t="s">
        <v>416</v>
      </c>
      <c r="C38" s="26">
        <v>345000</v>
      </c>
      <c r="D38" s="585">
        <v>0</v>
      </c>
      <c r="E38" s="585">
        <f t="shared" si="9"/>
        <v>345000</v>
      </c>
      <c r="F38" s="585">
        <v>0</v>
      </c>
      <c r="G38" s="585">
        <f>E38-F38</f>
        <v>345000</v>
      </c>
      <c r="H38" s="551">
        <v>250000</v>
      </c>
      <c r="I38" s="802">
        <f>H38/C38*100</f>
        <v>72.463768115942031</v>
      </c>
      <c r="J38" s="222">
        <f>0</f>
        <v>0</v>
      </c>
      <c r="K38" s="222">
        <f t="shared" si="10"/>
        <v>250000</v>
      </c>
      <c r="L38" s="222">
        <f t="shared" ref="L38:L45" si="20">K38-M38</f>
        <v>0</v>
      </c>
      <c r="M38" s="222">
        <f>H38</f>
        <v>250000</v>
      </c>
      <c r="N38" s="551">
        <f>'Phụ lục số 5'!C14</f>
        <v>280000</v>
      </c>
      <c r="O38" s="802">
        <f>N38/H38*100</f>
        <v>112.00000000000001</v>
      </c>
      <c r="P38" s="551">
        <f>0</f>
        <v>0</v>
      </c>
      <c r="Q38" s="551">
        <f t="shared" si="11"/>
        <v>280000</v>
      </c>
      <c r="R38" s="551">
        <f t="shared" ref="R38:R45" si="21">Q38-S38</f>
        <v>0</v>
      </c>
      <c r="S38" s="551">
        <f>N38</f>
        <v>280000</v>
      </c>
      <c r="T38" s="551">
        <f>ROUND(N38*1.15,-3)</f>
        <v>322000</v>
      </c>
      <c r="U38" s="802">
        <f>T38/N38*100</f>
        <v>114.99999999999999</v>
      </c>
      <c r="V38" s="551">
        <f>0</f>
        <v>0</v>
      </c>
      <c r="W38" s="551">
        <f t="shared" si="12"/>
        <v>322000</v>
      </c>
      <c r="X38" s="551">
        <f t="shared" si="13"/>
        <v>0</v>
      </c>
      <c r="Y38" s="551">
        <f>T38</f>
        <v>322000</v>
      </c>
      <c r="Z38" s="551">
        <f>ROUND(T38*1.1,-3)</f>
        <v>354000</v>
      </c>
      <c r="AA38" s="802">
        <f>Z38/T38*100</f>
        <v>109.93788819875776</v>
      </c>
      <c r="AB38" s="551">
        <f>0</f>
        <v>0</v>
      </c>
      <c r="AC38" s="551">
        <f t="shared" si="14"/>
        <v>354000</v>
      </c>
      <c r="AD38" s="551">
        <f t="shared" si="15"/>
        <v>0</v>
      </c>
      <c r="AE38" s="551">
        <f>Z38</f>
        <v>354000</v>
      </c>
      <c r="AF38" s="551">
        <f>ROUND(Z38*1.1,-3)</f>
        <v>389000</v>
      </c>
      <c r="AG38" s="802">
        <f>AF38/Z38*100</f>
        <v>109.88700564971752</v>
      </c>
      <c r="AH38" s="551">
        <f>0</f>
        <v>0</v>
      </c>
      <c r="AI38" s="551">
        <f t="shared" si="16"/>
        <v>389000</v>
      </c>
      <c r="AJ38" s="551">
        <f t="shared" si="17"/>
        <v>0</v>
      </c>
      <c r="AK38" s="551">
        <f>AF38</f>
        <v>389000</v>
      </c>
      <c r="AL38" s="551">
        <f>ROUND(AF38*1.1,-3)</f>
        <v>428000</v>
      </c>
      <c r="AM38" s="802">
        <f>AL38/AF38*100</f>
        <v>110.02570694087403</v>
      </c>
      <c r="AN38" s="551">
        <f>0</f>
        <v>0</v>
      </c>
      <c r="AO38" s="551">
        <f t="shared" si="18"/>
        <v>428000</v>
      </c>
      <c r="AP38" s="551">
        <f t="shared" si="19"/>
        <v>0</v>
      </c>
      <c r="AQ38" s="551">
        <f>AL38</f>
        <v>428000</v>
      </c>
    </row>
    <row r="39" spans="1:43" s="249" customFormat="1" x14ac:dyDescent="0.25">
      <c r="A39" s="148">
        <v>6</v>
      </c>
      <c r="B39" s="26" t="s">
        <v>468</v>
      </c>
      <c r="C39" s="282">
        <v>0</v>
      </c>
      <c r="D39" s="585">
        <v>0</v>
      </c>
      <c r="E39" s="585">
        <f t="shared" si="9"/>
        <v>0</v>
      </c>
      <c r="F39" s="585">
        <v>0</v>
      </c>
      <c r="G39" s="585">
        <f>E39</f>
        <v>0</v>
      </c>
      <c r="H39" s="551">
        <v>800</v>
      </c>
      <c r="I39" s="802"/>
      <c r="J39" s="222">
        <f>0</f>
        <v>0</v>
      </c>
      <c r="K39" s="222">
        <f t="shared" ref="K39:K51" si="22">H39-J39</f>
        <v>800</v>
      </c>
      <c r="L39" s="222">
        <f t="shared" si="20"/>
        <v>0</v>
      </c>
      <c r="M39" s="222">
        <f>H39</f>
        <v>800</v>
      </c>
      <c r="N39" s="551">
        <v>0</v>
      </c>
      <c r="O39" s="802"/>
      <c r="P39" s="551">
        <f>0</f>
        <v>0</v>
      </c>
      <c r="Q39" s="551">
        <f t="shared" ref="Q39:Q50" si="23">N39-P39</f>
        <v>0</v>
      </c>
      <c r="R39" s="551">
        <f t="shared" si="21"/>
        <v>0</v>
      </c>
      <c r="S39" s="551"/>
      <c r="T39" s="551">
        <v>0</v>
      </c>
      <c r="U39" s="802"/>
      <c r="V39" s="551">
        <f>0</f>
        <v>0</v>
      </c>
      <c r="W39" s="551">
        <f t="shared" si="12"/>
        <v>0</v>
      </c>
      <c r="X39" s="551">
        <f t="shared" si="13"/>
        <v>0</v>
      </c>
      <c r="Y39" s="551">
        <v>0</v>
      </c>
      <c r="Z39" s="551">
        <v>0</v>
      </c>
      <c r="AA39" s="802"/>
      <c r="AB39" s="551">
        <f>0</f>
        <v>0</v>
      </c>
      <c r="AC39" s="551">
        <f t="shared" si="14"/>
        <v>0</v>
      </c>
      <c r="AD39" s="551">
        <f t="shared" si="15"/>
        <v>0</v>
      </c>
      <c r="AE39" s="551">
        <v>0</v>
      </c>
      <c r="AF39" s="551">
        <v>0</v>
      </c>
      <c r="AG39" s="802"/>
      <c r="AH39" s="551">
        <f>0</f>
        <v>0</v>
      </c>
      <c r="AI39" s="551">
        <f t="shared" si="16"/>
        <v>0</v>
      </c>
      <c r="AJ39" s="551">
        <f t="shared" si="17"/>
        <v>0</v>
      </c>
      <c r="AK39" s="551">
        <v>0</v>
      </c>
      <c r="AL39" s="551">
        <v>0</v>
      </c>
      <c r="AM39" s="802"/>
      <c r="AN39" s="551">
        <f>0</f>
        <v>0</v>
      </c>
      <c r="AO39" s="551">
        <f t="shared" si="18"/>
        <v>0</v>
      </c>
      <c r="AP39" s="551">
        <f t="shared" si="19"/>
        <v>0</v>
      </c>
      <c r="AQ39" s="551">
        <v>0</v>
      </c>
    </row>
    <row r="40" spans="1:43" s="249" customFormat="1" x14ac:dyDescent="0.25">
      <c r="A40" s="148">
        <v>7</v>
      </c>
      <c r="B40" s="26" t="s">
        <v>601</v>
      </c>
      <c r="C40" s="282">
        <v>8000</v>
      </c>
      <c r="D40" s="585">
        <v>0</v>
      </c>
      <c r="E40" s="585">
        <f>C40-D40</f>
        <v>8000</v>
      </c>
      <c r="F40" s="585">
        <v>0</v>
      </c>
      <c r="G40" s="585">
        <f>E40-F40</f>
        <v>8000</v>
      </c>
      <c r="H40" s="551">
        <v>8000</v>
      </c>
      <c r="I40" s="802">
        <f t="shared" ref="I40:I52" si="24">H40/C40*100</f>
        <v>100</v>
      </c>
      <c r="J40" s="222">
        <f>0</f>
        <v>0</v>
      </c>
      <c r="K40" s="222">
        <f t="shared" si="22"/>
        <v>8000</v>
      </c>
      <c r="L40" s="222">
        <f t="shared" si="20"/>
        <v>0</v>
      </c>
      <c r="M40" s="222">
        <f>H40</f>
        <v>8000</v>
      </c>
      <c r="N40" s="551">
        <f>'Phụ lục số 5'!C16</f>
        <v>8000</v>
      </c>
      <c r="O40" s="802">
        <f>N40/H40*100</f>
        <v>100</v>
      </c>
      <c r="P40" s="551">
        <f>0</f>
        <v>0</v>
      </c>
      <c r="Q40" s="551">
        <f t="shared" si="23"/>
        <v>8000</v>
      </c>
      <c r="R40" s="551">
        <f t="shared" si="21"/>
        <v>0</v>
      </c>
      <c r="S40" s="551">
        <f>N40</f>
        <v>8000</v>
      </c>
      <c r="T40" s="551">
        <v>8000</v>
      </c>
      <c r="U40" s="802">
        <f t="shared" ref="U40:U45" si="25">T40/N40*100</f>
        <v>100</v>
      </c>
      <c r="V40" s="551">
        <f>0</f>
        <v>0</v>
      </c>
      <c r="W40" s="551">
        <f t="shared" si="12"/>
        <v>8000</v>
      </c>
      <c r="X40" s="551">
        <f t="shared" si="13"/>
        <v>0</v>
      </c>
      <c r="Y40" s="551">
        <f>T40</f>
        <v>8000</v>
      </c>
      <c r="Z40" s="551">
        <v>8000</v>
      </c>
      <c r="AA40" s="802">
        <f t="shared" ref="AA40:AA45" si="26">Z40/T40*100</f>
        <v>100</v>
      </c>
      <c r="AB40" s="551">
        <f>0</f>
        <v>0</v>
      </c>
      <c r="AC40" s="551">
        <f t="shared" si="14"/>
        <v>8000</v>
      </c>
      <c r="AD40" s="551">
        <f t="shared" si="15"/>
        <v>0</v>
      </c>
      <c r="AE40" s="551">
        <f>Z40</f>
        <v>8000</v>
      </c>
      <c r="AF40" s="551">
        <v>8000</v>
      </c>
      <c r="AG40" s="802">
        <f t="shared" ref="AG40:AG45" si="27">AF40/Z40*100</f>
        <v>100</v>
      </c>
      <c r="AH40" s="551">
        <f>0</f>
        <v>0</v>
      </c>
      <c r="AI40" s="551">
        <f t="shared" si="16"/>
        <v>8000</v>
      </c>
      <c r="AJ40" s="551">
        <f t="shared" si="17"/>
        <v>0</v>
      </c>
      <c r="AK40" s="551">
        <f>AF40</f>
        <v>8000</v>
      </c>
      <c r="AL40" s="551">
        <v>8000</v>
      </c>
      <c r="AM40" s="802">
        <f t="shared" ref="AM40:AM45" si="28">AL40/AF40*100</f>
        <v>100</v>
      </c>
      <c r="AN40" s="551">
        <f>0</f>
        <v>0</v>
      </c>
      <c r="AO40" s="551">
        <f t="shared" si="18"/>
        <v>8000</v>
      </c>
      <c r="AP40" s="551">
        <f t="shared" si="19"/>
        <v>0</v>
      </c>
      <c r="AQ40" s="551">
        <f>AL40</f>
        <v>8000</v>
      </c>
    </row>
    <row r="41" spans="1:43" s="249" customFormat="1" x14ac:dyDescent="0.25">
      <c r="A41" s="148">
        <v>8</v>
      </c>
      <c r="B41" s="26" t="s">
        <v>527</v>
      </c>
      <c r="C41" s="282">
        <v>580000</v>
      </c>
      <c r="D41" s="585">
        <v>0</v>
      </c>
      <c r="E41" s="585">
        <f>C41-D41</f>
        <v>580000</v>
      </c>
      <c r="F41" s="585">
        <f>E41-G41</f>
        <v>580000</v>
      </c>
      <c r="G41" s="585">
        <v>0</v>
      </c>
      <c r="H41" s="551">
        <v>470000</v>
      </c>
      <c r="I41" s="802">
        <f t="shared" si="24"/>
        <v>81.034482758620683</v>
      </c>
      <c r="J41" s="222">
        <f>0</f>
        <v>0</v>
      </c>
      <c r="K41" s="222">
        <f t="shared" si="22"/>
        <v>470000</v>
      </c>
      <c r="L41" s="222">
        <f t="shared" si="20"/>
        <v>470000</v>
      </c>
      <c r="M41" s="222">
        <v>0</v>
      </c>
      <c r="N41" s="551">
        <v>465000</v>
      </c>
      <c r="O41" s="802">
        <f>N41/H41*100</f>
        <v>98.936170212765958</v>
      </c>
      <c r="P41" s="551">
        <f>0</f>
        <v>0</v>
      </c>
      <c r="Q41" s="551">
        <f t="shared" si="23"/>
        <v>465000</v>
      </c>
      <c r="R41" s="551">
        <f>Q41-S41</f>
        <v>465000</v>
      </c>
      <c r="S41" s="551"/>
      <c r="T41" s="551">
        <f>ROUND(N41*1.1,-3)</f>
        <v>512000</v>
      </c>
      <c r="U41" s="802">
        <f t="shared" si="25"/>
        <v>110.10752688172043</v>
      </c>
      <c r="V41" s="551">
        <f>0</f>
        <v>0</v>
      </c>
      <c r="W41" s="551">
        <f t="shared" si="12"/>
        <v>512000</v>
      </c>
      <c r="X41" s="551">
        <f>W41-Y41</f>
        <v>512000</v>
      </c>
      <c r="Y41" s="551"/>
      <c r="Z41" s="551">
        <f>ROUND(T41*1.05,-3)</f>
        <v>538000</v>
      </c>
      <c r="AA41" s="802">
        <f t="shared" si="26"/>
        <v>105.078125</v>
      </c>
      <c r="AB41" s="551">
        <f>0</f>
        <v>0</v>
      </c>
      <c r="AC41" s="551">
        <f t="shared" si="14"/>
        <v>538000</v>
      </c>
      <c r="AD41" s="551">
        <f>AC41-AE41</f>
        <v>538000</v>
      </c>
      <c r="AE41" s="551"/>
      <c r="AF41" s="551">
        <f>ROUND(Z41*1.05,-3)</f>
        <v>565000</v>
      </c>
      <c r="AG41" s="802">
        <f t="shared" si="27"/>
        <v>105.01858736059479</v>
      </c>
      <c r="AH41" s="551">
        <f>0</f>
        <v>0</v>
      </c>
      <c r="AI41" s="551">
        <f t="shared" si="16"/>
        <v>565000</v>
      </c>
      <c r="AJ41" s="551">
        <f>AI41-AK41</f>
        <v>565000</v>
      </c>
      <c r="AK41" s="551"/>
      <c r="AL41" s="551">
        <f>ROUND(AF41*1.05,-3)</f>
        <v>593000</v>
      </c>
      <c r="AM41" s="802">
        <f t="shared" si="28"/>
        <v>104.95575221238937</v>
      </c>
      <c r="AN41" s="551">
        <f>0</f>
        <v>0</v>
      </c>
      <c r="AO41" s="551">
        <f t="shared" si="18"/>
        <v>593000</v>
      </c>
      <c r="AP41" s="551">
        <f>AO41-AQ41</f>
        <v>593000</v>
      </c>
      <c r="AQ41" s="551"/>
    </row>
    <row r="42" spans="1:43" s="249" customFormat="1" x14ac:dyDescent="0.25">
      <c r="A42" s="148">
        <v>9</v>
      </c>
      <c r="B42" s="26" t="s">
        <v>1552</v>
      </c>
      <c r="C42" s="635">
        <v>2510000</v>
      </c>
      <c r="D42" s="637">
        <f>ROUND(C42*62.8%,-2)</f>
        <v>1576300</v>
      </c>
      <c r="E42" s="585">
        <f>C42-D42</f>
        <v>933700</v>
      </c>
      <c r="F42" s="585">
        <f>E42-G42</f>
        <v>933700</v>
      </c>
      <c r="G42" s="585">
        <v>0</v>
      </c>
      <c r="H42" s="551">
        <v>2130000</v>
      </c>
      <c r="I42" s="802">
        <f t="shared" si="24"/>
        <v>84.860557768924309</v>
      </c>
      <c r="J42" s="222">
        <f>ROUND(H42*62.8%,-1)</f>
        <v>1337640</v>
      </c>
      <c r="K42" s="222">
        <f t="shared" si="22"/>
        <v>792360</v>
      </c>
      <c r="L42" s="222">
        <f t="shared" si="20"/>
        <v>792360</v>
      </c>
      <c r="M42" s="222">
        <v>0</v>
      </c>
      <c r="N42" s="551">
        <v>2270000</v>
      </c>
      <c r="O42" s="802">
        <f>N42/H42*100</f>
        <v>106.57276995305165</v>
      </c>
      <c r="P42" s="551">
        <f>INT(ROUND(N42*62.8%,-1))</f>
        <v>1425560</v>
      </c>
      <c r="Q42" s="551">
        <f t="shared" si="23"/>
        <v>844440</v>
      </c>
      <c r="R42" s="551">
        <f t="shared" si="21"/>
        <v>844440</v>
      </c>
      <c r="S42" s="551">
        <v>0</v>
      </c>
      <c r="T42" s="551">
        <f>ROUND(N42*1.1,-3)</f>
        <v>2497000</v>
      </c>
      <c r="U42" s="802">
        <f t="shared" si="25"/>
        <v>110.00000000000001</v>
      </c>
      <c r="V42" s="551">
        <f>ROUND(T42*62.8%,-1)-120</f>
        <v>1568000</v>
      </c>
      <c r="W42" s="551">
        <f t="shared" si="12"/>
        <v>929000</v>
      </c>
      <c r="X42" s="551">
        <f>W42-Y42</f>
        <v>929000</v>
      </c>
      <c r="Y42" s="551">
        <v>0</v>
      </c>
      <c r="Z42" s="551">
        <f>ROUND(T42*1.1,-3)</f>
        <v>2747000</v>
      </c>
      <c r="AA42" s="802">
        <f t="shared" si="26"/>
        <v>110.01201441730075</v>
      </c>
      <c r="AB42" s="551">
        <f>ROUND(Z42*62.8%,-1)-120</f>
        <v>1725000</v>
      </c>
      <c r="AC42" s="551">
        <f t="shared" si="14"/>
        <v>1022000</v>
      </c>
      <c r="AD42" s="551">
        <f>AC42-AE42</f>
        <v>1022000</v>
      </c>
      <c r="AE42" s="551">
        <v>0</v>
      </c>
      <c r="AF42" s="551">
        <f>ROUND(Z42*1.1,-3)</f>
        <v>3022000</v>
      </c>
      <c r="AG42" s="802">
        <f t="shared" si="27"/>
        <v>110.01092100473244</v>
      </c>
      <c r="AH42" s="551">
        <f>ROUND(AF42*62.8%,-1)+180</f>
        <v>1898000</v>
      </c>
      <c r="AI42" s="551">
        <f t="shared" si="16"/>
        <v>1124000</v>
      </c>
      <c r="AJ42" s="551">
        <f>AI42-AK42</f>
        <v>1124000</v>
      </c>
      <c r="AK42" s="551">
        <v>0</v>
      </c>
      <c r="AL42" s="551">
        <f>ROUND(AF42*1.1,-3)</f>
        <v>3324000</v>
      </c>
      <c r="AM42" s="802">
        <f t="shared" si="28"/>
        <v>109.99338186631368</v>
      </c>
      <c r="AN42" s="551">
        <f>ROUND(AL42*62.8%,-1)+30</f>
        <v>2087500</v>
      </c>
      <c r="AO42" s="551">
        <f t="shared" si="18"/>
        <v>1236500</v>
      </c>
      <c r="AP42" s="551">
        <f>AO42-AQ42</f>
        <v>1236500</v>
      </c>
      <c r="AQ42" s="551">
        <v>0</v>
      </c>
    </row>
    <row r="43" spans="1:43" s="249" customFormat="1" x14ac:dyDescent="0.25">
      <c r="A43" s="148">
        <v>10</v>
      </c>
      <c r="B43" s="26" t="s">
        <v>417</v>
      </c>
      <c r="C43" s="635">
        <v>187000</v>
      </c>
      <c r="D43" s="637">
        <v>45000</v>
      </c>
      <c r="E43" s="585">
        <f>C43-D43</f>
        <v>142000</v>
      </c>
      <c r="F43" s="585">
        <f>E43-G43</f>
        <v>73500</v>
      </c>
      <c r="G43" s="585">
        <v>68500</v>
      </c>
      <c r="H43" s="551">
        <v>165000</v>
      </c>
      <c r="I43" s="802">
        <f t="shared" si="24"/>
        <v>88.235294117647058</v>
      </c>
      <c r="J43" s="222">
        <v>41000</v>
      </c>
      <c r="K43" s="222">
        <f t="shared" si="22"/>
        <v>124000</v>
      </c>
      <c r="L43" s="222">
        <f t="shared" si="20"/>
        <v>54000</v>
      </c>
      <c r="M43" s="222">
        <v>70000</v>
      </c>
      <c r="N43" s="551">
        <f>177000+15900</f>
        <v>192900</v>
      </c>
      <c r="O43" s="802">
        <f>N43/H43*100</f>
        <v>116.90909090909092</v>
      </c>
      <c r="P43" s="551">
        <f>45000+15900</f>
        <v>60900</v>
      </c>
      <c r="Q43" s="551">
        <f>R43+S43</f>
        <v>132000</v>
      </c>
      <c r="R43" s="551">
        <f>N43-P43-S43</f>
        <v>67500</v>
      </c>
      <c r="S43" s="551">
        <f>'Phụ lục số 5'!E17</f>
        <v>64500</v>
      </c>
      <c r="T43" s="551">
        <f>ROUND(N43*1.07,-3)</f>
        <v>206000</v>
      </c>
      <c r="U43" s="802">
        <f t="shared" si="25"/>
        <v>106.79108346293415</v>
      </c>
      <c r="V43" s="551">
        <f>48000</f>
        <v>48000</v>
      </c>
      <c r="W43" s="551">
        <f>X43+Y43</f>
        <v>158000</v>
      </c>
      <c r="X43" s="551">
        <f>T43-V43-Y43</f>
        <v>81000</v>
      </c>
      <c r="Y43" s="551">
        <v>77000</v>
      </c>
      <c r="Z43" s="551">
        <f>ROUND(T43*1.07,-3)</f>
        <v>220000</v>
      </c>
      <c r="AA43" s="802">
        <f t="shared" si="26"/>
        <v>106.79611650485437</v>
      </c>
      <c r="AB43" s="551">
        <f>50000</f>
        <v>50000</v>
      </c>
      <c r="AC43" s="551">
        <f>AD43+AE43</f>
        <v>170000</v>
      </c>
      <c r="AD43" s="551">
        <f>Z43-AB43-AE43</f>
        <v>88000</v>
      </c>
      <c r="AE43" s="551">
        <v>82000</v>
      </c>
      <c r="AF43" s="551">
        <f>ROUND(Z43*1.07,-3)</f>
        <v>235000</v>
      </c>
      <c r="AG43" s="802">
        <f t="shared" si="27"/>
        <v>106.81818181818181</v>
      </c>
      <c r="AH43" s="551">
        <f>55000</f>
        <v>55000</v>
      </c>
      <c r="AI43" s="551">
        <f>AJ43+AK43</f>
        <v>180000</v>
      </c>
      <c r="AJ43" s="551">
        <f>AF43-AH43-AK43</f>
        <v>94000</v>
      </c>
      <c r="AK43" s="551">
        <v>86000</v>
      </c>
      <c r="AL43" s="551">
        <f>ROUND(AF43*1.07,-3)</f>
        <v>251000</v>
      </c>
      <c r="AM43" s="802">
        <f t="shared" si="28"/>
        <v>106.80851063829789</v>
      </c>
      <c r="AN43" s="551">
        <f>60000</f>
        <v>60000</v>
      </c>
      <c r="AO43" s="551">
        <f>AP43+AQ43</f>
        <v>191000</v>
      </c>
      <c r="AP43" s="551">
        <f>AL43-AN43-AQ43</f>
        <v>101000</v>
      </c>
      <c r="AQ43" s="551">
        <v>90000</v>
      </c>
    </row>
    <row r="44" spans="1:43" s="249" customFormat="1" x14ac:dyDescent="0.25">
      <c r="A44" s="148">
        <v>11</v>
      </c>
      <c r="B44" s="26" t="s">
        <v>418</v>
      </c>
      <c r="C44" s="282">
        <v>600000</v>
      </c>
      <c r="D44" s="585">
        <v>0</v>
      </c>
      <c r="E44" s="585">
        <f>F44+G44</f>
        <v>600000</v>
      </c>
      <c r="F44" s="585">
        <f>C44-G44</f>
        <v>100000</v>
      </c>
      <c r="G44" s="282">
        <v>500000</v>
      </c>
      <c r="H44" s="551">
        <v>750000</v>
      </c>
      <c r="I44" s="802">
        <f t="shared" si="24"/>
        <v>125</v>
      </c>
      <c r="J44" s="222">
        <f>0</f>
        <v>0</v>
      </c>
      <c r="K44" s="222">
        <f>H44-J44</f>
        <v>750000</v>
      </c>
      <c r="L44" s="222">
        <f>K44-M44</f>
        <v>0</v>
      </c>
      <c r="M44" s="222">
        <f>'Thu NSH'!H28</f>
        <v>750000</v>
      </c>
      <c r="N44" s="551">
        <v>750000</v>
      </c>
      <c r="O44" s="802">
        <f t="shared" ref="O44:O54" si="29">N44/H44*100</f>
        <v>100</v>
      </c>
      <c r="P44" s="551"/>
      <c r="Q44" s="551">
        <f>N44-P44</f>
        <v>750000</v>
      </c>
      <c r="R44" s="551">
        <f>Q44-S44</f>
        <v>100000</v>
      </c>
      <c r="S44" s="551">
        <f>'Phụ lục số 5'!E24</f>
        <v>650000</v>
      </c>
      <c r="T44" s="551">
        <v>800000</v>
      </c>
      <c r="U44" s="802">
        <f t="shared" si="25"/>
        <v>106.66666666666667</v>
      </c>
      <c r="V44" s="551">
        <f>0</f>
        <v>0</v>
      </c>
      <c r="W44" s="551">
        <f t="shared" ref="W44:W50" si="30">T44-V44</f>
        <v>800000</v>
      </c>
      <c r="X44" s="551">
        <f t="shared" ref="X44:X49" si="31">W44-Y44</f>
        <v>100000</v>
      </c>
      <c r="Y44" s="551">
        <v>700000</v>
      </c>
      <c r="Z44" s="551">
        <v>800000</v>
      </c>
      <c r="AA44" s="802">
        <f t="shared" si="26"/>
        <v>100</v>
      </c>
      <c r="AB44" s="551">
        <f>0</f>
        <v>0</v>
      </c>
      <c r="AC44" s="551">
        <f t="shared" ref="AC44:AC50" si="32">Z44-AB44</f>
        <v>800000</v>
      </c>
      <c r="AD44" s="551">
        <f t="shared" ref="AD44:AD49" si="33">AC44-AE44</f>
        <v>100000</v>
      </c>
      <c r="AE44" s="551">
        <v>700000</v>
      </c>
      <c r="AF44" s="551">
        <v>800000</v>
      </c>
      <c r="AG44" s="802">
        <f t="shared" si="27"/>
        <v>100</v>
      </c>
      <c r="AH44" s="551">
        <f>0</f>
        <v>0</v>
      </c>
      <c r="AI44" s="551">
        <f t="shared" ref="AI44:AI50" si="34">AF44-AH44</f>
        <v>800000</v>
      </c>
      <c r="AJ44" s="551">
        <f t="shared" ref="AJ44:AJ49" si="35">AI44-AK44</f>
        <v>100000</v>
      </c>
      <c r="AK44" s="551">
        <v>700000</v>
      </c>
      <c r="AL44" s="551">
        <v>800000</v>
      </c>
      <c r="AM44" s="802">
        <f t="shared" si="28"/>
        <v>100</v>
      </c>
      <c r="AN44" s="551">
        <f>0</f>
        <v>0</v>
      </c>
      <c r="AO44" s="551">
        <f t="shared" ref="AO44:AO50" si="36">AL44-AN44</f>
        <v>800000</v>
      </c>
      <c r="AP44" s="551">
        <f t="shared" ref="AP44:AP49" si="37">AO44-AQ44</f>
        <v>100000</v>
      </c>
      <c r="AQ44" s="551">
        <v>700000</v>
      </c>
    </row>
    <row r="45" spans="1:43" s="249" customFormat="1" x14ac:dyDescent="0.25">
      <c r="A45" s="148">
        <v>12</v>
      </c>
      <c r="B45" s="26" t="s">
        <v>529</v>
      </c>
      <c r="C45" s="282">
        <v>140000</v>
      </c>
      <c r="D45" s="585">
        <v>0</v>
      </c>
      <c r="E45" s="585">
        <f>C45-D45</f>
        <v>140000</v>
      </c>
      <c r="F45" s="585">
        <f>C45-G45</f>
        <v>0</v>
      </c>
      <c r="G45" s="282">
        <f>C45</f>
        <v>140000</v>
      </c>
      <c r="H45" s="551">
        <v>72000</v>
      </c>
      <c r="I45" s="802">
        <f t="shared" si="24"/>
        <v>51.428571428571423</v>
      </c>
      <c r="J45" s="222">
        <v>0</v>
      </c>
      <c r="K45" s="222">
        <f t="shared" si="22"/>
        <v>72000</v>
      </c>
      <c r="L45" s="222">
        <f t="shared" si="20"/>
        <v>0</v>
      </c>
      <c r="M45" s="222">
        <f>H45</f>
        <v>72000</v>
      </c>
      <c r="N45" s="551">
        <f>'Phụ lục số 5'!C21</f>
        <v>76000</v>
      </c>
      <c r="O45" s="802">
        <f t="shared" si="29"/>
        <v>105.55555555555556</v>
      </c>
      <c r="P45" s="551">
        <v>0</v>
      </c>
      <c r="Q45" s="551">
        <f t="shared" si="23"/>
        <v>76000</v>
      </c>
      <c r="R45" s="551">
        <f t="shared" si="21"/>
        <v>0</v>
      </c>
      <c r="S45" s="551">
        <f>N45</f>
        <v>76000</v>
      </c>
      <c r="T45" s="551">
        <v>86000</v>
      </c>
      <c r="U45" s="802">
        <f t="shared" si="25"/>
        <v>113.1578947368421</v>
      </c>
      <c r="V45" s="551">
        <v>0</v>
      </c>
      <c r="W45" s="551">
        <f t="shared" si="30"/>
        <v>86000</v>
      </c>
      <c r="X45" s="551">
        <f t="shared" si="31"/>
        <v>0</v>
      </c>
      <c r="Y45" s="551">
        <f>T45</f>
        <v>86000</v>
      </c>
      <c r="Z45" s="551">
        <v>92000</v>
      </c>
      <c r="AA45" s="802">
        <f t="shared" si="26"/>
        <v>106.9767441860465</v>
      </c>
      <c r="AB45" s="551">
        <v>0</v>
      </c>
      <c r="AC45" s="551">
        <f t="shared" si="32"/>
        <v>92000</v>
      </c>
      <c r="AD45" s="551">
        <f t="shared" si="33"/>
        <v>0</v>
      </c>
      <c r="AE45" s="551">
        <f>Z45</f>
        <v>92000</v>
      </c>
      <c r="AF45" s="551">
        <f>ROUND(Z45*1.08,-3)</f>
        <v>99000</v>
      </c>
      <c r="AG45" s="802">
        <f t="shared" si="27"/>
        <v>107.60869565217391</v>
      </c>
      <c r="AH45" s="551">
        <v>0</v>
      </c>
      <c r="AI45" s="551">
        <f t="shared" si="34"/>
        <v>99000</v>
      </c>
      <c r="AJ45" s="551">
        <f t="shared" si="35"/>
        <v>0</v>
      </c>
      <c r="AK45" s="551">
        <f>AF45</f>
        <v>99000</v>
      </c>
      <c r="AL45" s="551">
        <f>ROUND(AF45*1.08,-3)</f>
        <v>107000</v>
      </c>
      <c r="AM45" s="802">
        <f t="shared" si="28"/>
        <v>108.08080808080808</v>
      </c>
      <c r="AN45" s="551">
        <v>0</v>
      </c>
      <c r="AO45" s="551">
        <f t="shared" si="36"/>
        <v>107000</v>
      </c>
      <c r="AP45" s="551">
        <f t="shared" si="37"/>
        <v>0</v>
      </c>
      <c r="AQ45" s="551">
        <f>AL45</f>
        <v>107000</v>
      </c>
    </row>
    <row r="46" spans="1:43" s="249" customFormat="1" x14ac:dyDescent="0.25">
      <c r="A46" s="148">
        <v>13</v>
      </c>
      <c r="B46" s="26" t="s">
        <v>518</v>
      </c>
      <c r="C46" s="282">
        <v>0</v>
      </c>
      <c r="D46" s="585">
        <v>0</v>
      </c>
      <c r="E46" s="585">
        <v>0</v>
      </c>
      <c r="F46" s="585">
        <v>0</v>
      </c>
      <c r="G46" s="585">
        <v>0</v>
      </c>
      <c r="H46" s="551">
        <v>200</v>
      </c>
      <c r="I46" s="802"/>
      <c r="J46" s="222"/>
      <c r="K46" s="222">
        <f>H46-J46</f>
        <v>200</v>
      </c>
      <c r="L46" s="222">
        <f>K46-M46</f>
        <v>200</v>
      </c>
      <c r="M46" s="222"/>
      <c r="N46" s="551">
        <v>0</v>
      </c>
      <c r="O46" s="802">
        <v>0</v>
      </c>
      <c r="P46" s="551">
        <f>0</f>
        <v>0</v>
      </c>
      <c r="Q46" s="551">
        <f>N46-P46</f>
        <v>0</v>
      </c>
      <c r="R46" s="551">
        <f>Q46-S46</f>
        <v>0</v>
      </c>
      <c r="S46" s="551">
        <v>0</v>
      </c>
      <c r="T46" s="551">
        <v>0</v>
      </c>
      <c r="U46" s="802"/>
      <c r="V46" s="551">
        <f>0</f>
        <v>0</v>
      </c>
      <c r="W46" s="551">
        <f t="shared" si="30"/>
        <v>0</v>
      </c>
      <c r="X46" s="551">
        <f t="shared" si="31"/>
        <v>0</v>
      </c>
      <c r="Y46" s="551">
        <v>0</v>
      </c>
      <c r="Z46" s="551">
        <v>0</v>
      </c>
      <c r="AA46" s="802"/>
      <c r="AB46" s="551">
        <f>0</f>
        <v>0</v>
      </c>
      <c r="AC46" s="551">
        <f t="shared" si="32"/>
        <v>0</v>
      </c>
      <c r="AD46" s="551">
        <f t="shared" si="33"/>
        <v>0</v>
      </c>
      <c r="AE46" s="551">
        <v>0</v>
      </c>
      <c r="AF46" s="551">
        <v>0</v>
      </c>
      <c r="AG46" s="802"/>
      <c r="AH46" s="551">
        <f>0</f>
        <v>0</v>
      </c>
      <c r="AI46" s="551">
        <f t="shared" si="34"/>
        <v>0</v>
      </c>
      <c r="AJ46" s="551">
        <f t="shared" si="35"/>
        <v>0</v>
      </c>
      <c r="AK46" s="551">
        <v>0</v>
      </c>
      <c r="AL46" s="551">
        <v>0</v>
      </c>
      <c r="AM46" s="802"/>
      <c r="AN46" s="551">
        <f>0</f>
        <v>0</v>
      </c>
      <c r="AO46" s="551">
        <f t="shared" si="36"/>
        <v>0</v>
      </c>
      <c r="AP46" s="551">
        <f t="shared" si="37"/>
        <v>0</v>
      </c>
      <c r="AQ46" s="551">
        <v>0</v>
      </c>
    </row>
    <row r="47" spans="1:43" s="249" customFormat="1" x14ac:dyDescent="0.25">
      <c r="A47" s="148">
        <v>14</v>
      </c>
      <c r="B47" s="26" t="s">
        <v>352</v>
      </c>
      <c r="C47" s="635">
        <v>310000</v>
      </c>
      <c r="D47" s="551">
        <v>85000</v>
      </c>
      <c r="E47" s="585">
        <f>C47-D47</f>
        <v>225000</v>
      </c>
      <c r="F47" s="585">
        <f>E47-G47</f>
        <v>104800</v>
      </c>
      <c r="G47" s="282">
        <v>120200</v>
      </c>
      <c r="H47" s="551">
        <v>270000</v>
      </c>
      <c r="I47" s="802">
        <f t="shared" si="24"/>
        <v>87.096774193548384</v>
      </c>
      <c r="J47" s="222">
        <v>65000</v>
      </c>
      <c r="K47" s="222">
        <f t="shared" si="22"/>
        <v>205000</v>
      </c>
      <c r="L47" s="222">
        <f>K47-M47</f>
        <v>57000</v>
      </c>
      <c r="M47" s="222">
        <f>ROUND('Thu NSH'!H31,-3)</f>
        <v>148000</v>
      </c>
      <c r="N47" s="551">
        <v>280000</v>
      </c>
      <c r="O47" s="802">
        <f t="shared" si="29"/>
        <v>103.7037037037037</v>
      </c>
      <c r="P47" s="551">
        <v>69000</v>
      </c>
      <c r="Q47" s="551">
        <f>N47-P47</f>
        <v>211000</v>
      </c>
      <c r="R47" s="551">
        <f>Q47-S47</f>
        <v>80500</v>
      </c>
      <c r="S47" s="551">
        <f>'Phụ lục số 5'!E27</f>
        <v>130500</v>
      </c>
      <c r="T47" s="551">
        <v>290000</v>
      </c>
      <c r="U47" s="802">
        <f t="shared" ref="U47:U54" si="38">T47/N47*100</f>
        <v>103.57142857142858</v>
      </c>
      <c r="V47" s="551">
        <v>73000</v>
      </c>
      <c r="W47" s="551">
        <f t="shared" si="30"/>
        <v>217000</v>
      </c>
      <c r="X47" s="551">
        <f t="shared" si="31"/>
        <v>96000</v>
      </c>
      <c r="Y47" s="551">
        <v>121000</v>
      </c>
      <c r="Z47" s="551">
        <v>300000</v>
      </c>
      <c r="AA47" s="802">
        <f t="shared" ref="AA47:AA54" si="39">Z47/T47*100</f>
        <v>103.44827586206897</v>
      </c>
      <c r="AB47" s="551">
        <v>77000</v>
      </c>
      <c r="AC47" s="551">
        <f t="shared" si="32"/>
        <v>223000</v>
      </c>
      <c r="AD47" s="551">
        <f t="shared" si="33"/>
        <v>99000</v>
      </c>
      <c r="AE47" s="551">
        <v>124000</v>
      </c>
      <c r="AF47" s="551">
        <v>310000</v>
      </c>
      <c r="AG47" s="802">
        <f t="shared" ref="AG47:AG54" si="40">AF47/Z47*100</f>
        <v>103.33333333333334</v>
      </c>
      <c r="AH47" s="551">
        <v>80000</v>
      </c>
      <c r="AI47" s="551">
        <f t="shared" si="34"/>
        <v>230000</v>
      </c>
      <c r="AJ47" s="551">
        <f t="shared" si="35"/>
        <v>103000</v>
      </c>
      <c r="AK47" s="551">
        <v>127000</v>
      </c>
      <c r="AL47" s="551">
        <v>320000</v>
      </c>
      <c r="AM47" s="802">
        <f t="shared" ref="AM47:AM54" si="41">AL47/AF47*100</f>
        <v>103.2258064516129</v>
      </c>
      <c r="AN47" s="551">
        <v>84000</v>
      </c>
      <c r="AO47" s="551">
        <f t="shared" si="36"/>
        <v>236000</v>
      </c>
      <c r="AP47" s="551">
        <f t="shared" si="37"/>
        <v>106000</v>
      </c>
      <c r="AQ47" s="551">
        <v>130000</v>
      </c>
    </row>
    <row r="48" spans="1:43" s="249" customFormat="1" x14ac:dyDescent="0.25">
      <c r="A48" s="148">
        <v>15</v>
      </c>
      <c r="B48" s="26" t="s">
        <v>1237</v>
      </c>
      <c r="C48" s="635">
        <v>6000</v>
      </c>
      <c r="D48" s="551">
        <v>0</v>
      </c>
      <c r="E48" s="585">
        <f>C48-D48</f>
        <v>6000</v>
      </c>
      <c r="F48" s="585">
        <f>E48-G48</f>
        <v>6000</v>
      </c>
      <c r="G48" s="585">
        <v>0</v>
      </c>
      <c r="H48" s="551">
        <v>11000</v>
      </c>
      <c r="I48" s="802"/>
      <c r="J48" s="222">
        <v>0</v>
      </c>
      <c r="K48" s="222">
        <f>H48-J48</f>
        <v>11000</v>
      </c>
      <c r="L48" s="222">
        <f>K48-M48</f>
        <v>11000</v>
      </c>
      <c r="M48" s="222">
        <v>0</v>
      </c>
      <c r="N48" s="551">
        <v>11000</v>
      </c>
      <c r="O48" s="802">
        <f>N48/H48*100</f>
        <v>100</v>
      </c>
      <c r="P48" s="551">
        <v>0</v>
      </c>
      <c r="Q48" s="551">
        <f>N48-P48</f>
        <v>11000</v>
      </c>
      <c r="R48" s="551">
        <f>Q48-S48</f>
        <v>11000</v>
      </c>
      <c r="S48" s="551">
        <v>0</v>
      </c>
      <c r="T48" s="551">
        <v>12000</v>
      </c>
      <c r="U48" s="802">
        <f t="shared" si="38"/>
        <v>109.09090909090908</v>
      </c>
      <c r="V48" s="551">
        <v>0</v>
      </c>
      <c r="W48" s="551">
        <f t="shared" si="30"/>
        <v>12000</v>
      </c>
      <c r="X48" s="551">
        <f t="shared" si="31"/>
        <v>12000</v>
      </c>
      <c r="Y48" s="551">
        <v>0</v>
      </c>
      <c r="Z48" s="551">
        <v>13000</v>
      </c>
      <c r="AA48" s="802">
        <f t="shared" si="39"/>
        <v>108.33333333333333</v>
      </c>
      <c r="AB48" s="551">
        <v>0</v>
      </c>
      <c r="AC48" s="551">
        <f t="shared" si="32"/>
        <v>13000</v>
      </c>
      <c r="AD48" s="551">
        <f t="shared" si="33"/>
        <v>13000</v>
      </c>
      <c r="AE48" s="551">
        <v>0</v>
      </c>
      <c r="AF48" s="551">
        <f>ROUND(Z48*1.08,-3)</f>
        <v>14000</v>
      </c>
      <c r="AG48" s="802">
        <f t="shared" si="40"/>
        <v>107.69230769230769</v>
      </c>
      <c r="AH48" s="551">
        <v>0</v>
      </c>
      <c r="AI48" s="551">
        <f t="shared" si="34"/>
        <v>14000</v>
      </c>
      <c r="AJ48" s="551">
        <f t="shared" si="35"/>
        <v>14000</v>
      </c>
      <c r="AK48" s="551">
        <v>0</v>
      </c>
      <c r="AL48" s="551">
        <f>ROUND(AF48*1.08,-3)</f>
        <v>15000</v>
      </c>
      <c r="AM48" s="802">
        <f t="shared" si="41"/>
        <v>107.14285714285714</v>
      </c>
      <c r="AN48" s="551">
        <v>0</v>
      </c>
      <c r="AO48" s="551">
        <f t="shared" si="36"/>
        <v>15000</v>
      </c>
      <c r="AP48" s="551">
        <f t="shared" si="37"/>
        <v>15000</v>
      </c>
      <c r="AQ48" s="551">
        <v>0</v>
      </c>
    </row>
    <row r="49" spans="1:43" s="249" customFormat="1" x14ac:dyDescent="0.25">
      <c r="A49" s="148">
        <v>16</v>
      </c>
      <c r="B49" s="26" t="s">
        <v>1238</v>
      </c>
      <c r="C49" s="635">
        <v>55000</v>
      </c>
      <c r="D49" s="551"/>
      <c r="E49" s="585">
        <f>C49-D49</f>
        <v>55000</v>
      </c>
      <c r="F49" s="585">
        <f>E49-G49</f>
        <v>55000</v>
      </c>
      <c r="G49" s="585">
        <v>0</v>
      </c>
      <c r="H49" s="551">
        <v>64000</v>
      </c>
      <c r="I49" s="802"/>
      <c r="J49" s="222">
        <v>0</v>
      </c>
      <c r="K49" s="222">
        <f>H49-J49</f>
        <v>64000</v>
      </c>
      <c r="L49" s="222">
        <f>K49-M49</f>
        <v>64000</v>
      </c>
      <c r="M49" s="222">
        <v>0</v>
      </c>
      <c r="N49" s="551">
        <v>70000</v>
      </c>
      <c r="O49" s="802">
        <f>N49/H49*100</f>
        <v>109.375</v>
      </c>
      <c r="P49" s="551">
        <v>0</v>
      </c>
      <c r="Q49" s="551">
        <f>N49-P49</f>
        <v>70000</v>
      </c>
      <c r="R49" s="551">
        <f>Q49-S49</f>
        <v>70000</v>
      </c>
      <c r="S49" s="551">
        <v>0</v>
      </c>
      <c r="T49" s="551">
        <v>75000</v>
      </c>
      <c r="U49" s="802">
        <f t="shared" si="38"/>
        <v>107.14285714285714</v>
      </c>
      <c r="V49" s="551">
        <v>0</v>
      </c>
      <c r="W49" s="551">
        <f t="shared" si="30"/>
        <v>75000</v>
      </c>
      <c r="X49" s="551">
        <f t="shared" si="31"/>
        <v>75000</v>
      </c>
      <c r="Y49" s="551">
        <v>0</v>
      </c>
      <c r="Z49" s="551">
        <v>80000</v>
      </c>
      <c r="AA49" s="802">
        <f t="shared" si="39"/>
        <v>106.66666666666667</v>
      </c>
      <c r="AB49" s="551">
        <v>0</v>
      </c>
      <c r="AC49" s="551">
        <f t="shared" si="32"/>
        <v>80000</v>
      </c>
      <c r="AD49" s="551">
        <f t="shared" si="33"/>
        <v>80000</v>
      </c>
      <c r="AE49" s="551">
        <v>0</v>
      </c>
      <c r="AF49" s="551">
        <v>85000</v>
      </c>
      <c r="AG49" s="802">
        <f t="shared" si="40"/>
        <v>106.25</v>
      </c>
      <c r="AH49" s="551">
        <v>0</v>
      </c>
      <c r="AI49" s="551">
        <f t="shared" si="34"/>
        <v>85000</v>
      </c>
      <c r="AJ49" s="551">
        <f t="shared" si="35"/>
        <v>85000</v>
      </c>
      <c r="AK49" s="551">
        <v>0</v>
      </c>
      <c r="AL49" s="551">
        <v>90000</v>
      </c>
      <c r="AM49" s="802">
        <f t="shared" si="41"/>
        <v>105.88235294117648</v>
      </c>
      <c r="AN49" s="551">
        <v>0</v>
      </c>
      <c r="AO49" s="551">
        <f t="shared" si="36"/>
        <v>90000</v>
      </c>
      <c r="AP49" s="551">
        <f t="shared" si="37"/>
        <v>90000</v>
      </c>
      <c r="AQ49" s="551">
        <v>0</v>
      </c>
    </row>
    <row r="50" spans="1:43" s="249" customFormat="1" x14ac:dyDescent="0.25">
      <c r="A50" s="148">
        <v>17</v>
      </c>
      <c r="B50" s="26" t="s">
        <v>420</v>
      </c>
      <c r="C50" s="282">
        <v>4000</v>
      </c>
      <c r="D50" s="585">
        <v>0</v>
      </c>
      <c r="E50" s="585">
        <f>F50+G50</f>
        <v>4000</v>
      </c>
      <c r="F50" s="585">
        <v>0</v>
      </c>
      <c r="G50" s="585">
        <f>C50</f>
        <v>4000</v>
      </c>
      <c r="H50" s="551">
        <v>3000</v>
      </c>
      <c r="I50" s="802">
        <f t="shared" si="24"/>
        <v>75</v>
      </c>
      <c r="J50" s="222">
        <f>0</f>
        <v>0</v>
      </c>
      <c r="K50" s="222">
        <f t="shared" si="22"/>
        <v>3000</v>
      </c>
      <c r="L50" s="222">
        <v>0</v>
      </c>
      <c r="M50" s="222">
        <f>H50</f>
        <v>3000</v>
      </c>
      <c r="N50" s="551">
        <f>'Phụ lục số 5'!C31</f>
        <v>3000</v>
      </c>
      <c r="O50" s="802">
        <f t="shared" si="29"/>
        <v>100</v>
      </c>
      <c r="P50" s="551">
        <f>0</f>
        <v>0</v>
      </c>
      <c r="Q50" s="551">
        <f t="shared" si="23"/>
        <v>3000</v>
      </c>
      <c r="R50" s="551">
        <v>0</v>
      </c>
      <c r="S50" s="551">
        <f>N50</f>
        <v>3000</v>
      </c>
      <c r="T50" s="551">
        <v>3000</v>
      </c>
      <c r="U50" s="802">
        <f t="shared" si="38"/>
        <v>100</v>
      </c>
      <c r="V50" s="551">
        <f>0</f>
        <v>0</v>
      </c>
      <c r="W50" s="551">
        <f t="shared" si="30"/>
        <v>3000</v>
      </c>
      <c r="X50" s="551">
        <v>0</v>
      </c>
      <c r="Y50" s="551">
        <f>T50</f>
        <v>3000</v>
      </c>
      <c r="Z50" s="551">
        <v>3000</v>
      </c>
      <c r="AA50" s="802">
        <f t="shared" si="39"/>
        <v>100</v>
      </c>
      <c r="AB50" s="551">
        <f>0</f>
        <v>0</v>
      </c>
      <c r="AC50" s="551">
        <f t="shared" si="32"/>
        <v>3000</v>
      </c>
      <c r="AD50" s="551">
        <v>0</v>
      </c>
      <c r="AE50" s="551">
        <f>Z50</f>
        <v>3000</v>
      </c>
      <c r="AF50" s="551">
        <v>3000</v>
      </c>
      <c r="AG50" s="802">
        <f t="shared" si="40"/>
        <v>100</v>
      </c>
      <c r="AH50" s="551">
        <f>0</f>
        <v>0</v>
      </c>
      <c r="AI50" s="551">
        <f t="shared" si="34"/>
        <v>3000</v>
      </c>
      <c r="AJ50" s="551">
        <v>0</v>
      </c>
      <c r="AK50" s="551">
        <f>AF50</f>
        <v>3000</v>
      </c>
      <c r="AL50" s="551">
        <v>3000</v>
      </c>
      <c r="AM50" s="802">
        <f t="shared" si="41"/>
        <v>100</v>
      </c>
      <c r="AN50" s="551">
        <f>0</f>
        <v>0</v>
      </c>
      <c r="AO50" s="551">
        <f t="shared" si="36"/>
        <v>3000</v>
      </c>
      <c r="AP50" s="551">
        <v>0</v>
      </c>
      <c r="AQ50" s="551">
        <f>AL50</f>
        <v>3000</v>
      </c>
    </row>
    <row r="51" spans="1:43" s="9" customFormat="1" x14ac:dyDescent="0.25">
      <c r="A51" s="148">
        <v>18</v>
      </c>
      <c r="B51" s="26" t="s">
        <v>226</v>
      </c>
      <c r="C51" s="282">
        <v>1460000</v>
      </c>
      <c r="D51" s="585"/>
      <c r="E51" s="585">
        <f>F51+G51</f>
        <v>1460000</v>
      </c>
      <c r="F51" s="585">
        <f>C51</f>
        <v>1460000</v>
      </c>
      <c r="G51" s="585">
        <v>0</v>
      </c>
      <c r="H51" s="551">
        <v>1800000</v>
      </c>
      <c r="I51" s="802">
        <f t="shared" si="24"/>
        <v>123.28767123287672</v>
      </c>
      <c r="J51" s="222">
        <v>0</v>
      </c>
      <c r="K51" s="222">
        <f t="shared" si="22"/>
        <v>1800000</v>
      </c>
      <c r="L51" s="222">
        <f>H51</f>
        <v>1800000</v>
      </c>
      <c r="M51" s="222">
        <v>0</v>
      </c>
      <c r="N51" s="551">
        <v>1500000</v>
      </c>
      <c r="O51" s="802">
        <f t="shared" si="29"/>
        <v>83.333333333333343</v>
      </c>
      <c r="P51" s="551">
        <v>0</v>
      </c>
      <c r="Q51" s="551">
        <f>SUM(R51:S51)</f>
        <v>1500000</v>
      </c>
      <c r="R51" s="551">
        <f>N51</f>
        <v>1500000</v>
      </c>
      <c r="S51" s="551">
        <v>0</v>
      </c>
      <c r="T51" s="551">
        <v>1550000</v>
      </c>
      <c r="U51" s="802">
        <f t="shared" si="38"/>
        <v>103.33333333333334</v>
      </c>
      <c r="V51" s="551">
        <v>0</v>
      </c>
      <c r="W51" s="551">
        <f>SUM(X51:Y51)</f>
        <v>1550000</v>
      </c>
      <c r="X51" s="551">
        <f>T51</f>
        <v>1550000</v>
      </c>
      <c r="Y51" s="551">
        <v>0</v>
      </c>
      <c r="Z51" s="551">
        <v>1600000</v>
      </c>
      <c r="AA51" s="802">
        <f t="shared" si="39"/>
        <v>103.2258064516129</v>
      </c>
      <c r="AB51" s="551">
        <v>0</v>
      </c>
      <c r="AC51" s="551">
        <f>SUM(AD51:AE51)</f>
        <v>1600000</v>
      </c>
      <c r="AD51" s="551">
        <f>Z51</f>
        <v>1600000</v>
      </c>
      <c r="AE51" s="551">
        <v>0</v>
      </c>
      <c r="AF51" s="551">
        <v>1600000</v>
      </c>
      <c r="AG51" s="802">
        <f t="shared" si="40"/>
        <v>100</v>
      </c>
      <c r="AH51" s="551">
        <v>0</v>
      </c>
      <c r="AI51" s="551">
        <f>SUM(AJ51:AK51)</f>
        <v>1600000</v>
      </c>
      <c r="AJ51" s="551">
        <f>AF51</f>
        <v>1600000</v>
      </c>
      <c r="AK51" s="551">
        <v>0</v>
      </c>
      <c r="AL51" s="551">
        <v>1600000</v>
      </c>
      <c r="AM51" s="802">
        <f t="shared" si="41"/>
        <v>100</v>
      </c>
      <c r="AN51" s="551">
        <v>0</v>
      </c>
      <c r="AO51" s="551">
        <f>SUM(AP51:AQ51)</f>
        <v>1600000</v>
      </c>
      <c r="AP51" s="551">
        <f>AL51</f>
        <v>1600000</v>
      </c>
      <c r="AQ51" s="551">
        <v>0</v>
      </c>
    </row>
    <row r="52" spans="1:43" s="37" customFormat="1" ht="18.75" customHeight="1" x14ac:dyDescent="0.25">
      <c r="A52" s="51" t="s">
        <v>421</v>
      </c>
      <c r="B52" s="41" t="s">
        <v>537</v>
      </c>
      <c r="C52" s="49">
        <f t="shared" ref="C52:H52" si="42">SUM(C53:C54)</f>
        <v>70000</v>
      </c>
      <c r="D52" s="571">
        <f t="shared" si="42"/>
        <v>70000</v>
      </c>
      <c r="E52" s="571">
        <f t="shared" si="42"/>
        <v>0</v>
      </c>
      <c r="F52" s="571">
        <f t="shared" si="42"/>
        <v>0</v>
      </c>
      <c r="G52" s="571">
        <f t="shared" si="42"/>
        <v>0</v>
      </c>
      <c r="H52" s="552">
        <f t="shared" si="42"/>
        <v>86000</v>
      </c>
      <c r="I52" s="801">
        <f t="shared" si="24"/>
        <v>122.85714285714286</v>
      </c>
      <c r="J52" s="225">
        <f>H52</f>
        <v>86000</v>
      </c>
      <c r="K52" s="225">
        <f>H52-J52</f>
        <v>0</v>
      </c>
      <c r="L52" s="225">
        <f>K52-M52</f>
        <v>0</v>
      </c>
      <c r="M52" s="225">
        <v>0</v>
      </c>
      <c r="N52" s="552">
        <f>SUM(N53:N54)</f>
        <v>105000</v>
      </c>
      <c r="O52" s="801">
        <f>N52/H52*100</f>
        <v>122.09302325581395</v>
      </c>
      <c r="P52" s="552">
        <f>N52</f>
        <v>105000</v>
      </c>
      <c r="Q52" s="552">
        <f>N52-P52</f>
        <v>0</v>
      </c>
      <c r="R52" s="552">
        <f>Q52-S52</f>
        <v>0</v>
      </c>
      <c r="S52" s="552">
        <v>0</v>
      </c>
      <c r="T52" s="552">
        <f>SUM(T53:T54)</f>
        <v>117000</v>
      </c>
      <c r="U52" s="801">
        <f t="shared" si="38"/>
        <v>111.42857142857143</v>
      </c>
      <c r="V52" s="552">
        <f>T52</f>
        <v>117000</v>
      </c>
      <c r="W52" s="552">
        <f>T52-V52</f>
        <v>0</v>
      </c>
      <c r="X52" s="552">
        <f>W52-Y52</f>
        <v>0</v>
      </c>
      <c r="Y52" s="552">
        <v>0</v>
      </c>
      <c r="Z52" s="552">
        <f>SUM(Z53:Z54)</f>
        <v>129000</v>
      </c>
      <c r="AA52" s="801">
        <f t="shared" si="39"/>
        <v>110.25641025641026</v>
      </c>
      <c r="AB52" s="552">
        <f>Z52</f>
        <v>129000</v>
      </c>
      <c r="AC52" s="552">
        <f>Z52-AB52</f>
        <v>0</v>
      </c>
      <c r="AD52" s="552">
        <f>AC52-AE52</f>
        <v>0</v>
      </c>
      <c r="AE52" s="552">
        <v>0</v>
      </c>
      <c r="AF52" s="552">
        <f>SUM(AF53:AF54)</f>
        <v>141000</v>
      </c>
      <c r="AG52" s="801">
        <f t="shared" si="40"/>
        <v>109.30232558139534</v>
      </c>
      <c r="AH52" s="552">
        <f>AF52</f>
        <v>141000</v>
      </c>
      <c r="AI52" s="552">
        <f>AF52-AH52</f>
        <v>0</v>
      </c>
      <c r="AJ52" s="552">
        <f>AI52-AK52</f>
        <v>0</v>
      </c>
      <c r="AK52" s="552">
        <v>0</v>
      </c>
      <c r="AL52" s="552">
        <f>SUM(AL53:AL54)</f>
        <v>153000</v>
      </c>
      <c r="AM52" s="801">
        <f t="shared" si="41"/>
        <v>108.51063829787233</v>
      </c>
      <c r="AN52" s="552">
        <f>AL52</f>
        <v>153000</v>
      </c>
      <c r="AO52" s="552">
        <f>AL52-AN52</f>
        <v>0</v>
      </c>
      <c r="AP52" s="552">
        <f>AO52-AQ52</f>
        <v>0</v>
      </c>
      <c r="AQ52" s="552">
        <v>0</v>
      </c>
    </row>
    <row r="53" spans="1:43" s="249" customFormat="1" x14ac:dyDescent="0.25">
      <c r="A53" s="250">
        <v>1</v>
      </c>
      <c r="B53" s="208" t="s">
        <v>726</v>
      </c>
      <c r="C53" s="542">
        <v>22900</v>
      </c>
      <c r="D53" s="586">
        <f>C53</f>
        <v>22900</v>
      </c>
      <c r="E53" s="586">
        <v>0</v>
      </c>
      <c r="F53" s="586">
        <v>0</v>
      </c>
      <c r="G53" s="586">
        <v>0</v>
      </c>
      <c r="H53" s="542">
        <v>29000</v>
      </c>
      <c r="I53" s="803"/>
      <c r="J53" s="219">
        <f>H53</f>
        <v>29000</v>
      </c>
      <c r="K53" s="219">
        <v>0</v>
      </c>
      <c r="L53" s="219">
        <v>0</v>
      </c>
      <c r="M53" s="219">
        <v>0</v>
      </c>
      <c r="N53" s="542">
        <v>10000</v>
      </c>
      <c r="O53" s="803">
        <f t="shared" si="29"/>
        <v>34.482758620689658</v>
      </c>
      <c r="P53" s="542">
        <f>N53</f>
        <v>10000</v>
      </c>
      <c r="Q53" s="542">
        <v>0</v>
      </c>
      <c r="R53" s="542">
        <v>0</v>
      </c>
      <c r="S53" s="542">
        <v>0</v>
      </c>
      <c r="T53" s="542">
        <f>ROUND(N53*1.1,-3)</f>
        <v>11000</v>
      </c>
      <c r="U53" s="803">
        <f t="shared" si="38"/>
        <v>110.00000000000001</v>
      </c>
      <c r="V53" s="542">
        <f>T53</f>
        <v>11000</v>
      </c>
      <c r="W53" s="542">
        <v>0</v>
      </c>
      <c r="X53" s="542">
        <v>0</v>
      </c>
      <c r="Y53" s="542">
        <v>0</v>
      </c>
      <c r="Z53" s="542">
        <f>ROUND(T53*1.1,-3)</f>
        <v>12000</v>
      </c>
      <c r="AA53" s="803">
        <f t="shared" si="39"/>
        <v>109.09090909090908</v>
      </c>
      <c r="AB53" s="542">
        <f>Z53</f>
        <v>12000</v>
      </c>
      <c r="AC53" s="542">
        <v>0</v>
      </c>
      <c r="AD53" s="542">
        <v>0</v>
      </c>
      <c r="AE53" s="542">
        <v>0</v>
      </c>
      <c r="AF53" s="542">
        <f>ROUND(Z53*1.1,-3)</f>
        <v>13000</v>
      </c>
      <c r="AG53" s="803">
        <f t="shared" si="40"/>
        <v>108.33333333333333</v>
      </c>
      <c r="AH53" s="542">
        <f>AF53</f>
        <v>13000</v>
      </c>
      <c r="AI53" s="542">
        <v>0</v>
      </c>
      <c r="AJ53" s="542">
        <v>0</v>
      </c>
      <c r="AK53" s="542">
        <v>0</v>
      </c>
      <c r="AL53" s="542">
        <f>ROUND(AF53*1.1,-3)</f>
        <v>14000</v>
      </c>
      <c r="AM53" s="803">
        <f t="shared" si="41"/>
        <v>107.69230769230769</v>
      </c>
      <c r="AN53" s="542">
        <f>AL53</f>
        <v>14000</v>
      </c>
      <c r="AO53" s="542">
        <v>0</v>
      </c>
      <c r="AP53" s="542">
        <v>0</v>
      </c>
      <c r="AQ53" s="542">
        <v>0</v>
      </c>
    </row>
    <row r="54" spans="1:43" s="249" customFormat="1" x14ac:dyDescent="0.25">
      <c r="A54" s="250">
        <v>2</v>
      </c>
      <c r="B54" s="208" t="s">
        <v>1239</v>
      </c>
      <c r="C54" s="542">
        <v>47100</v>
      </c>
      <c r="D54" s="586">
        <f>C54</f>
        <v>47100</v>
      </c>
      <c r="E54" s="586">
        <v>0</v>
      </c>
      <c r="F54" s="586">
        <v>0</v>
      </c>
      <c r="G54" s="586">
        <f>SUM(G55,G56)</f>
        <v>0</v>
      </c>
      <c r="H54" s="542">
        <f>53000+4000</f>
        <v>57000</v>
      </c>
      <c r="I54" s="803"/>
      <c r="J54" s="219">
        <f>H54</f>
        <v>57000</v>
      </c>
      <c r="K54" s="219">
        <v>0</v>
      </c>
      <c r="L54" s="219">
        <v>0</v>
      </c>
      <c r="M54" s="219">
        <v>0</v>
      </c>
      <c r="N54" s="542">
        <v>95000</v>
      </c>
      <c r="O54" s="803">
        <f t="shared" si="29"/>
        <v>166.66666666666669</v>
      </c>
      <c r="P54" s="542">
        <f>N54</f>
        <v>95000</v>
      </c>
      <c r="Q54" s="542">
        <v>0</v>
      </c>
      <c r="R54" s="542">
        <v>0</v>
      </c>
      <c r="S54" s="542">
        <v>0</v>
      </c>
      <c r="T54" s="542">
        <f>ROUND(N54*1.1,-3)+1000</f>
        <v>106000</v>
      </c>
      <c r="U54" s="803">
        <f t="shared" si="38"/>
        <v>111.57894736842104</v>
      </c>
      <c r="V54" s="542">
        <f>T54</f>
        <v>106000</v>
      </c>
      <c r="W54" s="542">
        <v>0</v>
      </c>
      <c r="X54" s="542">
        <v>0</v>
      </c>
      <c r="Y54" s="542">
        <v>0</v>
      </c>
      <c r="Z54" s="542">
        <f>ROUND(T54*1.1,-3)</f>
        <v>117000</v>
      </c>
      <c r="AA54" s="803">
        <f t="shared" si="39"/>
        <v>110.37735849056605</v>
      </c>
      <c r="AB54" s="542">
        <f>Z54</f>
        <v>117000</v>
      </c>
      <c r="AC54" s="542">
        <v>0</v>
      </c>
      <c r="AD54" s="542">
        <v>0</v>
      </c>
      <c r="AE54" s="542">
        <v>0</v>
      </c>
      <c r="AF54" s="542">
        <f>ROUND(Z54*1.1,-3)-1000</f>
        <v>128000</v>
      </c>
      <c r="AG54" s="803">
        <f t="shared" si="40"/>
        <v>109.40170940170941</v>
      </c>
      <c r="AH54" s="542">
        <f>AF54</f>
        <v>128000</v>
      </c>
      <c r="AI54" s="542">
        <v>0</v>
      </c>
      <c r="AJ54" s="542">
        <v>0</v>
      </c>
      <c r="AK54" s="542">
        <v>0</v>
      </c>
      <c r="AL54" s="542">
        <f>ROUND(AF54*1.1,-3)-2000</f>
        <v>139000</v>
      </c>
      <c r="AM54" s="803">
        <f t="shared" si="41"/>
        <v>108.59375</v>
      </c>
      <c r="AN54" s="542">
        <f>AL54</f>
        <v>139000</v>
      </c>
      <c r="AO54" s="542">
        <v>0</v>
      </c>
      <c r="AP54" s="542">
        <v>0</v>
      </c>
      <c r="AQ54" s="542">
        <v>0</v>
      </c>
    </row>
    <row r="55" spans="1:43" s="18" customFormat="1" x14ac:dyDescent="0.25">
      <c r="A55" s="51" t="s">
        <v>422</v>
      </c>
      <c r="B55" s="41" t="s">
        <v>423</v>
      </c>
      <c r="C55" s="552">
        <f t="shared" ref="C55:H55" si="43">SUM(C56:C57)</f>
        <v>6518796</v>
      </c>
      <c r="D55" s="571">
        <f t="shared" si="43"/>
        <v>0</v>
      </c>
      <c r="E55" s="571">
        <f t="shared" si="43"/>
        <v>6518796</v>
      </c>
      <c r="F55" s="571">
        <f>SUM(F56:F57)</f>
        <v>6518796</v>
      </c>
      <c r="G55" s="571">
        <f t="shared" si="43"/>
        <v>0</v>
      </c>
      <c r="H55" s="552">
        <f t="shared" si="43"/>
        <v>6518796</v>
      </c>
      <c r="I55" s="801">
        <f>H55/C55*100</f>
        <v>100</v>
      </c>
      <c r="J55" s="225">
        <f>SUM(J56:J57)</f>
        <v>0</v>
      </c>
      <c r="K55" s="225">
        <f>SUM(K56:K57)</f>
        <v>6518796</v>
      </c>
      <c r="L55" s="225">
        <f>SUM(L56:L57)</f>
        <v>6518796</v>
      </c>
      <c r="M55" s="225">
        <f>SUM(M56:M57)</f>
        <v>0</v>
      </c>
      <c r="N55" s="552">
        <f>SUM(N56:N57)</f>
        <v>6765596</v>
      </c>
      <c r="O55" s="801"/>
      <c r="P55" s="552">
        <f>SUM(P56:P57)</f>
        <v>0</v>
      </c>
      <c r="Q55" s="552">
        <f>SUM(Q56:Q57)</f>
        <v>6765596</v>
      </c>
      <c r="R55" s="552">
        <f>SUM(R56:R57)</f>
        <v>6765596</v>
      </c>
      <c r="S55" s="552">
        <f>SUM(S56:S57)</f>
        <v>0</v>
      </c>
      <c r="T55" s="552">
        <f>SUM(T56:T57)</f>
        <v>6791578</v>
      </c>
      <c r="U55" s="801"/>
      <c r="V55" s="552">
        <f>SUM(V56:V57)</f>
        <v>0</v>
      </c>
      <c r="W55" s="552">
        <f>SUM(W56:W57)</f>
        <v>6791578</v>
      </c>
      <c r="X55" s="552">
        <f>SUM(X56:X57)</f>
        <v>6791578</v>
      </c>
      <c r="Y55" s="552">
        <f>SUM(Y56:Y57)</f>
        <v>0</v>
      </c>
      <c r="Z55" s="552">
        <f>SUM(Z56:Z57)</f>
        <v>7060578</v>
      </c>
      <c r="AA55" s="801"/>
      <c r="AB55" s="552">
        <f>SUM(AB56:AB57)</f>
        <v>0</v>
      </c>
      <c r="AC55" s="552">
        <f>SUM(AC56:AC57)</f>
        <v>7060578</v>
      </c>
      <c r="AD55" s="552">
        <f>SUM(AD56:AD57)</f>
        <v>7060578</v>
      </c>
      <c r="AE55" s="552">
        <f>SUM(AE56:AE57)</f>
        <v>0</v>
      </c>
      <c r="AF55" s="552">
        <f>SUM(AF56:AF57)</f>
        <v>7377578</v>
      </c>
      <c r="AG55" s="801"/>
      <c r="AH55" s="552">
        <f>SUM(AH56:AH57)</f>
        <v>0</v>
      </c>
      <c r="AI55" s="552">
        <f>SUM(AI56:AI57)</f>
        <v>7377578</v>
      </c>
      <c r="AJ55" s="552">
        <f>SUM(AJ56:AJ57)</f>
        <v>7377578</v>
      </c>
      <c r="AK55" s="552">
        <f>SUM(AK56:AK57)</f>
        <v>0</v>
      </c>
      <c r="AL55" s="552">
        <f>SUM(AL56:AL57)</f>
        <v>7752578</v>
      </c>
      <c r="AM55" s="801"/>
      <c r="AN55" s="552">
        <f>SUM(AN56:AN57)</f>
        <v>0</v>
      </c>
      <c r="AO55" s="552">
        <f>SUM(AO56:AO57)</f>
        <v>7752578</v>
      </c>
      <c r="AP55" s="552">
        <f>SUM(AP56:AP57)</f>
        <v>7752578</v>
      </c>
      <c r="AQ55" s="552">
        <f>SUM(AQ56:AQ57)</f>
        <v>0</v>
      </c>
    </row>
    <row r="56" spans="1:43" s="18" customFormat="1" x14ac:dyDescent="0.25">
      <c r="A56" s="51" t="s">
        <v>409</v>
      </c>
      <c r="B56" s="41" t="s">
        <v>424</v>
      </c>
      <c r="C56" s="552">
        <f>4787126+96000</f>
        <v>4883126</v>
      </c>
      <c r="D56" s="571"/>
      <c r="E56" s="571">
        <f>F56+G56</f>
        <v>4883126</v>
      </c>
      <c r="F56" s="571">
        <f>C56</f>
        <v>4883126</v>
      </c>
      <c r="G56" s="571">
        <v>0</v>
      </c>
      <c r="H56" s="552">
        <f>C56</f>
        <v>4883126</v>
      </c>
      <c r="I56" s="801"/>
      <c r="J56" s="225">
        <v>0</v>
      </c>
      <c r="K56" s="225">
        <f>H56</f>
        <v>4883126</v>
      </c>
      <c r="L56" s="225">
        <f>K56</f>
        <v>4883126</v>
      </c>
      <c r="M56" s="225">
        <v>0</v>
      </c>
      <c r="N56" s="552">
        <f>4693126*1+94000+96000</f>
        <v>4883126</v>
      </c>
      <c r="O56" s="801"/>
      <c r="P56" s="552">
        <v>0</v>
      </c>
      <c r="Q56" s="552">
        <f>N56</f>
        <v>4883126</v>
      </c>
      <c r="R56" s="552">
        <f>Q56</f>
        <v>4883126</v>
      </c>
      <c r="S56" s="552">
        <v>0</v>
      </c>
      <c r="T56" s="552">
        <f>4693126*1+94000+96000</f>
        <v>4883126</v>
      </c>
      <c r="U56" s="801"/>
      <c r="V56" s="552">
        <v>0</v>
      </c>
      <c r="W56" s="552">
        <f>T56</f>
        <v>4883126</v>
      </c>
      <c r="X56" s="552">
        <f>W56</f>
        <v>4883126</v>
      </c>
      <c r="Y56" s="552">
        <v>0</v>
      </c>
      <c r="Z56" s="552">
        <f>4693126*1+94000+96000</f>
        <v>4883126</v>
      </c>
      <c r="AA56" s="801"/>
      <c r="AB56" s="552">
        <v>0</v>
      </c>
      <c r="AC56" s="552">
        <f>Z56</f>
        <v>4883126</v>
      </c>
      <c r="AD56" s="552">
        <f>AC56</f>
        <v>4883126</v>
      </c>
      <c r="AE56" s="552">
        <v>0</v>
      </c>
      <c r="AF56" s="552">
        <f>4693126*1+94000+96000</f>
        <v>4883126</v>
      </c>
      <c r="AG56" s="801"/>
      <c r="AH56" s="552">
        <v>0</v>
      </c>
      <c r="AI56" s="552">
        <f>AF56</f>
        <v>4883126</v>
      </c>
      <c r="AJ56" s="552">
        <f>AI56</f>
        <v>4883126</v>
      </c>
      <c r="AK56" s="552">
        <v>0</v>
      </c>
      <c r="AL56" s="552">
        <f>4693126*1+94000+96000</f>
        <v>4883126</v>
      </c>
      <c r="AM56" s="801"/>
      <c r="AN56" s="552">
        <v>0</v>
      </c>
      <c r="AO56" s="552">
        <f>AL56</f>
        <v>4883126</v>
      </c>
      <c r="AP56" s="552">
        <f>AO56</f>
        <v>4883126</v>
      </c>
      <c r="AQ56" s="552">
        <v>0</v>
      </c>
    </row>
    <row r="57" spans="1:43" s="18" customFormat="1" x14ac:dyDescent="0.25">
      <c r="A57" s="51" t="s">
        <v>421</v>
      </c>
      <c r="B57" s="41" t="s">
        <v>425</v>
      </c>
      <c r="C57" s="552">
        <f t="shared" ref="C57:H57" si="44">SUM(C58:C61)</f>
        <v>1635670</v>
      </c>
      <c r="D57" s="552">
        <f t="shared" si="44"/>
        <v>0</v>
      </c>
      <c r="E57" s="552">
        <f t="shared" si="44"/>
        <v>1635670</v>
      </c>
      <c r="F57" s="552">
        <f t="shared" si="44"/>
        <v>1635670</v>
      </c>
      <c r="G57" s="552">
        <f t="shared" si="44"/>
        <v>0</v>
      </c>
      <c r="H57" s="552">
        <f t="shared" si="44"/>
        <v>1635670</v>
      </c>
      <c r="I57" s="801"/>
      <c r="J57" s="225">
        <f>SUM(J58:J61)</f>
        <v>0</v>
      </c>
      <c r="K57" s="225">
        <f>H57</f>
        <v>1635670</v>
      </c>
      <c r="L57" s="225">
        <f>K57</f>
        <v>1635670</v>
      </c>
      <c r="M57" s="225">
        <f>SUM(M58:M61)</f>
        <v>0</v>
      </c>
      <c r="N57" s="552">
        <f>SUM(N58:N61)</f>
        <v>1882470</v>
      </c>
      <c r="O57" s="801"/>
      <c r="P57" s="552">
        <f>SUM(P58:P61)</f>
        <v>0</v>
      </c>
      <c r="Q57" s="552">
        <f>SUM(Q58:Q61)</f>
        <v>1882470</v>
      </c>
      <c r="R57" s="552">
        <f>SUM(R58:R61)</f>
        <v>1882470</v>
      </c>
      <c r="S57" s="552">
        <f>SUM(S58:S61)</f>
        <v>0</v>
      </c>
      <c r="T57" s="552">
        <f>SUM(T58:T61)</f>
        <v>1908452</v>
      </c>
      <c r="U57" s="801"/>
      <c r="V57" s="552">
        <f>SUM(V58:V61)</f>
        <v>0</v>
      </c>
      <c r="W57" s="552">
        <f>SUM(W58:W61)</f>
        <v>1908452</v>
      </c>
      <c r="X57" s="552">
        <f>SUM(X58:X61)</f>
        <v>1908452</v>
      </c>
      <c r="Y57" s="552">
        <f>SUM(Y58:Y61)</f>
        <v>0</v>
      </c>
      <c r="Z57" s="552">
        <f>SUM(Z58:Z61)</f>
        <v>2177452</v>
      </c>
      <c r="AA57" s="801"/>
      <c r="AB57" s="552">
        <f>SUM(AB58:AB61)</f>
        <v>0</v>
      </c>
      <c r="AC57" s="552">
        <f>SUM(AC58:AC61)</f>
        <v>2177452</v>
      </c>
      <c r="AD57" s="552">
        <f>SUM(AD58:AD61)</f>
        <v>2177452</v>
      </c>
      <c r="AE57" s="552">
        <f>SUM(AE58:AE61)</f>
        <v>0</v>
      </c>
      <c r="AF57" s="552">
        <f>SUM(AF58:AF61)</f>
        <v>2494452</v>
      </c>
      <c r="AG57" s="801"/>
      <c r="AH57" s="552">
        <f>SUM(AH58:AH61)</f>
        <v>0</v>
      </c>
      <c r="AI57" s="552">
        <f>SUM(AI58:AI61)</f>
        <v>2494452</v>
      </c>
      <c r="AJ57" s="552">
        <f>SUM(AJ58:AJ61)</f>
        <v>2494452</v>
      </c>
      <c r="AK57" s="552">
        <f>SUM(AK58:AK61)</f>
        <v>0</v>
      </c>
      <c r="AL57" s="552">
        <f>SUM(AL58:AL61)</f>
        <v>2869452</v>
      </c>
      <c r="AM57" s="801"/>
      <c r="AN57" s="552">
        <f>SUM(AN58:AN61)</f>
        <v>0</v>
      </c>
      <c r="AO57" s="552">
        <f>SUM(AO58:AO61)</f>
        <v>2869452</v>
      </c>
      <c r="AP57" s="552">
        <f>SUM(AP58:AP61)</f>
        <v>2869452</v>
      </c>
      <c r="AQ57" s="552">
        <f>SUM(AQ58:AQ61)</f>
        <v>0</v>
      </c>
    </row>
    <row r="58" spans="1:43" s="9" customFormat="1" x14ac:dyDescent="0.25">
      <c r="A58" s="250">
        <v>1</v>
      </c>
      <c r="B58" s="208" t="s">
        <v>317</v>
      </c>
      <c r="C58" s="467">
        <v>426575</v>
      </c>
      <c r="D58" s="542">
        <v>0</v>
      </c>
      <c r="E58" s="542">
        <f t="shared" ref="E58:E63" si="45">F58+G58</f>
        <v>426575</v>
      </c>
      <c r="F58" s="542">
        <f>C58</f>
        <v>426575</v>
      </c>
      <c r="G58" s="542">
        <v>0</v>
      </c>
      <c r="H58" s="542">
        <f>C58</f>
        <v>426575</v>
      </c>
      <c r="I58" s="803"/>
      <c r="J58" s="219">
        <v>0</v>
      </c>
      <c r="K58" s="219">
        <f t="shared" ref="K58:K63" si="46">H58-J58</f>
        <v>426575</v>
      </c>
      <c r="L58" s="219">
        <f t="shared" ref="L58:L63" si="47">K58-M58</f>
        <v>426575</v>
      </c>
      <c r="M58" s="219">
        <v>0</v>
      </c>
      <c r="N58" s="542">
        <f>Q58</f>
        <v>0</v>
      </c>
      <c r="O58" s="803"/>
      <c r="P58" s="542">
        <v>0</v>
      </c>
      <c r="Q58" s="542">
        <f>R58+S58</f>
        <v>0</v>
      </c>
      <c r="R58" s="542">
        <f>'Phụ lục số 8'!C7</f>
        <v>0</v>
      </c>
      <c r="S58" s="542">
        <v>0</v>
      </c>
      <c r="T58" s="542">
        <f>ROUND(N58*(1+'Chi từ NSTW bổ sung 2010-2025'!$R$12),-3)</f>
        <v>0</v>
      </c>
      <c r="U58" s="803"/>
      <c r="V58" s="542">
        <v>0</v>
      </c>
      <c r="W58" s="542">
        <f>T58-V58</f>
        <v>0</v>
      </c>
      <c r="X58" s="542">
        <f>W58-Y58</f>
        <v>0</v>
      </c>
      <c r="Y58" s="542">
        <v>0</v>
      </c>
      <c r="Z58" s="542">
        <f>ROUND(T58*(1+'Chi từ NSTW bổ sung 2010-2025'!$R$12),-3)</f>
        <v>0</v>
      </c>
      <c r="AA58" s="803"/>
      <c r="AB58" s="542">
        <v>0</v>
      </c>
      <c r="AC58" s="542">
        <f>Z58-AB58</f>
        <v>0</v>
      </c>
      <c r="AD58" s="542">
        <f>AC58-AE58</f>
        <v>0</v>
      </c>
      <c r="AE58" s="542">
        <v>0</v>
      </c>
      <c r="AF58" s="542">
        <f>ROUND(Z58*(1+'Chi từ NSTW bổ sung 2010-2025'!$R$12),-3)</f>
        <v>0</v>
      </c>
      <c r="AG58" s="803"/>
      <c r="AH58" s="542">
        <v>0</v>
      </c>
      <c r="AI58" s="542">
        <f>AF58-AH58</f>
        <v>0</v>
      </c>
      <c r="AJ58" s="542">
        <f>AI58-AK58</f>
        <v>0</v>
      </c>
      <c r="AK58" s="542">
        <v>0</v>
      </c>
      <c r="AL58" s="542">
        <f>ROUND(AF58*(1+'Chi từ NSTW bổ sung 2010-2025'!$R$12),-3)</f>
        <v>0</v>
      </c>
      <c r="AM58" s="803"/>
      <c r="AN58" s="542">
        <v>0</v>
      </c>
      <c r="AO58" s="542">
        <f>AL58-AN58</f>
        <v>0</v>
      </c>
      <c r="AP58" s="542">
        <f>AO58-AQ58</f>
        <v>0</v>
      </c>
      <c r="AQ58" s="542">
        <v>0</v>
      </c>
    </row>
    <row r="59" spans="1:43" s="25" customFormat="1" x14ac:dyDescent="0.25">
      <c r="A59" s="251">
        <v>2</v>
      </c>
      <c r="B59" s="208" t="s">
        <v>505</v>
      </c>
      <c r="C59" s="467">
        <v>906600</v>
      </c>
      <c r="D59" s="542">
        <v>0</v>
      </c>
      <c r="E59" s="542">
        <f t="shared" si="45"/>
        <v>906600</v>
      </c>
      <c r="F59" s="542">
        <f>C59</f>
        <v>906600</v>
      </c>
      <c r="G59" s="542">
        <v>0</v>
      </c>
      <c r="H59" s="542">
        <f>C59</f>
        <v>906600</v>
      </c>
      <c r="I59" s="803"/>
      <c r="J59" s="219">
        <v>0</v>
      </c>
      <c r="K59" s="219">
        <f t="shared" si="46"/>
        <v>906600</v>
      </c>
      <c r="L59" s="219">
        <f t="shared" si="47"/>
        <v>906600</v>
      </c>
      <c r="M59" s="219">
        <v>0</v>
      </c>
      <c r="N59" s="542">
        <f>Q59</f>
        <v>1263824</v>
      </c>
      <c r="O59" s="803"/>
      <c r="P59" s="542">
        <v>0</v>
      </c>
      <c r="Q59" s="542">
        <f>R59+S59</f>
        <v>1263824</v>
      </c>
      <c r="R59" s="542">
        <f>'Phụ lục số 8'!C11</f>
        <v>1263824</v>
      </c>
      <c r="S59" s="542">
        <v>0</v>
      </c>
      <c r="T59" s="542">
        <f>ROUND(N59*(1+'Chi từ NSTW bổ sung 2010-2025'!$R$13),-3)</f>
        <v>1492000</v>
      </c>
      <c r="U59" s="803"/>
      <c r="V59" s="542">
        <v>0</v>
      </c>
      <c r="W59" s="542">
        <f>T59-V59</f>
        <v>1492000</v>
      </c>
      <c r="X59" s="542">
        <f>W59-Y59</f>
        <v>1492000</v>
      </c>
      <c r="Y59" s="542">
        <v>0</v>
      </c>
      <c r="Z59" s="542">
        <f>ROUND(T59*(1+'Chi từ NSTW bổ sung 2010-2025'!$R$13),-3)</f>
        <v>1761000</v>
      </c>
      <c r="AA59" s="803"/>
      <c r="AB59" s="542">
        <v>0</v>
      </c>
      <c r="AC59" s="542">
        <f>Z59-AB59</f>
        <v>1761000</v>
      </c>
      <c r="AD59" s="542">
        <f>AC59-AE59</f>
        <v>1761000</v>
      </c>
      <c r="AE59" s="542">
        <v>0</v>
      </c>
      <c r="AF59" s="542">
        <f>ROUND(Z59*(1+'Chi từ NSTW bổ sung 2010-2025'!$R$13),-3)</f>
        <v>2078000</v>
      </c>
      <c r="AG59" s="803"/>
      <c r="AH59" s="542">
        <v>0</v>
      </c>
      <c r="AI59" s="542">
        <f>AF59-AH59</f>
        <v>2078000</v>
      </c>
      <c r="AJ59" s="542">
        <f>AI59-AK59</f>
        <v>2078000</v>
      </c>
      <c r="AK59" s="542">
        <v>0</v>
      </c>
      <c r="AL59" s="542">
        <f>ROUND(AF59*(1+'Chi từ NSTW bổ sung 2010-2025'!$R$13),-3)</f>
        <v>2453000</v>
      </c>
      <c r="AM59" s="803"/>
      <c r="AN59" s="542">
        <v>0</v>
      </c>
      <c r="AO59" s="542">
        <f>AL59-AN59</f>
        <v>2453000</v>
      </c>
      <c r="AP59" s="542">
        <f>AO59-AQ59</f>
        <v>2453000</v>
      </c>
      <c r="AQ59" s="542">
        <v>0</v>
      </c>
    </row>
    <row r="60" spans="1:43" s="25" customFormat="1" ht="70.5" customHeight="1" x14ac:dyDescent="0.25">
      <c r="A60" s="251">
        <v>3</v>
      </c>
      <c r="B60" s="252" t="s">
        <v>501</v>
      </c>
      <c r="C60" s="467">
        <v>275545</v>
      </c>
      <c r="D60" s="542"/>
      <c r="E60" s="542">
        <f t="shared" si="45"/>
        <v>275545</v>
      </c>
      <c r="F60" s="542">
        <f>C60</f>
        <v>275545</v>
      </c>
      <c r="G60" s="542">
        <v>0</v>
      </c>
      <c r="H60" s="542">
        <f>C60</f>
        <v>275545</v>
      </c>
      <c r="I60" s="803"/>
      <c r="J60" s="219">
        <v>0</v>
      </c>
      <c r="K60" s="219">
        <f t="shared" si="46"/>
        <v>275545</v>
      </c>
      <c r="L60" s="219">
        <f t="shared" si="47"/>
        <v>275545</v>
      </c>
      <c r="M60" s="219">
        <v>0</v>
      </c>
      <c r="N60" s="542">
        <f>Q60</f>
        <v>416452</v>
      </c>
      <c r="O60" s="803"/>
      <c r="P60" s="542">
        <v>0</v>
      </c>
      <c r="Q60" s="542">
        <f>R60+S60</f>
        <v>416452</v>
      </c>
      <c r="R60" s="542">
        <f>'Phụ lục số 8'!E19</f>
        <v>416452</v>
      </c>
      <c r="S60" s="542">
        <v>0</v>
      </c>
      <c r="T60" s="542">
        <f>N60</f>
        <v>416452</v>
      </c>
      <c r="U60" s="803"/>
      <c r="V60" s="542">
        <v>0</v>
      </c>
      <c r="W60" s="542">
        <f>T60-V60</f>
        <v>416452</v>
      </c>
      <c r="X60" s="542">
        <f>W60-Y60</f>
        <v>416452</v>
      </c>
      <c r="Y60" s="542">
        <v>0</v>
      </c>
      <c r="Z60" s="542">
        <f>T60</f>
        <v>416452</v>
      </c>
      <c r="AA60" s="803"/>
      <c r="AB60" s="542">
        <v>0</v>
      </c>
      <c r="AC60" s="542">
        <f>Z60-AB60</f>
        <v>416452</v>
      </c>
      <c r="AD60" s="542">
        <f>AC60-AE60</f>
        <v>416452</v>
      </c>
      <c r="AE60" s="542">
        <v>0</v>
      </c>
      <c r="AF60" s="542">
        <f>Z60</f>
        <v>416452</v>
      </c>
      <c r="AG60" s="803"/>
      <c r="AH60" s="542">
        <v>0</v>
      </c>
      <c r="AI60" s="542">
        <f>AF60-AH60</f>
        <v>416452</v>
      </c>
      <c r="AJ60" s="542">
        <f>AI60-AK60</f>
        <v>416452</v>
      </c>
      <c r="AK60" s="542">
        <v>0</v>
      </c>
      <c r="AL60" s="542">
        <f>AF60</f>
        <v>416452</v>
      </c>
      <c r="AM60" s="803"/>
      <c r="AN60" s="542">
        <v>0</v>
      </c>
      <c r="AO60" s="542">
        <f>AL60-AN60</f>
        <v>416452</v>
      </c>
      <c r="AP60" s="542">
        <f>AO60-AQ60</f>
        <v>416452</v>
      </c>
      <c r="AQ60" s="542">
        <v>0</v>
      </c>
    </row>
    <row r="61" spans="1:43" s="25" customFormat="1" x14ac:dyDescent="0.25">
      <c r="A61" s="251">
        <v>4</v>
      </c>
      <c r="B61" s="208" t="s">
        <v>619</v>
      </c>
      <c r="C61" s="467">
        <f>26950</f>
        <v>26950</v>
      </c>
      <c r="D61" s="586">
        <v>0</v>
      </c>
      <c r="E61" s="542">
        <f t="shared" si="45"/>
        <v>26950</v>
      </c>
      <c r="F61" s="586">
        <f>C61</f>
        <v>26950</v>
      </c>
      <c r="G61" s="586">
        <v>0</v>
      </c>
      <c r="H61" s="542">
        <f>C61</f>
        <v>26950</v>
      </c>
      <c r="I61" s="803"/>
      <c r="J61" s="219"/>
      <c r="K61" s="219">
        <f t="shared" si="46"/>
        <v>26950</v>
      </c>
      <c r="L61" s="219">
        <f t="shared" si="47"/>
        <v>26950</v>
      </c>
      <c r="M61" s="219"/>
      <c r="N61" s="542">
        <f>IF('Phụ lục số 3-thu bs'!AD18&gt;26950,0,26950-'Phụ lục số 3-thu bs'!AD18)-38887</f>
        <v>202194</v>
      </c>
      <c r="O61" s="803"/>
      <c r="P61" s="542"/>
      <c r="Q61" s="542">
        <f>R61+S61</f>
        <v>202194</v>
      </c>
      <c r="R61" s="542">
        <f>N61</f>
        <v>202194</v>
      </c>
      <c r="S61" s="542">
        <v>0</v>
      </c>
      <c r="T61" s="542">
        <f>IF('Phụ lục số 3-thu bs'!AG18&gt;26950,0,26950-'Phụ lục số 3-thu bs'!AG18)</f>
        <v>0</v>
      </c>
      <c r="U61" s="803"/>
      <c r="V61" s="542"/>
      <c r="W61" s="542">
        <f>X61+Y61</f>
        <v>0</v>
      </c>
      <c r="X61" s="542">
        <f>T61</f>
        <v>0</v>
      </c>
      <c r="Y61" s="542">
        <v>0</v>
      </c>
      <c r="Z61" s="542">
        <f>IF('Phụ lục số 3-thu bs'!AJ18&gt;26950,0,26950-'Phụ lục số 3-thu bs'!AJ18)</f>
        <v>0</v>
      </c>
      <c r="AA61" s="803"/>
      <c r="AB61" s="542"/>
      <c r="AC61" s="542">
        <f>AD61+AE61</f>
        <v>0</v>
      </c>
      <c r="AD61" s="542">
        <f>Z61</f>
        <v>0</v>
      </c>
      <c r="AE61" s="542">
        <v>0</v>
      </c>
      <c r="AF61" s="542">
        <f>IF('Phụ lục số 3-thu bs'!AM18&gt;26950,0,26950-'Phụ lục số 3-thu bs'!AM18)</f>
        <v>0</v>
      </c>
      <c r="AG61" s="803"/>
      <c r="AH61" s="542"/>
      <c r="AI61" s="542">
        <f>AJ61+AK61</f>
        <v>0</v>
      </c>
      <c r="AJ61" s="542">
        <f>AF61</f>
        <v>0</v>
      </c>
      <c r="AK61" s="542">
        <v>0</v>
      </c>
      <c r="AL61" s="542">
        <f>IF('Phụ lục số 3-thu bs'!AP18&gt;26950,0,26950-'Phụ lục số 3-thu bs'!AP18)</f>
        <v>0</v>
      </c>
      <c r="AM61" s="803"/>
      <c r="AN61" s="542"/>
      <c r="AO61" s="542">
        <f>AP61+AQ61</f>
        <v>0</v>
      </c>
      <c r="AP61" s="542">
        <f>AL61</f>
        <v>0</v>
      </c>
      <c r="AQ61" s="542">
        <v>0</v>
      </c>
    </row>
    <row r="62" spans="1:43" s="18" customFormat="1" ht="15.75" customHeight="1" x14ac:dyDescent="0.25">
      <c r="A62" s="51" t="s">
        <v>426</v>
      </c>
      <c r="B62" s="41" t="s">
        <v>318</v>
      </c>
      <c r="C62" s="552">
        <f>F62+G62</f>
        <v>418294</v>
      </c>
      <c r="D62" s="636">
        <v>0</v>
      </c>
      <c r="E62" s="49">
        <f t="shared" si="45"/>
        <v>418294</v>
      </c>
      <c r="F62" s="552">
        <v>170545</v>
      </c>
      <c r="G62" s="41">
        <v>247749</v>
      </c>
      <c r="H62" s="552">
        <f>L62+M62</f>
        <v>418294</v>
      </c>
      <c r="I62" s="801"/>
      <c r="J62" s="225"/>
      <c r="K62" s="225">
        <f t="shared" si="46"/>
        <v>418294</v>
      </c>
      <c r="L62" s="225">
        <v>170545</v>
      </c>
      <c r="M62" s="225">
        <f>G62</f>
        <v>247749</v>
      </c>
      <c r="N62" s="552">
        <f>SUM(Q62)</f>
        <v>816873</v>
      </c>
      <c r="O62" s="804"/>
      <c r="P62" s="552">
        <v>0</v>
      </c>
      <c r="Q62" s="552">
        <f>R62+S62</f>
        <v>816873</v>
      </c>
      <c r="R62" s="552">
        <v>278759</v>
      </c>
      <c r="S62" s="552">
        <f>'Phụ lục số 5'!C49</f>
        <v>538114</v>
      </c>
      <c r="T62" s="552">
        <f>X62+Y62</f>
        <v>1247986</v>
      </c>
      <c r="U62" s="804"/>
      <c r="V62" s="552"/>
      <c r="W62" s="552">
        <f>SUM(X62:Y62)</f>
        <v>1247986</v>
      </c>
      <c r="X62" s="552">
        <v>412977</v>
      </c>
      <c r="Y62" s="552">
        <f>'Phụ lục số 2'!O35+228260</f>
        <v>835009</v>
      </c>
      <c r="Z62" s="552">
        <f>AD62+AE62</f>
        <v>1470641</v>
      </c>
      <c r="AA62" s="804"/>
      <c r="AB62" s="552">
        <v>0</v>
      </c>
      <c r="AC62" s="552">
        <f>SUM(AD62:AE62)</f>
        <v>1470641</v>
      </c>
      <c r="AD62" s="552">
        <v>455977</v>
      </c>
      <c r="AE62" s="552">
        <f>'Phụ lục số 2'!T35+293070</f>
        <v>1014664</v>
      </c>
      <c r="AF62" s="552">
        <f>AJ62+AK62</f>
        <v>1580831</v>
      </c>
      <c r="AG62" s="804"/>
      <c r="AH62" s="552">
        <v>0</v>
      </c>
      <c r="AI62" s="552">
        <f>SUM(AJ62:AK62)</f>
        <v>1580831</v>
      </c>
      <c r="AJ62" s="552">
        <v>384667</v>
      </c>
      <c r="AK62" s="552">
        <f>'Phụ lục số 2'!Y35+465915</f>
        <v>1196164</v>
      </c>
      <c r="AL62" s="552">
        <f>AP62+AQ62</f>
        <v>1678891</v>
      </c>
      <c r="AM62" s="804"/>
      <c r="AN62" s="552">
        <v>0</v>
      </c>
      <c r="AO62" s="552">
        <f>SUM(AP62:AQ62)</f>
        <v>1678891</v>
      </c>
      <c r="AP62" s="552">
        <v>302727</v>
      </c>
      <c r="AQ62" s="552">
        <f>'Phụ lục số 2'!AD35+629415</f>
        <v>1376164</v>
      </c>
    </row>
    <row r="63" spans="1:43" s="18" customFormat="1" ht="15.75" customHeight="1" x14ac:dyDescent="0.25">
      <c r="A63" s="51" t="s">
        <v>464</v>
      </c>
      <c r="B63" s="41" t="s">
        <v>919</v>
      </c>
      <c r="C63" s="636">
        <f>D63+E63</f>
        <v>30900</v>
      </c>
      <c r="D63" s="636"/>
      <c r="E63" s="49">
        <f t="shared" si="45"/>
        <v>30900</v>
      </c>
      <c r="F63" s="552">
        <v>30900</v>
      </c>
      <c r="G63" s="41"/>
      <c r="H63" s="552">
        <f>C63</f>
        <v>30900</v>
      </c>
      <c r="I63" s="801"/>
      <c r="J63" s="225"/>
      <c r="K63" s="225">
        <f t="shared" si="46"/>
        <v>30900</v>
      </c>
      <c r="L63" s="225">
        <f t="shared" si="47"/>
        <v>30900</v>
      </c>
      <c r="M63" s="225">
        <f>'[3]Thu NSNN'!G63+'[3]Thu NSNN'!S63</f>
        <v>0</v>
      </c>
      <c r="N63" s="552">
        <f>Q63</f>
        <v>61200</v>
      </c>
      <c r="O63" s="804"/>
      <c r="P63" s="552"/>
      <c r="Q63" s="552">
        <f>SUM(R63:S63)</f>
        <v>61200</v>
      </c>
      <c r="R63" s="552">
        <f>61200</f>
        <v>61200</v>
      </c>
      <c r="S63" s="552">
        <v>0</v>
      </c>
      <c r="T63" s="552">
        <f>W63</f>
        <v>96096</v>
      </c>
      <c r="U63" s="804"/>
      <c r="V63" s="552"/>
      <c r="W63" s="552">
        <f>SUM(X63:Y63)</f>
        <v>96096</v>
      </c>
      <c r="X63" s="552">
        <v>96096</v>
      </c>
      <c r="Y63" s="552">
        <v>0</v>
      </c>
      <c r="Z63" s="552">
        <f>AC63</f>
        <v>0</v>
      </c>
      <c r="AA63" s="804"/>
      <c r="AB63" s="552"/>
      <c r="AC63" s="552">
        <f>SUM(AD63:AE63)</f>
        <v>0</v>
      </c>
      <c r="AD63" s="552">
        <v>0</v>
      </c>
      <c r="AE63" s="552">
        <v>0</v>
      </c>
      <c r="AF63" s="552">
        <f>AI63</f>
        <v>0</v>
      </c>
      <c r="AG63" s="804"/>
      <c r="AH63" s="552"/>
      <c r="AI63" s="552">
        <f>SUM(AJ63:AK63)</f>
        <v>0</v>
      </c>
      <c r="AJ63" s="552"/>
      <c r="AK63" s="552">
        <v>0</v>
      </c>
      <c r="AL63" s="552">
        <f>AO63</f>
        <v>0</v>
      </c>
      <c r="AM63" s="804"/>
      <c r="AN63" s="552"/>
      <c r="AO63" s="552">
        <f>SUM(AP63:AQ63)</f>
        <v>0</v>
      </c>
      <c r="AP63" s="552"/>
      <c r="AQ63" s="552">
        <v>0</v>
      </c>
    </row>
    <row r="64" spans="1:43" s="18" customFormat="1" x14ac:dyDescent="0.25">
      <c r="A64" s="62"/>
      <c r="B64" s="35" t="s">
        <v>918</v>
      </c>
      <c r="C64" s="553">
        <f t="shared" ref="C64:H64" si="48">SUM(C12,C55,C62,C63)</f>
        <v>15462990</v>
      </c>
      <c r="D64" s="553">
        <f t="shared" si="48"/>
        <v>1776300</v>
      </c>
      <c r="E64" s="553">
        <f t="shared" si="48"/>
        <v>13686690</v>
      </c>
      <c r="F64" s="553">
        <f t="shared" si="48"/>
        <v>10930506</v>
      </c>
      <c r="G64" s="553">
        <f t="shared" si="48"/>
        <v>2756184</v>
      </c>
      <c r="H64" s="553">
        <f t="shared" si="48"/>
        <v>15017990</v>
      </c>
      <c r="I64" s="805"/>
      <c r="J64" s="227">
        <f>SUM(J12,J55,J62,J63)</f>
        <v>1529640</v>
      </c>
      <c r="K64" s="227">
        <f>SUM(K12,K55,K62,K63)</f>
        <v>13488350</v>
      </c>
      <c r="L64" s="227">
        <f>SUM(L12,L55,L62,L63)</f>
        <v>10861801</v>
      </c>
      <c r="M64" s="227">
        <f>SUM(M12,M55,M62,M63)</f>
        <v>2626549</v>
      </c>
      <c r="N64" s="553">
        <f>SUM(N12,N55,N62,N63)</f>
        <v>15784569</v>
      </c>
      <c r="O64" s="805"/>
      <c r="P64" s="553">
        <f>SUM(P12,P55,P62,P63)</f>
        <v>1660460</v>
      </c>
      <c r="Q64" s="553">
        <f>SUM(Q12,Q55,Q62,Q63)</f>
        <v>14124109</v>
      </c>
      <c r="R64" s="553">
        <f>SUM(R12,R55,R62,R63)</f>
        <v>11208685</v>
      </c>
      <c r="S64" s="553">
        <f>SUM(S12,S55,S62,S63)</f>
        <v>2915424</v>
      </c>
      <c r="T64" s="553">
        <f>SUM(T12,T55,T62,T63)</f>
        <v>16992660</v>
      </c>
      <c r="U64" s="805"/>
      <c r="V64" s="553">
        <f>SUM(V12,V55,V62,V63)</f>
        <v>1806000</v>
      </c>
      <c r="W64" s="553">
        <f>SUM(W12,W55,W62,W63)</f>
        <v>15186660</v>
      </c>
      <c r="X64" s="553">
        <f>SUM(X12,X55,X62,X63)</f>
        <v>11694651</v>
      </c>
      <c r="Y64" s="553">
        <f>SUM(Y12,Y55,Y62,Y63)</f>
        <v>3492009</v>
      </c>
      <c r="Z64" s="553">
        <f>SUM(Z12,Z55,Z62,Z63)</f>
        <v>18082219</v>
      </c>
      <c r="AA64" s="805"/>
      <c r="AB64" s="553">
        <f>SUM(AB12,AB55,AB62,AB63)</f>
        <v>1981000</v>
      </c>
      <c r="AC64" s="553">
        <f>SUM(AC12,AC55,AC62,AC63)</f>
        <v>16101219</v>
      </c>
      <c r="AD64" s="553">
        <f>SUM(AD12,AD55,AD62,AD63)</f>
        <v>12182555</v>
      </c>
      <c r="AE64" s="553">
        <f>SUM(AE12,AE55,AE62,AE63)</f>
        <v>3918664</v>
      </c>
      <c r="AF64" s="553">
        <f>SUM(AF12,AF55,AF62,AF63)</f>
        <v>19219409</v>
      </c>
      <c r="AG64" s="805"/>
      <c r="AH64" s="553">
        <f>SUM(AH12,AH55,AH62,AH63)</f>
        <v>2174000</v>
      </c>
      <c r="AI64" s="553">
        <f>SUM(AI12,AI55,AI62,AI63)</f>
        <v>17045409</v>
      </c>
      <c r="AJ64" s="553">
        <f>SUM(AJ12,AJ55,AJ62,AJ63)</f>
        <v>12665245</v>
      </c>
      <c r="AK64" s="553">
        <f>SUM(AK12,AK55,AK62,AK63)</f>
        <v>4380164</v>
      </c>
      <c r="AL64" s="553">
        <f>SUM(AL12,AL55,AL62,AL63)</f>
        <v>20481469</v>
      </c>
      <c r="AM64" s="805"/>
      <c r="AN64" s="553">
        <f>SUM(AN12,AN55,AN62,AN63)</f>
        <v>2384500</v>
      </c>
      <c r="AO64" s="553">
        <f>SUM(AO12,AO55,AO62,AO63)</f>
        <v>18096969</v>
      </c>
      <c r="AP64" s="553">
        <f>SUM(AP12,AP55,AP62,AP63)</f>
        <v>13216805</v>
      </c>
      <c r="AQ64" s="553">
        <f>SUM(AQ12,AQ55,AQ62,AQ63)</f>
        <v>4880164</v>
      </c>
    </row>
    <row r="66" spans="8:19" x14ac:dyDescent="0.25">
      <c r="H66" s="210">
        <f>183101+455220+110156</f>
        <v>748477</v>
      </c>
      <c r="N66" s="852">
        <f>+N12/C12</f>
        <v>0.95831665685697465</v>
      </c>
    </row>
    <row r="67" spans="8:19" x14ac:dyDescent="0.25">
      <c r="H67" s="210">
        <f>H15+H21+H27</f>
        <v>760000</v>
      </c>
      <c r="N67" s="852">
        <f>+N13/C13</f>
        <v>0.95381602373887242</v>
      </c>
    </row>
    <row r="68" spans="8:19" x14ac:dyDescent="0.25">
      <c r="H68" s="826">
        <f>+H66-H67</f>
        <v>-11523</v>
      </c>
      <c r="N68" s="852">
        <f>+N14/C14</f>
        <v>0.90901806755695214</v>
      </c>
      <c r="Q68" s="826">
        <f>+Q12+N56+N61+60</f>
        <v>11565820</v>
      </c>
      <c r="R68" s="210">
        <v>425200</v>
      </c>
    </row>
    <row r="69" spans="8:19" x14ac:dyDescent="0.25">
      <c r="H69" s="826">
        <v>1770627</v>
      </c>
      <c r="Q69" s="826">
        <v>11500</v>
      </c>
      <c r="R69" s="210">
        <v>413700</v>
      </c>
    </row>
    <row r="70" spans="8:19" x14ac:dyDescent="0.25">
      <c r="H70" s="826">
        <f>+H69-H42</f>
        <v>-359373</v>
      </c>
      <c r="Q70" s="826">
        <f>Q68-Q69</f>
        <v>11554320</v>
      </c>
      <c r="R70" s="210">
        <f>+R68-R69</f>
        <v>11500</v>
      </c>
    </row>
    <row r="71" spans="8:19" x14ac:dyDescent="0.25">
      <c r="H71" s="826">
        <v>1642785</v>
      </c>
      <c r="Q71" s="826">
        <f>N56+N61</f>
        <v>5085320</v>
      </c>
      <c r="R71" s="210">
        <f>+R69+R70</f>
        <v>425200</v>
      </c>
    </row>
    <row r="72" spans="8:19" x14ac:dyDescent="0.25">
      <c r="H72" s="826">
        <f>+H69-H71</f>
        <v>127842</v>
      </c>
      <c r="Q72" s="852">
        <f>Q71/Q68</f>
        <v>0.43968521038715802</v>
      </c>
      <c r="R72" s="210">
        <v>968864</v>
      </c>
    </row>
    <row r="73" spans="8:19" x14ac:dyDescent="0.25">
      <c r="H73" s="826">
        <f>+H72+H69</f>
        <v>1898469</v>
      </c>
      <c r="Q73" s="826">
        <f>(Q12+60)*20%</f>
        <v>1296100</v>
      </c>
      <c r="R73" s="210">
        <v>278759</v>
      </c>
      <c r="S73" s="210">
        <f>+R73+R74</f>
        <v>885508</v>
      </c>
    </row>
    <row r="74" spans="8:19" x14ac:dyDescent="0.25">
      <c r="H74" s="826">
        <f>+H73-C42</f>
        <v>-611531</v>
      </c>
      <c r="Q74" s="210">
        <f>+Q73-R68</f>
        <v>870900</v>
      </c>
      <c r="R74" s="210">
        <v>606749</v>
      </c>
      <c r="S74" s="210">
        <f>+R72-S73</f>
        <v>83356</v>
      </c>
    </row>
    <row r="75" spans="8:19" x14ac:dyDescent="0.25">
      <c r="H75" s="826">
        <f>+H74*37.2%</f>
        <v>-227489.53200000004</v>
      </c>
      <c r="Q75" s="826">
        <f>+Q73-Q74</f>
        <v>425200</v>
      </c>
      <c r="R75" s="210">
        <f>+R72-R73-R74</f>
        <v>83356</v>
      </c>
    </row>
    <row r="76" spans="8:19" x14ac:dyDescent="0.25">
      <c r="H76" s="826">
        <f>1939730-2130000</f>
        <v>-190270</v>
      </c>
      <c r="N76" s="852"/>
    </row>
    <row r="77" spans="8:19" x14ac:dyDescent="0.25">
      <c r="H77" s="826"/>
      <c r="N77" s="852"/>
    </row>
  </sheetData>
  <sheetProtection selectLockedCells="1" selectUnlockedCells="1"/>
  <customSheetViews>
    <customSheetView guid="{88621519-296E-4458-B04E-813E881018FE}" scale="90" showGridLines="0" zeroValues="0" hiddenRows="1" hiddenColumns="1">
      <pane xSplit="6" ySplit="13" topLeftCell="H65" activePane="bottomRight" state="frozen"/>
      <selection pane="bottomRight" activeCell="J55" sqref="J55"/>
      <pageMargins left="0" right="0" top="0.39370078740157483" bottom="0.39370078740157483" header="0" footer="0"/>
      <printOptions horizontalCentered="1"/>
      <pageSetup paperSize="9" orientation="landscape" r:id="rId1"/>
      <headerFooter alignWithMargins="0">
        <oddHeader>&amp;R&amp;A</oddHeader>
        <oddFooter>&amp;C&amp;"Tahoma,Regular"&amp;8
&amp;R&amp;9&amp;P/&amp;N</oddFooter>
      </headerFooter>
    </customSheetView>
  </customSheetViews>
  <mergeCells count="38">
    <mergeCell ref="AN9:AN10"/>
    <mergeCell ref="AF9:AF10"/>
    <mergeCell ref="AG9:AG10"/>
    <mergeCell ref="AH9:AH10"/>
    <mergeCell ref="AL9:AL10"/>
    <mergeCell ref="AM9:AM10"/>
    <mergeCell ref="A1:B1"/>
    <mergeCell ref="A2:B2"/>
    <mergeCell ref="D9:D10"/>
    <mergeCell ref="A3:B3"/>
    <mergeCell ref="C1:Q1"/>
    <mergeCell ref="C2:Q2"/>
    <mergeCell ref="C3:Q3"/>
    <mergeCell ref="J9:J10"/>
    <mergeCell ref="P9:P10"/>
    <mergeCell ref="E6:G6"/>
    <mergeCell ref="E7:G7"/>
    <mergeCell ref="K6:M6"/>
    <mergeCell ref="I9:I10"/>
    <mergeCell ref="A8:A10"/>
    <mergeCell ref="N9:N10"/>
    <mergeCell ref="O9:O10"/>
    <mergeCell ref="AF8:AK8"/>
    <mergeCell ref="AL8:AQ8"/>
    <mergeCell ref="A5:S5"/>
    <mergeCell ref="H9:H10"/>
    <mergeCell ref="B8:B10"/>
    <mergeCell ref="C8:C10"/>
    <mergeCell ref="AB9:AB10"/>
    <mergeCell ref="T9:T10"/>
    <mergeCell ref="U9:U10"/>
    <mergeCell ref="V9:V10"/>
    <mergeCell ref="Z9:Z10"/>
    <mergeCell ref="AA9:AA10"/>
    <mergeCell ref="H8:M8"/>
    <mergeCell ref="N8:S8"/>
    <mergeCell ref="T8:Y8"/>
    <mergeCell ref="Z8:AE8"/>
  </mergeCells>
  <phoneticPr fontId="5" type="noConversion"/>
  <printOptions horizontalCentered="1"/>
  <pageMargins left="0" right="0" top="0.39370078740157483" bottom="0.39370078740157483" header="0" footer="0"/>
  <pageSetup paperSize="9" orientation="landscape" r:id="rId2"/>
  <headerFooter alignWithMargins="0">
    <oddHeader>&amp;R&amp;A</oddHeader>
    <oddFooter>&amp;C&amp;"Tahoma,Regular"&amp;8
&amp;R&amp;9&amp;P/&amp;N</oddFooter>
  </headerFooter>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0"/>
  </sheetPr>
  <dimension ref="A1:AI52"/>
  <sheetViews>
    <sheetView showGridLines="0" showZeros="0" zoomScale="95" zoomScaleNormal="95" workbookViewId="0">
      <pane xSplit="2" ySplit="12" topLeftCell="C3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875" style="258" customWidth="1"/>
    <col min="2" max="2" width="26.25" style="210" customWidth="1"/>
    <col min="3" max="3" width="9" style="230" customWidth="1"/>
    <col min="4" max="6" width="8.125" style="230" customWidth="1"/>
    <col min="7" max="7" width="5.375" style="255" customWidth="1"/>
    <col min="8" max="8" width="7.125" style="230" customWidth="1"/>
    <col min="9" max="10" width="8.125" style="230" customWidth="1"/>
    <col min="11" max="11" width="10.25" style="230" customWidth="1"/>
    <col min="12" max="12" width="5.75" style="230" customWidth="1"/>
    <col min="13" max="13" width="6.375" style="230" customWidth="1"/>
    <col min="14" max="14" width="10" style="230" customWidth="1"/>
    <col min="15" max="15" width="10.5" style="230" customWidth="1"/>
    <col min="16" max="16" width="9.875" style="230" bestFit="1" customWidth="1"/>
    <col min="17" max="17" width="6.75" style="230" customWidth="1"/>
    <col min="18" max="18" width="7.625" style="230" customWidth="1"/>
    <col min="19" max="21" width="9" style="230"/>
    <col min="22" max="22" width="6.875" style="230" customWidth="1"/>
    <col min="23" max="23" width="7.625" style="230" customWidth="1"/>
    <col min="24" max="16384" width="9" style="230"/>
  </cols>
  <sheetData>
    <row r="1" spans="1:35" hidden="1" x14ac:dyDescent="0.25">
      <c r="A1" s="12"/>
      <c r="B1" s="558" t="s">
        <v>503</v>
      </c>
      <c r="C1" s="1445" t="s">
        <v>1541</v>
      </c>
      <c r="D1" s="1445"/>
      <c r="E1" s="1445"/>
      <c r="F1" s="1445"/>
      <c r="G1" s="1445"/>
      <c r="H1" s="1445"/>
      <c r="I1" s="1445"/>
      <c r="J1" s="1445"/>
      <c r="AD1" s="230" t="s">
        <v>1537</v>
      </c>
      <c r="AI1" s="1269" t="s">
        <v>1541</v>
      </c>
    </row>
    <row r="2" spans="1:35" hidden="1" x14ac:dyDescent="0.25">
      <c r="A2" s="12"/>
      <c r="B2" s="558" t="s">
        <v>504</v>
      </c>
      <c r="C2" s="1445" t="s">
        <v>463</v>
      </c>
      <c r="D2" s="1445"/>
      <c r="E2" s="1445"/>
      <c r="F2" s="1445"/>
      <c r="G2" s="1445"/>
      <c r="H2" s="1445"/>
      <c r="I2" s="1445"/>
      <c r="J2" s="1445"/>
    </row>
    <row r="3" spans="1:35" hidden="1" x14ac:dyDescent="0.25">
      <c r="A3" s="12"/>
      <c r="B3" s="558" t="s">
        <v>399</v>
      </c>
      <c r="C3" s="1450" t="s">
        <v>476</v>
      </c>
      <c r="D3" s="1450"/>
      <c r="E3" s="1450"/>
      <c r="F3" s="1450"/>
      <c r="G3" s="1450"/>
      <c r="H3" s="1450"/>
      <c r="I3" s="1450"/>
      <c r="J3" s="1450"/>
      <c r="O3" s="31" t="s">
        <v>495</v>
      </c>
    </row>
    <row r="4" spans="1:35" hidden="1" x14ac:dyDescent="0.25">
      <c r="A4" s="12" t="s">
        <v>1542</v>
      </c>
      <c r="B4" s="558" t="s">
        <v>1531</v>
      </c>
      <c r="C4" s="560"/>
      <c r="D4" s="560"/>
      <c r="E4" s="560"/>
      <c r="F4" s="560"/>
      <c r="G4" s="168"/>
      <c r="H4" s="560"/>
      <c r="I4" s="560"/>
      <c r="J4" s="560"/>
    </row>
    <row r="5" spans="1:35" ht="31.5" x14ac:dyDescent="0.25">
      <c r="A5" s="27" t="s">
        <v>1386</v>
      </c>
      <c r="B5" s="27"/>
      <c r="C5" s="27"/>
      <c r="D5" s="27"/>
      <c r="E5" s="27"/>
      <c r="F5" s="27"/>
      <c r="G5" s="169"/>
      <c r="H5" s="27"/>
      <c r="I5" s="27"/>
      <c r="J5" s="27"/>
      <c r="K5" s="253"/>
      <c r="L5" s="253"/>
      <c r="M5" s="253"/>
      <c r="N5" s="1290"/>
      <c r="O5" s="253"/>
    </row>
    <row r="6" spans="1:35" hidden="1" x14ac:dyDescent="0.25">
      <c r="A6" s="559"/>
      <c r="B6" s="559"/>
      <c r="C6" s="559"/>
      <c r="D6" s="560"/>
      <c r="E6" s="560"/>
      <c r="F6" s="559"/>
      <c r="G6" s="1450"/>
      <c r="H6" s="1450"/>
      <c r="I6" s="1450"/>
      <c r="J6" s="560"/>
    </row>
    <row r="7" spans="1:35" ht="15" customHeight="1" x14ac:dyDescent="0.25">
      <c r="A7" s="14"/>
      <c r="B7" s="1"/>
      <c r="D7" s="1450"/>
      <c r="E7" s="1450"/>
      <c r="F7" s="254"/>
      <c r="H7" s="254"/>
      <c r="I7" s="16"/>
      <c r="J7" s="1289"/>
      <c r="O7" s="561" t="s">
        <v>470</v>
      </c>
    </row>
    <row r="8" spans="1:35" s="36" customFormat="1" ht="20.25" customHeight="1" x14ac:dyDescent="0.25">
      <c r="A8" s="1365" t="s">
        <v>400</v>
      </c>
      <c r="B8" s="1358" t="s">
        <v>427</v>
      </c>
      <c r="C8" s="1451" t="s">
        <v>949</v>
      </c>
      <c r="D8" s="1452"/>
      <c r="E8" s="1453"/>
      <c r="F8" s="1454" t="s">
        <v>1387</v>
      </c>
      <c r="G8" s="1455"/>
      <c r="H8" s="1455"/>
      <c r="I8" s="1455"/>
      <c r="J8" s="1456"/>
      <c r="K8" s="1437" t="s">
        <v>1388</v>
      </c>
      <c r="L8" s="1438"/>
      <c r="M8" s="1438"/>
      <c r="N8" s="1438"/>
      <c r="O8" s="1439"/>
      <c r="P8" s="1437" t="s">
        <v>956</v>
      </c>
      <c r="Q8" s="1438"/>
      <c r="R8" s="1438"/>
      <c r="S8" s="1438"/>
      <c r="T8" s="1439"/>
      <c r="U8" s="1437" t="s">
        <v>984</v>
      </c>
      <c r="V8" s="1438"/>
      <c r="W8" s="1438"/>
      <c r="X8" s="1438"/>
      <c r="Y8" s="1439"/>
      <c r="Z8" s="1437" t="s">
        <v>986</v>
      </c>
      <c r="AA8" s="1438"/>
      <c r="AB8" s="1438"/>
      <c r="AC8" s="1438"/>
      <c r="AD8" s="1439"/>
      <c r="AE8" s="1437" t="s">
        <v>988</v>
      </c>
      <c r="AF8" s="1438"/>
      <c r="AG8" s="1438"/>
      <c r="AH8" s="1438"/>
      <c r="AI8" s="1439"/>
    </row>
    <row r="9" spans="1:35" s="36" customFormat="1" ht="87" customHeight="1" x14ac:dyDescent="0.25">
      <c r="A9" s="1366"/>
      <c r="B9" s="1366"/>
      <c r="C9" s="556" t="s">
        <v>428</v>
      </c>
      <c r="D9" s="557" t="s">
        <v>430</v>
      </c>
      <c r="E9" s="557" t="s">
        <v>471</v>
      </c>
      <c r="F9" s="556" t="s">
        <v>428</v>
      </c>
      <c r="G9" s="170" t="s">
        <v>429</v>
      </c>
      <c r="H9" s="556" t="s">
        <v>770</v>
      </c>
      <c r="I9" s="557" t="s">
        <v>430</v>
      </c>
      <c r="J9" s="557" t="s">
        <v>471</v>
      </c>
      <c r="K9" s="556" t="s">
        <v>428</v>
      </c>
      <c r="L9" s="556" t="s">
        <v>429</v>
      </c>
      <c r="M9" s="556" t="s">
        <v>770</v>
      </c>
      <c r="N9" s="557" t="s">
        <v>430</v>
      </c>
      <c r="O9" s="557" t="s">
        <v>471</v>
      </c>
      <c r="P9" s="556" t="s">
        <v>428</v>
      </c>
      <c r="Q9" s="556" t="s">
        <v>429</v>
      </c>
      <c r="R9" s="556" t="s">
        <v>957</v>
      </c>
      <c r="S9" s="557" t="s">
        <v>430</v>
      </c>
      <c r="T9" s="557" t="s">
        <v>471</v>
      </c>
      <c r="U9" s="556" t="s">
        <v>428</v>
      </c>
      <c r="V9" s="556" t="s">
        <v>429</v>
      </c>
      <c r="W9" s="556" t="s">
        <v>985</v>
      </c>
      <c r="X9" s="557" t="s">
        <v>430</v>
      </c>
      <c r="Y9" s="557" t="s">
        <v>471</v>
      </c>
      <c r="Z9" s="656" t="s">
        <v>428</v>
      </c>
      <c r="AA9" s="656" t="s">
        <v>429</v>
      </c>
      <c r="AB9" s="656" t="s">
        <v>987</v>
      </c>
      <c r="AC9" s="657" t="s">
        <v>430</v>
      </c>
      <c r="AD9" s="657" t="s">
        <v>471</v>
      </c>
      <c r="AE9" s="656" t="s">
        <v>428</v>
      </c>
      <c r="AF9" s="656" t="s">
        <v>429</v>
      </c>
      <c r="AG9" s="656" t="s">
        <v>989</v>
      </c>
      <c r="AH9" s="657" t="s">
        <v>430</v>
      </c>
      <c r="AI9" s="657" t="s">
        <v>471</v>
      </c>
    </row>
    <row r="10" spans="1:35" s="11" customFormat="1" ht="19.5" customHeight="1" x14ac:dyDescent="0.25">
      <c r="A10" s="28">
        <v>1</v>
      </c>
      <c r="B10" s="28">
        <v>2</v>
      </c>
      <c r="C10" s="28" t="s">
        <v>406</v>
      </c>
      <c r="D10" s="29">
        <v>4</v>
      </c>
      <c r="E10" s="28">
        <v>5</v>
      </c>
      <c r="F10" s="29" t="s">
        <v>477</v>
      </c>
      <c r="G10" s="171">
        <v>7</v>
      </c>
      <c r="H10" s="29" t="s">
        <v>478</v>
      </c>
      <c r="I10" s="28">
        <v>9</v>
      </c>
      <c r="J10" s="29">
        <v>10</v>
      </c>
      <c r="K10" s="29" t="s">
        <v>486</v>
      </c>
      <c r="L10" s="28">
        <v>12</v>
      </c>
      <c r="M10" s="28" t="s">
        <v>316</v>
      </c>
      <c r="N10" s="28">
        <v>14</v>
      </c>
      <c r="O10" s="29">
        <v>15</v>
      </c>
      <c r="P10" s="28" t="s">
        <v>627</v>
      </c>
      <c r="Q10" s="29">
        <v>17</v>
      </c>
      <c r="R10" s="28" t="s">
        <v>626</v>
      </c>
      <c r="S10" s="29">
        <v>19</v>
      </c>
      <c r="T10" s="28">
        <v>20</v>
      </c>
      <c r="U10" s="29" t="s">
        <v>628</v>
      </c>
      <c r="V10" s="28">
        <v>22</v>
      </c>
      <c r="W10" s="29" t="s">
        <v>629</v>
      </c>
      <c r="X10" s="28">
        <v>24</v>
      </c>
      <c r="Y10" s="29">
        <v>25</v>
      </c>
      <c r="Z10" s="29"/>
      <c r="AA10" s="28"/>
      <c r="AB10" s="29"/>
      <c r="AC10" s="28"/>
      <c r="AD10" s="29"/>
      <c r="AE10" s="29"/>
      <c r="AF10" s="28"/>
      <c r="AG10" s="29"/>
      <c r="AH10" s="28"/>
      <c r="AI10" s="29"/>
    </row>
    <row r="11" spans="1:35" s="17" customFormat="1" ht="20.100000000000001" customHeight="1" x14ac:dyDescent="0.25">
      <c r="A11" s="638"/>
      <c r="B11" s="639" t="s">
        <v>921</v>
      </c>
      <c r="C11" s="1262">
        <f>SUM(C12,C37,C41)</f>
        <v>13686690</v>
      </c>
      <c r="D11" s="1262">
        <f>SUM(D12,D37,D41)</f>
        <v>6627396</v>
      </c>
      <c r="E11" s="1262">
        <f>SUM(E12,E37,E41)</f>
        <v>7059294</v>
      </c>
      <c r="F11" s="1262">
        <f>SUM(F12,F37,F41)</f>
        <v>13488350</v>
      </c>
      <c r="G11" s="1262">
        <f>F11/$F$11*100</f>
        <v>100</v>
      </c>
      <c r="H11" s="1262">
        <f t="shared" ref="H11:H37" si="0">F11/C11*100</f>
        <v>98.550854881640475</v>
      </c>
      <c r="I11" s="1262">
        <f>SUM(I12,I37,I41)</f>
        <v>6558691</v>
      </c>
      <c r="J11" s="1262">
        <f>SUM(J12,J37,J41)</f>
        <v>6929659</v>
      </c>
      <c r="K11" s="1262">
        <f>SUM(K12,K37,K41)</f>
        <v>14124109</v>
      </c>
      <c r="L11" s="1262">
        <f>K11/$K$11*100</f>
        <v>100</v>
      </c>
      <c r="M11" s="1262">
        <f>K11/C11%</f>
        <v>103.19594438100081</v>
      </c>
      <c r="N11" s="1262">
        <f>SUM(N12,N37,N41)</f>
        <v>6671100</v>
      </c>
      <c r="O11" s="1262">
        <f>SUM(O12,O37,O41)</f>
        <v>7453009</v>
      </c>
      <c r="P11" s="1262">
        <f>SUM(P12,P37,P41)</f>
        <v>15186660</v>
      </c>
      <c r="Q11" s="1262">
        <f>P11/$P$11*100</f>
        <v>100</v>
      </c>
      <c r="R11" s="1262">
        <f>P11/K11%</f>
        <v>107.52295950137457</v>
      </c>
      <c r="S11" s="1262">
        <f>SUM(S12,S37,S41)</f>
        <v>7157066</v>
      </c>
      <c r="T11" s="1262">
        <f>SUM(T12,T37,T41)</f>
        <v>8029594</v>
      </c>
      <c r="U11" s="1262">
        <f>SUM(U12,U37,U41)</f>
        <v>16101219</v>
      </c>
      <c r="V11" s="1262">
        <f>U11/$U$11*100</f>
        <v>100</v>
      </c>
      <c r="W11" s="1262">
        <f>U11/P11%</f>
        <v>106.02212072964035</v>
      </c>
      <c r="X11" s="1262">
        <f>SUM(X12,X37,X41)</f>
        <v>7644970</v>
      </c>
      <c r="Y11" s="1262">
        <f>SUM(Y12,Y37,Y41)</f>
        <v>8456249</v>
      </c>
      <c r="Z11" s="1262">
        <f>SUM(Z12,Z37,Z41)</f>
        <v>17045409</v>
      </c>
      <c r="AA11" s="1262">
        <f t="shared" ref="AA11:AA16" si="1">Z11/$U$11*100</f>
        <v>105.8640901660924</v>
      </c>
      <c r="AB11" s="1262">
        <f t="shared" ref="AB11:AB16" si="2">Z11/U11%</f>
        <v>105.8640901660924</v>
      </c>
      <c r="AC11" s="1262">
        <f>SUM(AC12,AC37,AC41)</f>
        <v>8127660</v>
      </c>
      <c r="AD11" s="1262">
        <f>SUM(AD12,AD37,AD41)</f>
        <v>8917749</v>
      </c>
      <c r="AE11" s="1262">
        <f>SUM(AE12,AE37,AE41)</f>
        <v>18096969</v>
      </c>
      <c r="AF11" s="1262">
        <f t="shared" ref="AF11:AF16" si="3">AE11/$U$11*100</f>
        <v>112.39502425251156</v>
      </c>
      <c r="AG11" s="1262">
        <f t="shared" ref="AG11:AG16" si="4">AE11/Z11%</f>
        <v>106.16916848401819</v>
      </c>
      <c r="AH11" s="1262">
        <f>SUM(AH12,AH37,AH41)</f>
        <v>8679220</v>
      </c>
      <c r="AI11" s="1262">
        <f>SUM(AI12,AI37,AI41)</f>
        <v>9417749</v>
      </c>
    </row>
    <row r="12" spans="1:35" s="17" customFormat="1" ht="20.100000000000001" customHeight="1" x14ac:dyDescent="0.25">
      <c r="A12" s="640" t="s">
        <v>407</v>
      </c>
      <c r="B12" s="641" t="s">
        <v>506</v>
      </c>
      <c r="C12" s="367">
        <f>SUM(C13,C18,C32:C36)</f>
        <v>12181277</v>
      </c>
      <c r="D12" s="367">
        <f>SUM(D13,D18,D32:D36)</f>
        <v>5121983</v>
      </c>
      <c r="E12" s="367">
        <f>SUM(E13,E18,E32:E36)</f>
        <v>7059294</v>
      </c>
      <c r="F12" s="367">
        <f>SUM(F13,F18,F32:F36)</f>
        <v>11982937</v>
      </c>
      <c r="G12" s="582">
        <f t="shared" ref="G12:G37" si="5">F12/$F$11*100</f>
        <v>88.839161202074379</v>
      </c>
      <c r="H12" s="582">
        <f t="shared" si="0"/>
        <v>98.371763485880834</v>
      </c>
      <c r="I12" s="552">
        <f>SUM(I13,I18,I32:I36)</f>
        <v>5053278</v>
      </c>
      <c r="J12" s="552">
        <f>SUM(J13,J18,J32:J36)</f>
        <v>6929659</v>
      </c>
      <c r="K12" s="367">
        <f>SUM(K13,K18,K32:K36)</f>
        <v>12692115</v>
      </c>
      <c r="L12" s="582">
        <f>K12/$K$11*100</f>
        <v>89.861349838067667</v>
      </c>
      <c r="M12" s="582">
        <f>K12/C12%</f>
        <v>104.19363257234853</v>
      </c>
      <c r="N12" s="552">
        <f>SUM(N13,N18,N32:N36)</f>
        <v>5239106</v>
      </c>
      <c r="O12" s="552">
        <f>SUM(O13,O18,O32:O36)</f>
        <v>7453009</v>
      </c>
      <c r="P12" s="552">
        <f>SUM(P13,P18,P32:P36)</f>
        <v>13491594</v>
      </c>
      <c r="Q12" s="582">
        <f t="shared" ref="Q12:Q34" si="6">P12/$P$11*100</f>
        <v>88.83845427500188</v>
      </c>
      <c r="R12" s="582">
        <f t="shared" ref="R12:R33" si="7">P12/K12%</f>
        <v>106.29902108513829</v>
      </c>
      <c r="S12" s="552">
        <f>SUM(S13,S18,S32:S36)</f>
        <v>5462000</v>
      </c>
      <c r="T12" s="552">
        <f>SUM(T13,T18,T32:T36)</f>
        <v>8029594</v>
      </c>
      <c r="U12" s="552">
        <f>SUM(U13,U18,U32:U36)</f>
        <v>14233249</v>
      </c>
      <c r="V12" s="582">
        <f t="shared" ref="V12:V37" si="8">U12/$U$11*100</f>
        <v>88.398580256563193</v>
      </c>
      <c r="W12" s="582">
        <f t="shared" ref="W12:W33" si="9">U12/P12%</f>
        <v>105.49716364130138</v>
      </c>
      <c r="X12" s="552">
        <f>SUM(X13,X18,X32:X36)</f>
        <v>5777000</v>
      </c>
      <c r="Y12" s="552">
        <f>SUM(Y13,Y18,Y32:Y36)</f>
        <v>8456249</v>
      </c>
      <c r="Z12" s="552">
        <f>SUM(Z13,Z18,Z32:Z36)</f>
        <v>14860439</v>
      </c>
      <c r="AA12" s="582">
        <f t="shared" si="1"/>
        <v>92.293875389186368</v>
      </c>
      <c r="AB12" s="582">
        <f t="shared" si="2"/>
        <v>104.40651322828681</v>
      </c>
      <c r="AC12" s="552">
        <f>SUM(AC13,AC18,AC32:AC36)</f>
        <v>5942690</v>
      </c>
      <c r="AD12" s="552">
        <f>SUM(AD13,AD18,AD32:AD36)</f>
        <v>8917749</v>
      </c>
      <c r="AE12" s="552">
        <f>SUM(AE13,AE18,AE32:AE36)</f>
        <v>15536999</v>
      </c>
      <c r="AF12" s="582">
        <f t="shared" si="3"/>
        <v>96.495793268820208</v>
      </c>
      <c r="AG12" s="582">
        <f t="shared" si="4"/>
        <v>104.55275917488035</v>
      </c>
      <c r="AH12" s="552">
        <f>SUM(AH13,AH18,AH32:AH36)</f>
        <v>6119250</v>
      </c>
      <c r="AI12" s="552">
        <f>SUM(AI13,AI18,AI32:AI36)</f>
        <v>9417749</v>
      </c>
    </row>
    <row r="13" spans="1:35" s="11" customFormat="1" ht="20.100000000000001" customHeight="1" x14ac:dyDescent="0.25">
      <c r="A13" s="642" t="s">
        <v>409</v>
      </c>
      <c r="B13" s="643" t="s">
        <v>431</v>
      </c>
      <c r="C13" s="551">
        <f>SUM(C14:C17)</f>
        <v>3191485</v>
      </c>
      <c r="D13" s="551">
        <f>SUM(D14:D17)</f>
        <v>2186239</v>
      </c>
      <c r="E13" s="551">
        <f>SUM(E14:E17)</f>
        <v>1005246</v>
      </c>
      <c r="F13" s="551">
        <f>SUM(F14:F17)</f>
        <v>3182962</v>
      </c>
      <c r="G13" s="583">
        <f t="shared" si="5"/>
        <v>23.597860375805787</v>
      </c>
      <c r="H13" s="583">
        <f t="shared" si="0"/>
        <v>99.7329456350257</v>
      </c>
      <c r="I13" s="551">
        <f>SUM(I14:I17)</f>
        <v>2117534</v>
      </c>
      <c r="J13" s="551">
        <f>SUM(J14:J17)</f>
        <v>1065428</v>
      </c>
      <c r="K13" s="551">
        <f>SUM(K14:K17)</f>
        <v>3381485</v>
      </c>
      <c r="L13" s="583">
        <f t="shared" ref="L13:L33" si="10">K13/$K$11*100</f>
        <v>23.941227018284835</v>
      </c>
      <c r="M13" s="583">
        <f>K13/C13%</f>
        <v>105.95334146956668</v>
      </c>
      <c r="N13" s="551">
        <f>SUM(N14:N17)</f>
        <v>2226239</v>
      </c>
      <c r="O13" s="551">
        <f>SUM(O14:O17)</f>
        <v>1155246</v>
      </c>
      <c r="P13" s="551">
        <f>SUM(P14:P17)</f>
        <v>3545000</v>
      </c>
      <c r="Q13" s="583">
        <f t="shared" si="6"/>
        <v>23.342854847609679</v>
      </c>
      <c r="R13" s="583">
        <f t="shared" si="7"/>
        <v>104.83559737807502</v>
      </c>
      <c r="S13" s="551">
        <f>SUM(S14:S17)</f>
        <v>2306000</v>
      </c>
      <c r="T13" s="551">
        <f>SUM(T14:T17)</f>
        <v>1239000</v>
      </c>
      <c r="U13" s="551">
        <f>SUM(U14:U17)</f>
        <v>3656000</v>
      </c>
      <c r="V13" s="583">
        <f t="shared" si="8"/>
        <v>22.706355338685846</v>
      </c>
      <c r="W13" s="583">
        <f t="shared" si="9"/>
        <v>103.1311706629055</v>
      </c>
      <c r="X13" s="551">
        <f>SUM(X14:X17)</f>
        <v>2383000</v>
      </c>
      <c r="Y13" s="551">
        <f>SUM(Y14:Y17)</f>
        <v>1273000</v>
      </c>
      <c r="Z13" s="551">
        <f>SUM(Z14:Z17)</f>
        <v>3719190</v>
      </c>
      <c r="AA13" s="583">
        <f t="shared" si="1"/>
        <v>23.098810096303886</v>
      </c>
      <c r="AB13" s="583">
        <f t="shared" si="2"/>
        <v>101.72839168490154</v>
      </c>
      <c r="AC13" s="551">
        <f>SUM(AC14:AC17)</f>
        <v>2410190</v>
      </c>
      <c r="AD13" s="551">
        <f>SUM(AD14:AD17)</f>
        <v>1309000</v>
      </c>
      <c r="AE13" s="551">
        <f>SUM(AE14:AE17)</f>
        <v>3787000</v>
      </c>
      <c r="AF13" s="583">
        <f t="shared" si="3"/>
        <v>23.519958333589525</v>
      </c>
      <c r="AG13" s="583">
        <f t="shared" si="4"/>
        <v>101.82324645957856</v>
      </c>
      <c r="AH13" s="551">
        <f>SUM(AH14:AH17)</f>
        <v>2439000</v>
      </c>
      <c r="AI13" s="551">
        <f>SUM(AI14:AI17)</f>
        <v>1348000</v>
      </c>
    </row>
    <row r="14" spans="1:35" ht="20.100000000000001" customHeight="1" x14ac:dyDescent="0.25">
      <c r="A14" s="644">
        <v>1</v>
      </c>
      <c r="B14" s="645" t="s">
        <v>432</v>
      </c>
      <c r="C14" s="287">
        <f>D14+E14</f>
        <v>1131485</v>
      </c>
      <c r="D14" s="208">
        <v>626239</v>
      </c>
      <c r="E14" s="208">
        <v>505246</v>
      </c>
      <c r="F14" s="542">
        <f>SUM(I14,J14)</f>
        <v>1131485</v>
      </c>
      <c r="G14" s="584">
        <f>F14/$F$11*100</f>
        <v>8.3886094296188922</v>
      </c>
      <c r="H14" s="584">
        <f t="shared" si="0"/>
        <v>100</v>
      </c>
      <c r="I14" s="542">
        <f>D14</f>
        <v>626239</v>
      </c>
      <c r="J14" s="542">
        <f>E14</f>
        <v>505246</v>
      </c>
      <c r="K14" s="542">
        <f>INT(1067085+64400)</f>
        <v>1131485</v>
      </c>
      <c r="L14" s="584">
        <f t="shared" si="10"/>
        <v>8.0110186065542255</v>
      </c>
      <c r="M14" s="584">
        <f t="shared" ref="M14:M33" si="11">K14/C14%</f>
        <v>100</v>
      </c>
      <c r="N14" s="542">
        <f>INT(K14-O14)</f>
        <v>626239</v>
      </c>
      <c r="O14" s="542">
        <f>'Phụ lục số 6'!C7</f>
        <v>505246</v>
      </c>
      <c r="P14" s="542">
        <f>S14+T14</f>
        <v>1195000</v>
      </c>
      <c r="Q14" s="584">
        <f t="shared" si="6"/>
        <v>7.8687479669657447</v>
      </c>
      <c r="R14" s="584">
        <f t="shared" si="7"/>
        <v>105.61341953273795</v>
      </c>
      <c r="S14" s="542">
        <f>ROUND(N14*$S$43,-3)</f>
        <v>656000</v>
      </c>
      <c r="T14" s="542">
        <f>ROUND(O14*$T$43,-3)</f>
        <v>539000</v>
      </c>
      <c r="U14" s="542">
        <f>X14+Y14</f>
        <v>1256000</v>
      </c>
      <c r="V14" s="584">
        <f t="shared" si="8"/>
        <v>7.8006516152596888</v>
      </c>
      <c r="W14" s="584">
        <f t="shared" si="9"/>
        <v>105.10460251046025</v>
      </c>
      <c r="X14" s="542">
        <f>ROUND(INT(S14*$X$43),-3)</f>
        <v>683000</v>
      </c>
      <c r="Y14" s="542">
        <f>ROUND(T14*$Y$43,-3)</f>
        <v>573000</v>
      </c>
      <c r="Z14" s="542">
        <f>AC14+AD14</f>
        <v>1319190</v>
      </c>
      <c r="AA14" s="584">
        <f t="shared" si="1"/>
        <v>8.1931063728777307</v>
      </c>
      <c r="AB14" s="584">
        <f t="shared" si="2"/>
        <v>105.03105095541402</v>
      </c>
      <c r="AC14" s="542">
        <f>ROUND(INT(X14*$AC$43),-3)+190</f>
        <v>710190</v>
      </c>
      <c r="AD14" s="542">
        <f>ROUND(INT(Y14*$AD$43),-3)</f>
        <v>609000</v>
      </c>
      <c r="AE14" s="542">
        <f>AH14+AI14</f>
        <v>1387000</v>
      </c>
      <c r="AF14" s="584">
        <f t="shared" si="3"/>
        <v>8.6142546101633677</v>
      </c>
      <c r="AG14" s="584">
        <f t="shared" si="4"/>
        <v>105.14027547206999</v>
      </c>
      <c r="AH14" s="542">
        <f>ROUND(INT(AC14*$AH$43),-3)</f>
        <v>739000</v>
      </c>
      <c r="AI14" s="542">
        <f>ROUND(INT(AD14*$AI$43),-3)</f>
        <v>648000</v>
      </c>
    </row>
    <row r="15" spans="1:35" ht="20.100000000000001" customHeight="1" x14ac:dyDescent="0.25">
      <c r="A15" s="644">
        <v>2</v>
      </c>
      <c r="B15" s="645" t="s">
        <v>479</v>
      </c>
      <c r="C15" s="287">
        <f>D15+E15</f>
        <v>600000</v>
      </c>
      <c r="D15" s="208">
        <v>100000</v>
      </c>
      <c r="E15" s="208">
        <v>500000</v>
      </c>
      <c r="F15" s="542">
        <f>SUM(I15,J15)</f>
        <v>560182</v>
      </c>
      <c r="G15" s="584">
        <f t="shared" si="5"/>
        <v>4.1530802507348934</v>
      </c>
      <c r="H15" s="584">
        <f t="shared" si="0"/>
        <v>93.36366666666666</v>
      </c>
      <c r="I15" s="542">
        <f>'Phụ lục số 1'!L44</f>
        <v>0</v>
      </c>
      <c r="J15" s="542">
        <f>'Phụ lục số 1'!M44-IF('Phụ lục số 1'!M44&lt;E15,0,IF('Phụ lục số 3'!AC18&lt;0,-'Phụ lục số 3'!AC18))</f>
        <v>560182</v>
      </c>
      <c r="K15" s="542">
        <f>'Phụ lục số 1'!N44</f>
        <v>750000</v>
      </c>
      <c r="L15" s="584">
        <f t="shared" si="10"/>
        <v>5.3100694705768694</v>
      </c>
      <c r="M15" s="584">
        <f t="shared" si="11"/>
        <v>125</v>
      </c>
      <c r="N15" s="542">
        <f>INT('Phụ lục số 1'!R44)</f>
        <v>100000</v>
      </c>
      <c r="O15" s="542">
        <f>'Phụ lục số 6'!C8</f>
        <v>650000</v>
      </c>
      <c r="P15" s="542">
        <f>SUM(S15,T15)</f>
        <v>800000</v>
      </c>
      <c r="Q15" s="584">
        <f t="shared" si="6"/>
        <v>5.2677810657511266</v>
      </c>
      <c r="R15" s="584">
        <f t="shared" si="7"/>
        <v>106.66666666666667</v>
      </c>
      <c r="S15" s="542">
        <f>'Phụ lục số 1'!X44</f>
        <v>100000</v>
      </c>
      <c r="T15" s="542">
        <f>'Phụ lục số 1'!Y44</f>
        <v>700000</v>
      </c>
      <c r="U15" s="542">
        <f>SUM(X15,Y15)</f>
        <v>800000</v>
      </c>
      <c r="V15" s="584">
        <f t="shared" si="8"/>
        <v>4.968567907808719</v>
      </c>
      <c r="W15" s="584">
        <f t="shared" si="9"/>
        <v>100</v>
      </c>
      <c r="X15" s="542">
        <f>'Phụ lục số 1'!AD44</f>
        <v>100000</v>
      </c>
      <c r="Y15" s="542">
        <f>'Phụ lục số 1'!AE44</f>
        <v>700000</v>
      </c>
      <c r="Z15" s="542">
        <f>SUM(AC15,AD15)</f>
        <v>800000</v>
      </c>
      <c r="AA15" s="584">
        <f t="shared" si="1"/>
        <v>4.968567907808719</v>
      </c>
      <c r="AB15" s="584">
        <f t="shared" si="2"/>
        <v>100</v>
      </c>
      <c r="AC15" s="542">
        <f>'Phụ lục số 1'!AJ44</f>
        <v>100000</v>
      </c>
      <c r="AD15" s="542">
        <f>'Phụ lục số 1'!AK44</f>
        <v>700000</v>
      </c>
      <c r="AE15" s="542">
        <f>SUM(AH15,AI15)</f>
        <v>800000</v>
      </c>
      <c r="AF15" s="584">
        <f t="shared" si="3"/>
        <v>4.968567907808719</v>
      </c>
      <c r="AG15" s="584">
        <f t="shared" si="4"/>
        <v>100</v>
      </c>
      <c r="AH15" s="542">
        <f>'Phụ lục số 1'!AP44</f>
        <v>100000</v>
      </c>
      <c r="AI15" s="542">
        <f>'Phụ lục số 1'!AQ44</f>
        <v>700000</v>
      </c>
    </row>
    <row r="16" spans="1:35" ht="20.100000000000001" customHeight="1" x14ac:dyDescent="0.25">
      <c r="A16" s="256">
        <v>3</v>
      </c>
      <c r="B16" s="208" t="s">
        <v>30</v>
      </c>
      <c r="C16" s="287">
        <f>D16+E16</f>
        <v>1460000</v>
      </c>
      <c r="D16" s="208">
        <v>1460000</v>
      </c>
      <c r="E16" s="208">
        <v>0</v>
      </c>
      <c r="F16" s="542">
        <f>SUM(I16,J16)</f>
        <v>1491295</v>
      </c>
      <c r="G16" s="584">
        <f t="shared" si="5"/>
        <v>11.056170695452002</v>
      </c>
      <c r="H16" s="584">
        <f t="shared" si="0"/>
        <v>102.14349315068493</v>
      </c>
      <c r="I16" s="542">
        <f>IF('Phụ lục số 1'!L51+('Phụ lục số 3-thu bs'!AB13)&gt;D16,('Phụ lục số 1'!L51+('Phụ lục số 3-thu bs'!AB13)),D16)</f>
        <v>1491295</v>
      </c>
      <c r="J16" s="542">
        <f>'Phụ lục số 1'!M51</f>
        <v>0</v>
      </c>
      <c r="K16" s="542">
        <f>SUM(N16,O16)</f>
        <v>1500000</v>
      </c>
      <c r="L16" s="584">
        <f t="shared" si="10"/>
        <v>10.620138941153739</v>
      </c>
      <c r="M16" s="584">
        <f t="shared" si="11"/>
        <v>102.73972602739725</v>
      </c>
      <c r="N16" s="542">
        <f>INT('Phụ lục số 1'!R51)</f>
        <v>1500000</v>
      </c>
      <c r="O16" s="542">
        <f>'Phụ lục số 1'!S51</f>
        <v>0</v>
      </c>
      <c r="P16" s="542">
        <f>SUM(S16,T16)</f>
        <v>1550000</v>
      </c>
      <c r="Q16" s="584">
        <f t="shared" si="6"/>
        <v>10.206325814892807</v>
      </c>
      <c r="R16" s="584">
        <f t="shared" si="7"/>
        <v>103.33333333333333</v>
      </c>
      <c r="S16" s="542">
        <f>'Phụ lục số 1'!X51</f>
        <v>1550000</v>
      </c>
      <c r="T16" s="542">
        <f>'Phụ lục số 1'!Y51</f>
        <v>0</v>
      </c>
      <c r="U16" s="542">
        <f>SUM(X16,Y16)</f>
        <v>1600000</v>
      </c>
      <c r="V16" s="584">
        <f t="shared" si="8"/>
        <v>9.9371358156174381</v>
      </c>
      <c r="W16" s="584">
        <f t="shared" si="9"/>
        <v>103.2258064516129</v>
      </c>
      <c r="X16" s="542">
        <f>'Phụ lục số 1'!AD51</f>
        <v>1600000</v>
      </c>
      <c r="Y16" s="542">
        <f>'Phụ lục số 1'!AE51</f>
        <v>0</v>
      </c>
      <c r="Z16" s="542">
        <f>SUM(AC16,AD16)</f>
        <v>1600000</v>
      </c>
      <c r="AA16" s="584">
        <f t="shared" si="1"/>
        <v>9.9371358156174381</v>
      </c>
      <c r="AB16" s="584">
        <f t="shared" si="2"/>
        <v>100</v>
      </c>
      <c r="AC16" s="542">
        <f>'Phụ lục số 1'!AJ51</f>
        <v>1600000</v>
      </c>
      <c r="AD16" s="542">
        <f>'Phụ lục số 1'!AK51</f>
        <v>0</v>
      </c>
      <c r="AE16" s="542">
        <f>SUM(AH16,AI16)</f>
        <v>1600000</v>
      </c>
      <c r="AF16" s="584">
        <f t="shared" si="3"/>
        <v>9.9371358156174381</v>
      </c>
      <c r="AG16" s="584">
        <f t="shared" si="4"/>
        <v>100</v>
      </c>
      <c r="AH16" s="542">
        <f>'Phụ lục số 1'!AP51</f>
        <v>1600000</v>
      </c>
      <c r="AI16" s="542">
        <f>'Phụ lục số 1'!AQ51</f>
        <v>0</v>
      </c>
    </row>
    <row r="17" spans="1:35" ht="20.100000000000001" hidden="1" customHeight="1" x14ac:dyDescent="0.25">
      <c r="A17" s="256">
        <v>4</v>
      </c>
      <c r="B17" s="208" t="s">
        <v>976</v>
      </c>
      <c r="C17" s="287">
        <f>D17+E17</f>
        <v>0</v>
      </c>
      <c r="D17" s="208"/>
      <c r="E17" s="208"/>
      <c r="F17" s="542">
        <f>SUM(I17,J17)</f>
        <v>0</v>
      </c>
      <c r="G17" s="584"/>
      <c r="H17" s="584"/>
      <c r="I17" s="542">
        <f>IF(('Phụ lục số 3-thu bs'!AB26)&lt;0,0,('Phụ lục số 3-thu bs'!AB26))</f>
        <v>0</v>
      </c>
      <c r="J17" s="542">
        <f>IF(('Phụ lục số 3-thu bs'!AC26)&lt;0,0,('Phụ lục số 3-thu bs'!AC26))</f>
        <v>0</v>
      </c>
      <c r="K17" s="542">
        <f>SUM(N17,O17)</f>
        <v>0</v>
      </c>
      <c r="L17" s="584"/>
      <c r="M17" s="584"/>
      <c r="N17" s="542"/>
      <c r="O17" s="542"/>
      <c r="P17" s="542">
        <f>SUM(S17,T17)</f>
        <v>0</v>
      </c>
      <c r="Q17" s="584"/>
      <c r="R17" s="584"/>
      <c r="S17" s="542"/>
      <c r="T17" s="542"/>
      <c r="U17" s="542">
        <f>SUM(X17,Y17)</f>
        <v>0</v>
      </c>
      <c r="V17" s="584"/>
      <c r="W17" s="584"/>
      <c r="X17" s="542"/>
      <c r="Y17" s="542"/>
      <c r="Z17" s="542">
        <f>SUM(AC17,AD17)</f>
        <v>0</v>
      </c>
      <c r="AA17" s="584"/>
      <c r="AB17" s="584"/>
      <c r="AC17" s="542"/>
      <c r="AD17" s="542"/>
      <c r="AE17" s="542">
        <f>SUM(AH17,AI17)</f>
        <v>0</v>
      </c>
      <c r="AF17" s="584"/>
      <c r="AG17" s="584"/>
      <c r="AH17" s="542"/>
      <c r="AI17" s="542"/>
    </row>
    <row r="18" spans="1:35" s="11" customFormat="1" x14ac:dyDescent="0.25">
      <c r="A18" s="21" t="s">
        <v>421</v>
      </c>
      <c r="B18" s="646" t="s">
        <v>433</v>
      </c>
      <c r="C18" s="26">
        <f>SUM(C19:C21,C29,C30,C31)</f>
        <v>8373843</v>
      </c>
      <c r="D18" s="26">
        <f>SUM(D19:D21,D29,D30,D31)</f>
        <v>2811706</v>
      </c>
      <c r="E18" s="26">
        <f>SUM(E19:E21,E29,E30,E31)</f>
        <v>5562137</v>
      </c>
      <c r="F18" s="551">
        <f>SUM(F19,F20,F21,F29,F30,F31)</f>
        <v>8607804</v>
      </c>
      <c r="G18" s="583">
        <f t="shared" si="5"/>
        <v>63.816582458195406</v>
      </c>
      <c r="H18" s="583">
        <f t="shared" si="0"/>
        <v>102.79395016123421</v>
      </c>
      <c r="I18" s="551">
        <f>SUM(I19,I20,I21,I29,I30,I31)</f>
        <v>2932744</v>
      </c>
      <c r="J18" s="551">
        <f>SUM(J19,J20,J21,J29,J30,J31)</f>
        <v>5675060</v>
      </c>
      <c r="K18" s="551">
        <f>SUM(K19,K20,K21,K29,K30,K31)</f>
        <v>8465821</v>
      </c>
      <c r="L18" s="583">
        <f t="shared" si="10"/>
        <v>59.9387968472914</v>
      </c>
      <c r="M18" s="583">
        <f>K18/C18%</f>
        <v>101.09839651877878</v>
      </c>
      <c r="N18" s="551">
        <f>SUM(N19,N20,N21,N29,N30,N31)</f>
        <v>2887729</v>
      </c>
      <c r="O18" s="551">
        <f>SUM(O19,O20,O21,O29,O30,O31)</f>
        <v>5578092</v>
      </c>
      <c r="P18" s="551">
        <f>SUM(P19,P20,P21,P29,P30,P31)</f>
        <v>8975000</v>
      </c>
      <c r="Q18" s="583">
        <f t="shared" si="6"/>
        <v>59.097918831395447</v>
      </c>
      <c r="R18" s="583">
        <f t="shared" si="7"/>
        <v>106.01452593906721</v>
      </c>
      <c r="S18" s="551">
        <f>SUM(S19,S20,S21,S29,S30,S31)</f>
        <v>3026000</v>
      </c>
      <c r="T18" s="551">
        <f>SUM(T19,T20,T21,T29,T30,T31)</f>
        <v>5949000</v>
      </c>
      <c r="U18" s="551">
        <f>SUM(U19,U20,U21,U29,U30,U31)</f>
        <v>9473000</v>
      </c>
      <c r="V18" s="583">
        <f t="shared" si="8"/>
        <v>58.834054738340001</v>
      </c>
      <c r="W18" s="583">
        <f t="shared" si="9"/>
        <v>105.54874651810584</v>
      </c>
      <c r="X18" s="551">
        <f>SUM(X19,X20,X21,X29,X30,X31)</f>
        <v>3148000</v>
      </c>
      <c r="Y18" s="551">
        <f>SUM(Y19,Y20,Y21,Y29,Y30,Y31)</f>
        <v>6325000</v>
      </c>
      <c r="Z18" s="551">
        <f>SUM(Z19,Z20,Z21,Z29,Z30,Z31)</f>
        <v>10000000</v>
      </c>
      <c r="AA18" s="583">
        <f>Z18/$U$11*100</f>
        <v>62.107098847608988</v>
      </c>
      <c r="AB18" s="583">
        <f>Z18/U18%</f>
        <v>105.56317956296844</v>
      </c>
      <c r="AC18" s="551">
        <f>SUM(AC19,AC20,AC21,AC29,AC30,AC31)</f>
        <v>3274000</v>
      </c>
      <c r="AD18" s="551">
        <f>SUM(AD19,AD20,AD21,AD29,AD30,AD31)</f>
        <v>6726000</v>
      </c>
      <c r="AE18" s="551">
        <f>SUM(AE19,AE20,AE21,AE29,AE30,AE31)</f>
        <v>10563000</v>
      </c>
      <c r="AF18" s="583">
        <f>AE18/$U$11*100</f>
        <v>65.603728512729376</v>
      </c>
      <c r="AG18" s="583">
        <f>AE18/Z18%</f>
        <v>105.63</v>
      </c>
      <c r="AH18" s="551">
        <f>SUM(AH19,AH20,AH21,AH29,AH30,AH31)</f>
        <v>3405000</v>
      </c>
      <c r="AI18" s="551">
        <f>SUM(AI19,AI20,AI21,AI29,AI30,AI31)</f>
        <v>7158000</v>
      </c>
    </row>
    <row r="19" spans="1:35" s="11" customFormat="1" ht="20.100000000000001" customHeight="1" x14ac:dyDescent="0.25">
      <c r="A19" s="21">
        <v>1</v>
      </c>
      <c r="B19" s="646" t="s">
        <v>285</v>
      </c>
      <c r="C19" s="26">
        <f t="shared" ref="C19:C40" si="12">D19+E19</f>
        <v>1582205</v>
      </c>
      <c r="D19" s="26">
        <v>483000</v>
      </c>
      <c r="E19" s="26">
        <v>1099205</v>
      </c>
      <c r="F19" s="551">
        <f>I19+J19</f>
        <v>1582205</v>
      </c>
      <c r="G19" s="583">
        <f>F19/$F$11*100</f>
        <v>11.730159730434041</v>
      </c>
      <c r="H19" s="583">
        <f t="shared" si="0"/>
        <v>100</v>
      </c>
      <c r="I19" s="551">
        <f>D19</f>
        <v>483000</v>
      </c>
      <c r="J19" s="551">
        <f>E19</f>
        <v>1099205</v>
      </c>
      <c r="K19" s="551">
        <f>N19+O19</f>
        <v>1604001</v>
      </c>
      <c r="L19" s="583">
        <f t="shared" si="10"/>
        <v>11.356475654499693</v>
      </c>
      <c r="M19" s="583">
        <f t="shared" si="11"/>
        <v>101.37757117440535</v>
      </c>
      <c r="N19" s="551">
        <f>'Phụ lục số 4'!E9</f>
        <v>483000</v>
      </c>
      <c r="O19" s="551">
        <f>INT('Phụ lục số 6'!C13)-SUM('Phụ lục số 2'!O25:O31)</f>
        <v>1121001</v>
      </c>
      <c r="P19" s="551">
        <f>S19+T19</f>
        <v>1702000</v>
      </c>
      <c r="Q19" s="583">
        <f t="shared" si="6"/>
        <v>11.207204217385522</v>
      </c>
      <c r="R19" s="583">
        <f t="shared" si="7"/>
        <v>106.10965953263121</v>
      </c>
      <c r="S19" s="551">
        <f>ROUND(N19*$S$43,-3)</f>
        <v>506000</v>
      </c>
      <c r="T19" s="551">
        <f>ROUND(O19*$T$43,-3)</f>
        <v>1196000</v>
      </c>
      <c r="U19" s="551">
        <f>SUM(X19,Y19)</f>
        <v>1797000</v>
      </c>
      <c r="V19" s="583">
        <f t="shared" si="8"/>
        <v>11.160645662915336</v>
      </c>
      <c r="W19" s="583">
        <f t="shared" si="9"/>
        <v>105.58166862514689</v>
      </c>
      <c r="X19" s="551">
        <f>ROUND(INT(S19*$X$43),-3)</f>
        <v>526000</v>
      </c>
      <c r="Y19" s="551">
        <f>ROUND(INT(T19*$Y$43),-3)</f>
        <v>1271000</v>
      </c>
      <c r="Z19" s="551">
        <f>SUM(AC19,AD19)</f>
        <v>1899000</v>
      </c>
      <c r="AA19" s="583">
        <f>Z19/$U$11*100</f>
        <v>11.794138071160948</v>
      </c>
      <c r="AB19" s="583">
        <f>Z19/U19%</f>
        <v>105.67612687813022</v>
      </c>
      <c r="AC19" s="551">
        <f>ROUND(INT(X19*$AC$43),-3)</f>
        <v>547000</v>
      </c>
      <c r="AD19" s="551">
        <f>ROUND(INT(Y19*$AD$43),-3)</f>
        <v>1352000</v>
      </c>
      <c r="AE19" s="551">
        <f>SUM(AH19,AI19)</f>
        <v>2008000</v>
      </c>
      <c r="AF19" s="583">
        <f>AE19/$U$11*100</f>
        <v>12.471105448599886</v>
      </c>
      <c r="AG19" s="583">
        <f>AE19/Z19%</f>
        <v>105.73986308583466</v>
      </c>
      <c r="AH19" s="551">
        <f>ROUND(INT(AC19*$AH$43),-3)</f>
        <v>569000</v>
      </c>
      <c r="AI19" s="551">
        <f>ROUND(INT(AD19*$AI$43),-3)</f>
        <v>1439000</v>
      </c>
    </row>
    <row r="20" spans="1:35" s="11" customFormat="1" ht="20.100000000000001" customHeight="1" x14ac:dyDescent="0.25">
      <c r="A20" s="21">
        <v>2</v>
      </c>
      <c r="B20" s="646" t="s">
        <v>502</v>
      </c>
      <c r="C20" s="26">
        <f t="shared" si="12"/>
        <v>143469</v>
      </c>
      <c r="D20" s="551">
        <v>61999</v>
      </c>
      <c r="E20" s="551">
        <v>81470</v>
      </c>
      <c r="F20" s="551">
        <f>I20+J20</f>
        <v>143469</v>
      </c>
      <c r="G20" s="583">
        <f t="shared" si="5"/>
        <v>1.063651224945972</v>
      </c>
      <c r="H20" s="583">
        <f t="shared" si="0"/>
        <v>100</v>
      </c>
      <c r="I20" s="551">
        <f>D20</f>
        <v>61999</v>
      </c>
      <c r="J20" s="551">
        <f>E20</f>
        <v>81470</v>
      </c>
      <c r="K20" s="551">
        <f>N20+O20</f>
        <v>143470</v>
      </c>
      <c r="L20" s="583">
        <f>K20/$K$11*100</f>
        <v>1.0157808892582179</v>
      </c>
      <c r="M20" s="583">
        <f>K20/C20%</f>
        <v>100.0006970146861</v>
      </c>
      <c r="N20" s="551">
        <f>'Phụ lục số 4'!F9</f>
        <v>62000</v>
      </c>
      <c r="O20" s="551">
        <f>'Phụ lục số 6'!C12</f>
        <v>81470</v>
      </c>
      <c r="P20" s="551">
        <f>S20+T20</f>
        <v>152000</v>
      </c>
      <c r="Q20" s="583">
        <f t="shared" si="6"/>
        <v>1.000878402492714</v>
      </c>
      <c r="R20" s="583">
        <f t="shared" si="7"/>
        <v>105.94549383146303</v>
      </c>
      <c r="S20" s="551">
        <f>ROUND(N20*$S$43,-3)</f>
        <v>65000</v>
      </c>
      <c r="T20" s="551">
        <f>ROUND(O20*$T$43,-3)</f>
        <v>87000</v>
      </c>
      <c r="U20" s="551">
        <f>SUM(X20,Y20)</f>
        <v>160000</v>
      </c>
      <c r="V20" s="583">
        <f t="shared" si="8"/>
        <v>0.99371358156174383</v>
      </c>
      <c r="W20" s="583">
        <f t="shared" si="9"/>
        <v>105.26315789473684</v>
      </c>
      <c r="X20" s="551">
        <f>ROUND(INT(S20*$X$43),-3)</f>
        <v>68000</v>
      </c>
      <c r="Y20" s="551">
        <f>ROUND(INT(T20*$Y$43),-3)</f>
        <v>92000</v>
      </c>
      <c r="Z20" s="551">
        <f>SUM(AC20,AD20)</f>
        <v>169000</v>
      </c>
      <c r="AA20" s="583">
        <f>Z20/$U$11*100</f>
        <v>1.0496099705245918</v>
      </c>
      <c r="AB20" s="583">
        <f>Z20/U20%</f>
        <v>105.625</v>
      </c>
      <c r="AC20" s="551">
        <f>ROUND(INT(X20*$AC$43),-3)</f>
        <v>71000</v>
      </c>
      <c r="AD20" s="551">
        <f>ROUND(INT(Y20*$AD$43),-3)</f>
        <v>98000</v>
      </c>
      <c r="AE20" s="551">
        <f>SUM(AH20,AI20)</f>
        <v>178000</v>
      </c>
      <c r="AF20" s="583">
        <f>AE20/$U$11*100</f>
        <v>1.1055063594874399</v>
      </c>
      <c r="AG20" s="583">
        <f>AE20/Z20%</f>
        <v>105.32544378698225</v>
      </c>
      <c r="AH20" s="551">
        <f>ROUND(INT(AC20*$AH$43),-3)</f>
        <v>74000</v>
      </c>
      <c r="AI20" s="551">
        <f>ROUND(INT(AD20*$AI$43),-3)</f>
        <v>104000</v>
      </c>
    </row>
    <row r="21" spans="1:35" s="11" customFormat="1" ht="20.100000000000001" customHeight="1" x14ac:dyDescent="0.25">
      <c r="A21" s="21">
        <v>3</v>
      </c>
      <c r="B21" s="646" t="s">
        <v>438</v>
      </c>
      <c r="C21" s="26">
        <f>SUM(C22:C28)</f>
        <v>5014150</v>
      </c>
      <c r="D21" s="26">
        <f>SUM(D22:D28)</f>
        <v>1679688</v>
      </c>
      <c r="E21" s="26">
        <f>SUM(E22:E28)</f>
        <v>3334462</v>
      </c>
      <c r="F21" s="551">
        <f>SUM(F22:F28)</f>
        <v>5248111</v>
      </c>
      <c r="G21" s="583">
        <f t="shared" si="5"/>
        <v>38.908472867326246</v>
      </c>
      <c r="H21" s="583">
        <f t="shared" si="0"/>
        <v>104.66601517704895</v>
      </c>
      <c r="I21" s="551">
        <f>SUM(I22:I28)</f>
        <v>1800726</v>
      </c>
      <c r="J21" s="551">
        <f>SUM(J22:J28)</f>
        <v>3447385</v>
      </c>
      <c r="K21" s="551">
        <f>SUM(K22:K28)</f>
        <v>5030594</v>
      </c>
      <c r="L21" s="583">
        <f t="shared" si="10"/>
        <v>35.617071491022898</v>
      </c>
      <c r="M21" s="583">
        <f t="shared" si="11"/>
        <v>100.32795189613394</v>
      </c>
      <c r="N21" s="551">
        <f>SUM(N22:N28)</f>
        <v>1722729</v>
      </c>
      <c r="O21" s="551">
        <f>SUM(O22:O28)</f>
        <v>3307865</v>
      </c>
      <c r="P21" s="551">
        <f>SUM(P22:P28)</f>
        <v>5333000</v>
      </c>
      <c r="Q21" s="583">
        <f t="shared" si="6"/>
        <v>35.116345529563446</v>
      </c>
      <c r="R21" s="583">
        <f t="shared" si="7"/>
        <v>106.0113378261096</v>
      </c>
      <c r="S21" s="551">
        <f>SUM(S22:S28)</f>
        <v>1805000</v>
      </c>
      <c r="T21" s="551">
        <f>SUM(T22:T28)</f>
        <v>3528000</v>
      </c>
      <c r="U21" s="551">
        <f>SUM(U22:U28)</f>
        <v>5630000</v>
      </c>
      <c r="V21" s="583">
        <f t="shared" si="8"/>
        <v>34.966296651203862</v>
      </c>
      <c r="W21" s="583">
        <f t="shared" si="9"/>
        <v>105.56909806862929</v>
      </c>
      <c r="X21" s="551">
        <f>SUM(X22:X28)</f>
        <v>1878000</v>
      </c>
      <c r="Y21" s="551">
        <f>SUM(Y22:Y28)</f>
        <v>3752000</v>
      </c>
      <c r="Z21" s="551">
        <f>SUM(Z22:Z28)</f>
        <v>5943000</v>
      </c>
      <c r="AA21" s="583">
        <f>Z21/$U$11*100</f>
        <v>36.910248845134028</v>
      </c>
      <c r="AB21" s="583">
        <f>Z21/U21%</f>
        <v>105.55950266429841</v>
      </c>
      <c r="AC21" s="551">
        <f>SUM(AC22:AC28)</f>
        <v>1953000</v>
      </c>
      <c r="AD21" s="551">
        <f>SUM(AD22:AD28)</f>
        <v>3990000</v>
      </c>
      <c r="AE21" s="551">
        <f>SUM(AE22:AE28)</f>
        <v>6277000</v>
      </c>
      <c r="AF21" s="583">
        <f>AE21/$U$11*100</f>
        <v>38.984625946644165</v>
      </c>
      <c r="AG21" s="583">
        <f>AE21/Z21%</f>
        <v>105.62005721016321</v>
      </c>
      <c r="AH21" s="551">
        <f>SUM(AH22:AH28)</f>
        <v>2031000</v>
      </c>
      <c r="AI21" s="551">
        <f>SUM(AI22:AI28)</f>
        <v>4246000</v>
      </c>
    </row>
    <row r="22" spans="1:35" ht="20.100000000000001" customHeight="1" x14ac:dyDescent="0.25">
      <c r="A22" s="256" t="s">
        <v>434</v>
      </c>
      <c r="B22" s="647" t="s">
        <v>528</v>
      </c>
      <c r="C22" s="208">
        <f t="shared" si="12"/>
        <v>31000</v>
      </c>
      <c r="D22" s="208">
        <v>31000</v>
      </c>
      <c r="E22" s="208">
        <v>0</v>
      </c>
      <c r="F22" s="542">
        <f>SUM(I22,J22)</f>
        <v>31000</v>
      </c>
      <c r="G22" s="584">
        <f t="shared" si="5"/>
        <v>0.22982796264924918</v>
      </c>
      <c r="H22" s="584">
        <f t="shared" si="0"/>
        <v>100</v>
      </c>
      <c r="I22" s="542">
        <f t="shared" ref="I22:J29" si="13">D22</f>
        <v>31000</v>
      </c>
      <c r="J22" s="542">
        <f t="shared" si="13"/>
        <v>0</v>
      </c>
      <c r="K22" s="542">
        <f>N22+O22</f>
        <v>31000</v>
      </c>
      <c r="L22" s="584">
        <f t="shared" si="10"/>
        <v>0.2194828714505106</v>
      </c>
      <c r="M22" s="584">
        <f>K22/C22%</f>
        <v>100</v>
      </c>
      <c r="N22" s="542">
        <f>'Phụ lục số 4'!G9</f>
        <v>31000</v>
      </c>
      <c r="O22" s="542">
        <f>E22</f>
        <v>0</v>
      </c>
      <c r="P22" s="542">
        <f>S22+T22</f>
        <v>32000</v>
      </c>
      <c r="Q22" s="584">
        <f t="shared" si="6"/>
        <v>0.21071124263004506</v>
      </c>
      <c r="R22" s="584">
        <f t="shared" si="7"/>
        <v>103.2258064516129</v>
      </c>
      <c r="S22" s="542">
        <f t="shared" ref="S22:S31" si="14">ROUND(N22*$S$43,-3)</f>
        <v>32000</v>
      </c>
      <c r="T22" s="542">
        <f t="shared" ref="T22:T31" si="15">ROUND(O22*$T$43,-3)</f>
        <v>0</v>
      </c>
      <c r="U22" s="542">
        <f>X22+Y22</f>
        <v>33000</v>
      </c>
      <c r="V22" s="584">
        <f t="shared" si="8"/>
        <v>0.20495342619710968</v>
      </c>
      <c r="W22" s="584">
        <f t="shared" si="9"/>
        <v>103.125</v>
      </c>
      <c r="X22" s="542">
        <f t="shared" ref="X22:X31" si="16">ROUND(INT(S22*$X$43),-3)</f>
        <v>33000</v>
      </c>
      <c r="Y22" s="542">
        <f>ROUND(INT(T22*$Y$43),-3)</f>
        <v>0</v>
      </c>
      <c r="Z22" s="542">
        <f>AC22+AD22</f>
        <v>34000</v>
      </c>
      <c r="AA22" s="584">
        <f t="shared" ref="AA22:AA35" si="17">Z22/$U$11*100</f>
        <v>0.21116413608187057</v>
      </c>
      <c r="AB22" s="584">
        <f t="shared" ref="AB22:AB33" si="18">Z22/U22%</f>
        <v>103.03030303030303</v>
      </c>
      <c r="AC22" s="542">
        <f>ROUND(INT(X22*$AC$43),-3)</f>
        <v>34000</v>
      </c>
      <c r="AD22" s="542">
        <f>ROUND(INT(Y22*$AD$43),-3)</f>
        <v>0</v>
      </c>
      <c r="AE22" s="542">
        <f>AH22+AI22</f>
        <v>35000</v>
      </c>
      <c r="AF22" s="584">
        <f t="shared" ref="AF22:AF35" si="19">AE22/$U$11*100</f>
        <v>0.21737484596663145</v>
      </c>
      <c r="AG22" s="584">
        <f t="shared" ref="AG22:AG33" si="20">AE22/Z22%</f>
        <v>102.94117647058823</v>
      </c>
      <c r="AH22" s="542">
        <f>ROUND(INT(AC22*$AH$43),-3)</f>
        <v>35000</v>
      </c>
      <c r="AI22" s="542">
        <f>ROUND(INT(AD22*$AI$43),-3)</f>
        <v>0</v>
      </c>
    </row>
    <row r="23" spans="1:35" ht="20.100000000000001" customHeight="1" x14ac:dyDescent="0.25">
      <c r="A23" s="256" t="s">
        <v>435</v>
      </c>
      <c r="B23" s="647" t="s">
        <v>496</v>
      </c>
      <c r="C23" s="208">
        <f t="shared" si="12"/>
        <v>3653123</v>
      </c>
      <c r="D23" s="208">
        <v>742661</v>
      </c>
      <c r="E23" s="208">
        <v>2910462</v>
      </c>
      <c r="F23" s="542">
        <f>SUM(I23,J23)</f>
        <v>3653123</v>
      </c>
      <c r="G23" s="584">
        <f t="shared" si="5"/>
        <v>27.083542464423001</v>
      </c>
      <c r="H23" s="584">
        <f t="shared" si="0"/>
        <v>100</v>
      </c>
      <c r="I23" s="542">
        <f t="shared" si="13"/>
        <v>742661</v>
      </c>
      <c r="J23" s="542">
        <f t="shared" si="13"/>
        <v>2910462</v>
      </c>
      <c r="K23" s="542">
        <f>N23+O23</f>
        <v>3653191</v>
      </c>
      <c r="L23" s="584">
        <f>K23/$K$11*100</f>
        <v>25.864930665714915</v>
      </c>
      <c r="M23" s="584">
        <f t="shared" si="11"/>
        <v>100.00186142103618</v>
      </c>
      <c r="N23" s="542">
        <f>'Phụ lục số 4'!H9</f>
        <v>777729</v>
      </c>
      <c r="O23" s="542">
        <f>'Phụ lục số 6'!C11</f>
        <v>2875462</v>
      </c>
      <c r="P23" s="542">
        <f>S23+T23</f>
        <v>3882000</v>
      </c>
      <c r="Q23" s="584">
        <f t="shared" si="6"/>
        <v>25.561907621557339</v>
      </c>
      <c r="R23" s="584">
        <f t="shared" si="7"/>
        <v>106.26326408884725</v>
      </c>
      <c r="S23" s="542">
        <f t="shared" si="14"/>
        <v>815000</v>
      </c>
      <c r="T23" s="542">
        <f>ROUND(O23*$T$43,-3)</f>
        <v>3067000</v>
      </c>
      <c r="U23" s="542">
        <f>X23+Y23</f>
        <v>4109000</v>
      </c>
      <c r="V23" s="584">
        <f t="shared" si="8"/>
        <v>25.519806916482533</v>
      </c>
      <c r="W23" s="584">
        <f t="shared" si="9"/>
        <v>105.84750128799588</v>
      </c>
      <c r="X23" s="542">
        <f t="shared" si="16"/>
        <v>848000</v>
      </c>
      <c r="Y23" s="542">
        <f t="shared" ref="Y23:Y31" si="21">ROUND(INT(T23*$Y$43),-3)</f>
        <v>3261000</v>
      </c>
      <c r="Z23" s="542">
        <f>AC23+AD23</f>
        <v>4350000</v>
      </c>
      <c r="AA23" s="584">
        <f t="shared" si="17"/>
        <v>27.016587998709912</v>
      </c>
      <c r="AB23" s="584">
        <f t="shared" si="18"/>
        <v>105.86517400827452</v>
      </c>
      <c r="AC23" s="542">
        <f t="shared" ref="AC23:AC31" si="22">ROUND(INT(X23*$AC$43),-3)</f>
        <v>882000</v>
      </c>
      <c r="AD23" s="542">
        <f t="shared" ref="AD23:AD31" si="23">ROUND(INT(Y23*$AD$43),-3)</f>
        <v>3468000</v>
      </c>
      <c r="AE23" s="542">
        <f>AH23+AI23</f>
        <v>4609000</v>
      </c>
      <c r="AF23" s="584">
        <f t="shared" si="19"/>
        <v>28.625161858862985</v>
      </c>
      <c r="AG23" s="584">
        <f t="shared" si="20"/>
        <v>105.95402298850574</v>
      </c>
      <c r="AH23" s="542">
        <f t="shared" ref="AH23:AH31" si="24">ROUND(INT(AC23*$AH$43),-3)</f>
        <v>918000</v>
      </c>
      <c r="AI23" s="542">
        <f t="shared" ref="AI23:AI31" si="25">ROUND(INT(AD23*$AI$43),-3)</f>
        <v>3691000</v>
      </c>
    </row>
    <row r="24" spans="1:35" ht="20.100000000000001" customHeight="1" x14ac:dyDescent="0.25">
      <c r="A24" s="256" t="s">
        <v>436</v>
      </c>
      <c r="B24" s="232" t="s">
        <v>439</v>
      </c>
      <c r="C24" s="208">
        <f t="shared" si="12"/>
        <v>764071</v>
      </c>
      <c r="D24" s="208">
        <v>764071</v>
      </c>
      <c r="E24" s="208">
        <v>0</v>
      </c>
      <c r="F24" s="542">
        <f>SUM(I24,J24)</f>
        <v>764071</v>
      </c>
      <c r="G24" s="584">
        <f t="shared" si="5"/>
        <v>5.6646735886894986</v>
      </c>
      <c r="H24" s="584">
        <f t="shared" si="0"/>
        <v>100</v>
      </c>
      <c r="I24" s="542">
        <f t="shared" si="13"/>
        <v>764071</v>
      </c>
      <c r="J24" s="542">
        <f t="shared" si="13"/>
        <v>0</v>
      </c>
      <c r="K24" s="542">
        <f>N24+O24</f>
        <v>770000</v>
      </c>
      <c r="L24" s="584">
        <f t="shared" si="10"/>
        <v>5.451671323125586</v>
      </c>
      <c r="M24" s="584">
        <f t="shared" si="11"/>
        <v>100.7759750075582</v>
      </c>
      <c r="N24" s="542">
        <f>'Phụ lục số 4'!I9</f>
        <v>770000</v>
      </c>
      <c r="O24" s="542">
        <f>E24</f>
        <v>0</v>
      </c>
      <c r="P24" s="542">
        <f>S24+T24</f>
        <v>807000</v>
      </c>
      <c r="Q24" s="584">
        <f t="shared" si="6"/>
        <v>5.3138741500764493</v>
      </c>
      <c r="R24" s="584">
        <f>P24/K24%</f>
        <v>104.8051948051948</v>
      </c>
      <c r="S24" s="542">
        <f t="shared" si="14"/>
        <v>807000</v>
      </c>
      <c r="T24" s="542">
        <f t="shared" si="15"/>
        <v>0</v>
      </c>
      <c r="U24" s="542">
        <f>X24+Y24</f>
        <v>840000</v>
      </c>
      <c r="V24" s="584">
        <f t="shared" si="8"/>
        <v>5.2169963031991555</v>
      </c>
      <c r="W24" s="584">
        <f t="shared" si="9"/>
        <v>104.08921933085502</v>
      </c>
      <c r="X24" s="542">
        <f t="shared" si="16"/>
        <v>840000</v>
      </c>
      <c r="Y24" s="542">
        <f t="shared" si="21"/>
        <v>0</v>
      </c>
      <c r="Z24" s="542">
        <f>AC24+AD24</f>
        <v>874000</v>
      </c>
      <c r="AA24" s="584">
        <f t="shared" si="17"/>
        <v>5.4281604392810259</v>
      </c>
      <c r="AB24" s="584">
        <f t="shared" si="18"/>
        <v>104.04761904761905</v>
      </c>
      <c r="AC24" s="542">
        <f t="shared" si="22"/>
        <v>874000</v>
      </c>
      <c r="AD24" s="542">
        <f t="shared" si="23"/>
        <v>0</v>
      </c>
      <c r="AE24" s="542">
        <f>AH24+AI24</f>
        <v>909000</v>
      </c>
      <c r="AF24" s="584">
        <f t="shared" si="19"/>
        <v>5.6455352852476572</v>
      </c>
      <c r="AG24" s="584">
        <f t="shared" si="20"/>
        <v>104.0045766590389</v>
      </c>
      <c r="AH24" s="542">
        <f t="shared" si="24"/>
        <v>909000</v>
      </c>
      <c r="AI24" s="542">
        <f t="shared" si="25"/>
        <v>0</v>
      </c>
    </row>
    <row r="25" spans="1:35" s="11" customFormat="1" ht="20.100000000000001" customHeight="1" x14ac:dyDescent="0.25">
      <c r="A25" s="256" t="s">
        <v>437</v>
      </c>
      <c r="B25" s="232" t="s">
        <v>441</v>
      </c>
      <c r="C25" s="208">
        <f t="shared" si="12"/>
        <v>77000</v>
      </c>
      <c r="D25" s="208">
        <v>40000</v>
      </c>
      <c r="E25" s="208">
        <v>37000</v>
      </c>
      <c r="F25" s="542">
        <f>SUM(I25,J25)</f>
        <v>77000</v>
      </c>
      <c r="G25" s="584">
        <f t="shared" si="5"/>
        <v>0.57086300399974799</v>
      </c>
      <c r="H25" s="584">
        <f t="shared" si="0"/>
        <v>100</v>
      </c>
      <c r="I25" s="542">
        <f t="shared" si="13"/>
        <v>40000</v>
      </c>
      <c r="J25" s="542">
        <f t="shared" si="13"/>
        <v>37000</v>
      </c>
      <c r="K25" s="542">
        <f t="shared" ref="K25:K32" si="26">N25+O25</f>
        <v>77733</v>
      </c>
      <c r="L25" s="584">
        <f t="shared" si="10"/>
        <v>0.55035684020846909</v>
      </c>
      <c r="M25" s="584">
        <f t="shared" si="11"/>
        <v>100.95194805194805</v>
      </c>
      <c r="N25" s="542">
        <f>'Phụ lục số 4'!J9</f>
        <v>40000</v>
      </c>
      <c r="O25" s="542">
        <f>INT(E25*'Chi NSH'!$C$44)</f>
        <v>37733</v>
      </c>
      <c r="P25" s="545">
        <f t="shared" ref="P25:P33" si="27">S25+T25</f>
        <v>82000</v>
      </c>
      <c r="Q25" s="584">
        <f t="shared" si="6"/>
        <v>0.53994755923949045</v>
      </c>
      <c r="R25" s="584">
        <f t="shared" si="7"/>
        <v>105.4893031273719</v>
      </c>
      <c r="S25" s="542">
        <f t="shared" si="14"/>
        <v>42000</v>
      </c>
      <c r="T25" s="542">
        <f t="shared" si="15"/>
        <v>40000</v>
      </c>
      <c r="U25" s="545">
        <f t="shared" ref="U25:U33" si="28">X25+Y25</f>
        <v>87000</v>
      </c>
      <c r="V25" s="584">
        <f t="shared" si="8"/>
        <v>0.54033175997419824</v>
      </c>
      <c r="W25" s="584">
        <f t="shared" si="9"/>
        <v>106.09756097560975</v>
      </c>
      <c r="X25" s="542">
        <f t="shared" si="16"/>
        <v>44000</v>
      </c>
      <c r="Y25" s="542">
        <f t="shared" si="21"/>
        <v>43000</v>
      </c>
      <c r="Z25" s="545">
        <f t="shared" ref="Z25:Z33" si="29">AC25+AD25</f>
        <v>92000</v>
      </c>
      <c r="AA25" s="584">
        <f t="shared" si="17"/>
        <v>0.57138530939800269</v>
      </c>
      <c r="AB25" s="584">
        <f t="shared" si="18"/>
        <v>105.74712643678161</v>
      </c>
      <c r="AC25" s="542">
        <f t="shared" si="22"/>
        <v>46000</v>
      </c>
      <c r="AD25" s="542">
        <f t="shared" si="23"/>
        <v>46000</v>
      </c>
      <c r="AE25" s="545">
        <f t="shared" ref="AE25:AE33" si="30">AH25+AI25</f>
        <v>97000</v>
      </c>
      <c r="AF25" s="584">
        <f t="shared" si="19"/>
        <v>0.60243885882180714</v>
      </c>
      <c r="AG25" s="584">
        <f t="shared" si="20"/>
        <v>105.43478260869566</v>
      </c>
      <c r="AH25" s="542">
        <f t="shared" si="24"/>
        <v>48000</v>
      </c>
      <c r="AI25" s="542">
        <f t="shared" si="25"/>
        <v>49000</v>
      </c>
    </row>
    <row r="26" spans="1:35" s="11" customFormat="1" ht="20.100000000000001" customHeight="1" x14ac:dyDescent="0.25">
      <c r="A26" s="256" t="s">
        <v>440</v>
      </c>
      <c r="B26" s="232" t="s">
        <v>443</v>
      </c>
      <c r="C26" s="208">
        <f t="shared" si="12"/>
        <v>34956</v>
      </c>
      <c r="D26" s="208">
        <v>5956</v>
      </c>
      <c r="E26" s="208">
        <v>29000</v>
      </c>
      <c r="F26" s="542">
        <f t="shared" ref="F26:F32" si="31">SUM(I26,J26)</f>
        <v>34956</v>
      </c>
      <c r="G26" s="584">
        <f t="shared" si="5"/>
        <v>0.25915697620539208</v>
      </c>
      <c r="H26" s="584">
        <f t="shared" si="0"/>
        <v>100</v>
      </c>
      <c r="I26" s="542">
        <f t="shared" si="13"/>
        <v>5956</v>
      </c>
      <c r="J26" s="542">
        <f t="shared" si="13"/>
        <v>29000</v>
      </c>
      <c r="K26" s="542">
        <f t="shared" si="26"/>
        <v>36574</v>
      </c>
      <c r="L26" s="584">
        <f t="shared" si="10"/>
        <v>0.25894730775583791</v>
      </c>
      <c r="M26" s="584">
        <f t="shared" si="11"/>
        <v>104.6286760498913</v>
      </c>
      <c r="N26" s="542">
        <f>'Phụ lục số 4'!K9</f>
        <v>7000</v>
      </c>
      <c r="O26" s="542">
        <f>INT(E26*'Chi NSH'!$C$44)</f>
        <v>29574</v>
      </c>
      <c r="P26" s="542">
        <f t="shared" si="27"/>
        <v>39000</v>
      </c>
      <c r="Q26" s="584">
        <f t="shared" si="6"/>
        <v>0.25680432695536742</v>
      </c>
      <c r="R26" s="584">
        <f t="shared" si="7"/>
        <v>106.63312735823263</v>
      </c>
      <c r="S26" s="542">
        <f t="shared" si="14"/>
        <v>7000</v>
      </c>
      <c r="T26" s="542">
        <f t="shared" si="15"/>
        <v>32000</v>
      </c>
      <c r="U26" s="542">
        <f t="shared" si="28"/>
        <v>41000</v>
      </c>
      <c r="V26" s="584">
        <f t="shared" si="8"/>
        <v>0.2546391052751969</v>
      </c>
      <c r="W26" s="584">
        <f t="shared" si="9"/>
        <v>105.12820512820512</v>
      </c>
      <c r="X26" s="542">
        <f t="shared" si="16"/>
        <v>7000</v>
      </c>
      <c r="Y26" s="542">
        <f t="shared" si="21"/>
        <v>34000</v>
      </c>
      <c r="Z26" s="542">
        <f t="shared" si="29"/>
        <v>43000</v>
      </c>
      <c r="AA26" s="584">
        <f t="shared" si="17"/>
        <v>0.26706052504471867</v>
      </c>
      <c r="AB26" s="584">
        <f t="shared" si="18"/>
        <v>104.8780487804878</v>
      </c>
      <c r="AC26" s="542">
        <f t="shared" si="22"/>
        <v>7000</v>
      </c>
      <c r="AD26" s="542">
        <f t="shared" si="23"/>
        <v>36000</v>
      </c>
      <c r="AE26" s="542">
        <f t="shared" si="30"/>
        <v>45000</v>
      </c>
      <c r="AF26" s="584">
        <f t="shared" si="19"/>
        <v>0.27948194481424049</v>
      </c>
      <c r="AG26" s="584">
        <f t="shared" si="20"/>
        <v>104.65116279069767</v>
      </c>
      <c r="AH26" s="542">
        <f t="shared" si="24"/>
        <v>7000</v>
      </c>
      <c r="AI26" s="542">
        <f t="shared" si="25"/>
        <v>38000</v>
      </c>
    </row>
    <row r="27" spans="1:35" x14ac:dyDescent="0.25">
      <c r="A27" s="256" t="s">
        <v>442</v>
      </c>
      <c r="B27" s="232" t="s">
        <v>445</v>
      </c>
      <c r="C27" s="208">
        <f t="shared" si="12"/>
        <v>34000</v>
      </c>
      <c r="D27" s="208">
        <v>22000</v>
      </c>
      <c r="E27" s="208">
        <v>12000</v>
      </c>
      <c r="F27" s="542">
        <f t="shared" si="31"/>
        <v>34000</v>
      </c>
      <c r="G27" s="584">
        <f t="shared" si="5"/>
        <v>0.25206937838949905</v>
      </c>
      <c r="H27" s="584">
        <f t="shared" si="0"/>
        <v>100</v>
      </c>
      <c r="I27" s="542">
        <f t="shared" si="13"/>
        <v>22000</v>
      </c>
      <c r="J27" s="542">
        <f t="shared" si="13"/>
        <v>12000</v>
      </c>
      <c r="K27" s="542">
        <f t="shared" si="26"/>
        <v>34237</v>
      </c>
      <c r="L27" s="584">
        <f t="shared" si="10"/>
        <v>0.24240113128552038</v>
      </c>
      <c r="M27" s="584">
        <f t="shared" si="11"/>
        <v>100.69705882352942</v>
      </c>
      <c r="N27" s="542">
        <f>'Phụ lục số 4'!L9</f>
        <v>22000</v>
      </c>
      <c r="O27" s="542">
        <f>INT(E27*'Chi NSH'!$C$44)</f>
        <v>12237</v>
      </c>
      <c r="P27" s="542">
        <f t="shared" si="27"/>
        <v>36000</v>
      </c>
      <c r="Q27" s="584">
        <f t="shared" si="6"/>
        <v>0.23705014795880069</v>
      </c>
      <c r="R27" s="584">
        <f t="shared" si="7"/>
        <v>105.1493997721763</v>
      </c>
      <c r="S27" s="542">
        <f t="shared" si="14"/>
        <v>23000</v>
      </c>
      <c r="T27" s="542">
        <f t="shared" si="15"/>
        <v>13000</v>
      </c>
      <c r="U27" s="542">
        <f t="shared" si="28"/>
        <v>38000</v>
      </c>
      <c r="V27" s="584">
        <f t="shared" si="8"/>
        <v>0.23600697562091416</v>
      </c>
      <c r="W27" s="584">
        <f t="shared" si="9"/>
        <v>105.55555555555556</v>
      </c>
      <c r="X27" s="542">
        <f t="shared" si="16"/>
        <v>24000</v>
      </c>
      <c r="Y27" s="542">
        <f t="shared" si="21"/>
        <v>14000</v>
      </c>
      <c r="Z27" s="542">
        <f t="shared" si="29"/>
        <v>40000</v>
      </c>
      <c r="AA27" s="584">
        <f t="shared" si="17"/>
        <v>0.24842839539043596</v>
      </c>
      <c r="AB27" s="584">
        <f t="shared" si="18"/>
        <v>105.26315789473684</v>
      </c>
      <c r="AC27" s="542">
        <f t="shared" si="22"/>
        <v>25000</v>
      </c>
      <c r="AD27" s="542">
        <f t="shared" si="23"/>
        <v>15000</v>
      </c>
      <c r="AE27" s="542">
        <f t="shared" si="30"/>
        <v>42000</v>
      </c>
      <c r="AF27" s="584">
        <f t="shared" si="19"/>
        <v>0.26084981515995781</v>
      </c>
      <c r="AG27" s="584">
        <f t="shared" si="20"/>
        <v>105</v>
      </c>
      <c r="AH27" s="542">
        <f t="shared" si="24"/>
        <v>26000</v>
      </c>
      <c r="AI27" s="542">
        <f t="shared" si="25"/>
        <v>16000</v>
      </c>
    </row>
    <row r="28" spans="1:35" x14ac:dyDescent="0.25">
      <c r="A28" s="256" t="s">
        <v>444</v>
      </c>
      <c r="B28" s="232" t="s">
        <v>446</v>
      </c>
      <c r="C28" s="208">
        <f t="shared" si="12"/>
        <v>420000</v>
      </c>
      <c r="D28" s="208">
        <v>74000</v>
      </c>
      <c r="E28" s="208">
        <v>346000</v>
      </c>
      <c r="F28" s="542">
        <f t="shared" si="31"/>
        <v>653961</v>
      </c>
      <c r="G28" s="584">
        <f t="shared" si="5"/>
        <v>4.8483394929698598</v>
      </c>
      <c r="H28" s="584">
        <f t="shared" si="0"/>
        <v>155.70500000000001</v>
      </c>
      <c r="I28" s="542">
        <f>D28+121038</f>
        <v>195038</v>
      </c>
      <c r="J28" s="542">
        <f>E28+112923</f>
        <v>458923</v>
      </c>
      <c r="K28" s="542">
        <f t="shared" si="26"/>
        <v>427859</v>
      </c>
      <c r="L28" s="584">
        <f t="shared" si="10"/>
        <v>3.0292813514820653</v>
      </c>
      <c r="M28" s="584">
        <f t="shared" si="11"/>
        <v>101.87119047619048</v>
      </c>
      <c r="N28" s="542">
        <f>'Phụ lục số 4'!M9</f>
        <v>75000</v>
      </c>
      <c r="O28" s="542">
        <f>INT(E28*'Chi NSH'!$C$44)</f>
        <v>352859</v>
      </c>
      <c r="P28" s="542">
        <f t="shared" si="27"/>
        <v>455000</v>
      </c>
      <c r="Q28" s="584">
        <f t="shared" si="6"/>
        <v>2.9960504811459532</v>
      </c>
      <c r="R28" s="584">
        <f t="shared" si="7"/>
        <v>106.34344491993858</v>
      </c>
      <c r="S28" s="542">
        <f t="shared" si="14"/>
        <v>79000</v>
      </c>
      <c r="T28" s="542">
        <f t="shared" si="15"/>
        <v>376000</v>
      </c>
      <c r="U28" s="542">
        <f t="shared" si="28"/>
        <v>482000</v>
      </c>
      <c r="V28" s="584">
        <f t="shared" si="8"/>
        <v>2.9935621644547532</v>
      </c>
      <c r="W28" s="584">
        <f t="shared" si="9"/>
        <v>105.93406593406593</v>
      </c>
      <c r="X28" s="542">
        <f t="shared" si="16"/>
        <v>82000</v>
      </c>
      <c r="Y28" s="542">
        <f t="shared" si="21"/>
        <v>400000</v>
      </c>
      <c r="Z28" s="542">
        <f t="shared" si="29"/>
        <v>510000</v>
      </c>
      <c r="AA28" s="584">
        <f t="shared" si="17"/>
        <v>3.1674620412280587</v>
      </c>
      <c r="AB28" s="584">
        <f t="shared" si="18"/>
        <v>105.80912863070539</v>
      </c>
      <c r="AC28" s="542">
        <f t="shared" si="22"/>
        <v>85000</v>
      </c>
      <c r="AD28" s="542">
        <f t="shared" si="23"/>
        <v>425000</v>
      </c>
      <c r="AE28" s="542">
        <f t="shared" si="30"/>
        <v>540000</v>
      </c>
      <c r="AF28" s="584">
        <f t="shared" si="19"/>
        <v>3.3537833377708854</v>
      </c>
      <c r="AG28" s="584">
        <f t="shared" si="20"/>
        <v>105.88235294117646</v>
      </c>
      <c r="AH28" s="542">
        <f t="shared" si="24"/>
        <v>88000</v>
      </c>
      <c r="AI28" s="542">
        <f t="shared" si="25"/>
        <v>452000</v>
      </c>
    </row>
    <row r="29" spans="1:35" s="11" customFormat="1" x14ac:dyDescent="0.25">
      <c r="A29" s="21">
        <v>4</v>
      </c>
      <c r="B29" s="282" t="s">
        <v>447</v>
      </c>
      <c r="C29" s="26">
        <f t="shared" si="12"/>
        <v>1344176</v>
      </c>
      <c r="D29" s="26">
        <v>460176</v>
      </c>
      <c r="E29" s="26">
        <v>884000</v>
      </c>
      <c r="F29" s="551">
        <f t="shared" si="31"/>
        <v>1344176</v>
      </c>
      <c r="G29" s="583">
        <f t="shared" si="5"/>
        <v>9.9654590813553927</v>
      </c>
      <c r="H29" s="583">
        <f t="shared" si="0"/>
        <v>100</v>
      </c>
      <c r="I29" s="551">
        <f>D29</f>
        <v>460176</v>
      </c>
      <c r="J29" s="551">
        <f t="shared" si="13"/>
        <v>884000</v>
      </c>
      <c r="K29" s="551">
        <f t="shared" si="26"/>
        <v>1351525</v>
      </c>
      <c r="L29" s="583">
        <f t="shared" si="10"/>
        <v>9.5689221882952058</v>
      </c>
      <c r="M29" s="583">
        <f t="shared" si="11"/>
        <v>100.54672899977383</v>
      </c>
      <c r="N29" s="551">
        <f>'Phụ lục số 4'!N9</f>
        <v>450000</v>
      </c>
      <c r="O29" s="551">
        <f>INT(E29*'Chi NSH'!$C$44)</f>
        <v>901525</v>
      </c>
      <c r="P29" s="551">
        <f t="shared" si="27"/>
        <v>1433000</v>
      </c>
      <c r="Q29" s="583">
        <f t="shared" si="6"/>
        <v>9.4359128340267056</v>
      </c>
      <c r="R29" s="583">
        <f t="shared" si="7"/>
        <v>106.02837535376705</v>
      </c>
      <c r="S29" s="551">
        <f t="shared" si="14"/>
        <v>472000</v>
      </c>
      <c r="T29" s="551">
        <f t="shared" si="15"/>
        <v>961000</v>
      </c>
      <c r="U29" s="551">
        <f t="shared" si="28"/>
        <v>1513000</v>
      </c>
      <c r="V29" s="583">
        <f t="shared" si="8"/>
        <v>9.3968040556432406</v>
      </c>
      <c r="W29" s="583">
        <f t="shared" si="9"/>
        <v>105.58269364968598</v>
      </c>
      <c r="X29" s="551">
        <f t="shared" si="16"/>
        <v>491000</v>
      </c>
      <c r="Y29" s="551">
        <f t="shared" si="21"/>
        <v>1022000</v>
      </c>
      <c r="Z29" s="551">
        <f t="shared" si="29"/>
        <v>1598000</v>
      </c>
      <c r="AA29" s="583">
        <f t="shared" si="17"/>
        <v>9.924714395847916</v>
      </c>
      <c r="AB29" s="583">
        <f t="shared" si="18"/>
        <v>105.61797752808988</v>
      </c>
      <c r="AC29" s="551">
        <f t="shared" si="22"/>
        <v>511000</v>
      </c>
      <c r="AD29" s="551">
        <f t="shared" si="23"/>
        <v>1087000</v>
      </c>
      <c r="AE29" s="551">
        <f t="shared" si="30"/>
        <v>1689000</v>
      </c>
      <c r="AF29" s="583">
        <f t="shared" si="19"/>
        <v>10.489888995361159</v>
      </c>
      <c r="AG29" s="583">
        <f t="shared" si="20"/>
        <v>105.69461827284105</v>
      </c>
      <c r="AH29" s="551">
        <f t="shared" si="24"/>
        <v>532000</v>
      </c>
      <c r="AI29" s="551">
        <f t="shared" si="25"/>
        <v>1157000</v>
      </c>
    </row>
    <row r="30" spans="1:35" s="11" customFormat="1" x14ac:dyDescent="0.25">
      <c r="A30" s="21">
        <v>5</v>
      </c>
      <c r="B30" s="282" t="s">
        <v>448</v>
      </c>
      <c r="C30" s="26">
        <f t="shared" si="12"/>
        <v>227688</v>
      </c>
      <c r="D30" s="26">
        <v>98688</v>
      </c>
      <c r="E30" s="26">
        <v>129000</v>
      </c>
      <c r="F30" s="551">
        <f>I30+J30</f>
        <v>227688</v>
      </c>
      <c r="G30" s="583">
        <f t="shared" si="5"/>
        <v>1.688034489022008</v>
      </c>
      <c r="H30" s="583">
        <f t="shared" si="0"/>
        <v>100</v>
      </c>
      <c r="I30" s="551">
        <f>D30</f>
        <v>98688</v>
      </c>
      <c r="J30" s="551">
        <f>E30</f>
        <v>129000</v>
      </c>
      <c r="K30" s="551">
        <f t="shared" si="26"/>
        <v>271557</v>
      </c>
      <c r="L30" s="583">
        <f t="shared" si="10"/>
        <v>1.9226487136285906</v>
      </c>
      <c r="M30" s="583">
        <f t="shared" si="11"/>
        <v>119.2671550542848</v>
      </c>
      <c r="N30" s="551">
        <f>'Phụ lục số 4'!O9</f>
        <v>140000</v>
      </c>
      <c r="O30" s="551">
        <f>INT(E30*'Chi NSH'!$C$44)</f>
        <v>131557</v>
      </c>
      <c r="P30" s="551">
        <f t="shared" si="27"/>
        <v>287000</v>
      </c>
      <c r="Q30" s="583">
        <f t="shared" si="6"/>
        <v>1.8898164573382166</v>
      </c>
      <c r="R30" s="583">
        <f t="shared" si="7"/>
        <v>105.68683554465544</v>
      </c>
      <c r="S30" s="551">
        <f t="shared" si="14"/>
        <v>147000</v>
      </c>
      <c r="T30" s="551">
        <f t="shared" si="15"/>
        <v>140000</v>
      </c>
      <c r="U30" s="551">
        <f t="shared" si="28"/>
        <v>302000</v>
      </c>
      <c r="V30" s="583">
        <f t="shared" si="8"/>
        <v>1.8756343851977917</v>
      </c>
      <c r="W30" s="583">
        <f t="shared" si="9"/>
        <v>105.22648083623693</v>
      </c>
      <c r="X30" s="551">
        <f t="shared" si="16"/>
        <v>153000</v>
      </c>
      <c r="Y30" s="551">
        <f t="shared" si="21"/>
        <v>149000</v>
      </c>
      <c r="Z30" s="551">
        <f t="shared" si="29"/>
        <v>317000</v>
      </c>
      <c r="AA30" s="583">
        <f t="shared" si="17"/>
        <v>1.968795033469205</v>
      </c>
      <c r="AB30" s="583">
        <f t="shared" si="18"/>
        <v>104.96688741721854</v>
      </c>
      <c r="AC30" s="551">
        <f t="shared" si="22"/>
        <v>159000</v>
      </c>
      <c r="AD30" s="551">
        <f t="shared" si="23"/>
        <v>158000</v>
      </c>
      <c r="AE30" s="551">
        <f t="shared" si="30"/>
        <v>333000</v>
      </c>
      <c r="AF30" s="583">
        <f t="shared" si="19"/>
        <v>2.0681663916253794</v>
      </c>
      <c r="AG30" s="583">
        <f t="shared" si="20"/>
        <v>105.04731861198738</v>
      </c>
      <c r="AH30" s="551">
        <f t="shared" si="24"/>
        <v>165000</v>
      </c>
      <c r="AI30" s="551">
        <f t="shared" si="25"/>
        <v>168000</v>
      </c>
    </row>
    <row r="31" spans="1:35" s="11" customFormat="1" x14ac:dyDescent="0.25">
      <c r="A31" s="21">
        <v>6</v>
      </c>
      <c r="B31" s="282" t="s">
        <v>507</v>
      </c>
      <c r="C31" s="26">
        <f t="shared" si="12"/>
        <v>62155</v>
      </c>
      <c r="D31" s="26">
        <v>28155</v>
      </c>
      <c r="E31" s="26">
        <v>34000</v>
      </c>
      <c r="F31" s="551">
        <f t="shared" si="31"/>
        <v>62155</v>
      </c>
      <c r="G31" s="583">
        <f t="shared" si="5"/>
        <v>0.46080506511174452</v>
      </c>
      <c r="H31" s="583">
        <f t="shared" si="0"/>
        <v>100</v>
      </c>
      <c r="I31" s="551">
        <f>D31</f>
        <v>28155</v>
      </c>
      <c r="J31" s="551">
        <f>E31</f>
        <v>34000</v>
      </c>
      <c r="K31" s="551">
        <f t="shared" si="26"/>
        <v>64674</v>
      </c>
      <c r="L31" s="583">
        <f t="shared" si="10"/>
        <v>0.45789791058678464</v>
      </c>
      <c r="M31" s="583">
        <f t="shared" si="11"/>
        <v>104.05277129756256</v>
      </c>
      <c r="N31" s="551">
        <f>'Phụ lục số 4'!P9</f>
        <v>30000</v>
      </c>
      <c r="O31" s="551">
        <f>INT(E31*'Chi NSH'!$C$44)</f>
        <v>34674</v>
      </c>
      <c r="P31" s="551">
        <f t="shared" si="27"/>
        <v>68000</v>
      </c>
      <c r="Q31" s="583">
        <f t="shared" si="6"/>
        <v>0.44776139058884573</v>
      </c>
      <c r="R31" s="583">
        <f t="shared" si="7"/>
        <v>105.14271577449979</v>
      </c>
      <c r="S31" s="551">
        <f t="shared" si="14"/>
        <v>31000</v>
      </c>
      <c r="T31" s="551">
        <f t="shared" si="15"/>
        <v>37000</v>
      </c>
      <c r="U31" s="551">
        <f t="shared" si="28"/>
        <v>71000</v>
      </c>
      <c r="V31" s="583">
        <f t="shared" si="8"/>
        <v>0.44096040181802387</v>
      </c>
      <c r="W31" s="583">
        <f t="shared" si="9"/>
        <v>104.41176470588235</v>
      </c>
      <c r="X31" s="551">
        <f t="shared" si="16"/>
        <v>32000</v>
      </c>
      <c r="Y31" s="551">
        <f t="shared" si="21"/>
        <v>39000</v>
      </c>
      <c r="Z31" s="551">
        <f t="shared" si="29"/>
        <v>74000</v>
      </c>
      <c r="AA31" s="583">
        <f t="shared" si="17"/>
        <v>0.4595925314723065</v>
      </c>
      <c r="AB31" s="583">
        <f t="shared" si="18"/>
        <v>104.22535211267606</v>
      </c>
      <c r="AC31" s="551">
        <f t="shared" si="22"/>
        <v>33000</v>
      </c>
      <c r="AD31" s="551">
        <f t="shared" si="23"/>
        <v>41000</v>
      </c>
      <c r="AE31" s="551">
        <f t="shared" si="30"/>
        <v>78000</v>
      </c>
      <c r="AF31" s="583">
        <f t="shared" si="19"/>
        <v>0.48443537101135009</v>
      </c>
      <c r="AG31" s="583">
        <f t="shared" si="20"/>
        <v>105.4054054054054</v>
      </c>
      <c r="AH31" s="551">
        <f t="shared" si="24"/>
        <v>34000</v>
      </c>
      <c r="AI31" s="551">
        <f t="shared" si="25"/>
        <v>44000</v>
      </c>
    </row>
    <row r="32" spans="1:35" s="11" customFormat="1" x14ac:dyDescent="0.25">
      <c r="A32" s="21" t="s">
        <v>449</v>
      </c>
      <c r="B32" s="282" t="s">
        <v>465</v>
      </c>
      <c r="C32" s="26">
        <f t="shared" si="12"/>
        <v>2000</v>
      </c>
      <c r="D32" s="26">
        <v>2000</v>
      </c>
      <c r="E32" s="26">
        <v>0</v>
      </c>
      <c r="F32" s="551">
        <f t="shared" si="31"/>
        <v>2000</v>
      </c>
      <c r="G32" s="583">
        <f t="shared" si="5"/>
        <v>1.4827610493499947E-2</v>
      </c>
      <c r="H32" s="583">
        <f t="shared" si="0"/>
        <v>100</v>
      </c>
      <c r="I32" s="551">
        <f>D32</f>
        <v>2000</v>
      </c>
      <c r="J32" s="551">
        <f>E32</f>
        <v>0</v>
      </c>
      <c r="K32" s="551">
        <f t="shared" si="26"/>
        <v>2000</v>
      </c>
      <c r="L32" s="583">
        <f t="shared" si="10"/>
        <v>1.4160185254871654E-2</v>
      </c>
      <c r="M32" s="583">
        <f t="shared" si="11"/>
        <v>100</v>
      </c>
      <c r="N32" s="551">
        <f>D32</f>
        <v>2000</v>
      </c>
      <c r="O32" s="551"/>
      <c r="P32" s="551">
        <f t="shared" si="27"/>
        <v>2000</v>
      </c>
      <c r="Q32" s="583">
        <f t="shared" si="6"/>
        <v>1.3169452664377817E-2</v>
      </c>
      <c r="R32" s="583">
        <f t="shared" si="7"/>
        <v>100</v>
      </c>
      <c r="S32" s="551">
        <f>N32</f>
        <v>2000</v>
      </c>
      <c r="T32" s="551">
        <f>ROUND(O32*1.01,-3)</f>
        <v>0</v>
      </c>
      <c r="U32" s="551">
        <f t="shared" si="28"/>
        <v>2000</v>
      </c>
      <c r="V32" s="583">
        <f t="shared" si="8"/>
        <v>1.2421419769521798E-2</v>
      </c>
      <c r="W32" s="583">
        <f t="shared" si="9"/>
        <v>100</v>
      </c>
      <c r="X32" s="551">
        <f>ROUND(INT(S32*(1.1)),-3)</f>
        <v>2000</v>
      </c>
      <c r="Y32" s="551">
        <f>ROUND(INT(T32*1.01),-3)</f>
        <v>0</v>
      </c>
      <c r="Z32" s="551">
        <f t="shared" si="29"/>
        <v>2000</v>
      </c>
      <c r="AA32" s="583">
        <f t="shared" si="17"/>
        <v>1.2421419769521798E-2</v>
      </c>
      <c r="AB32" s="583">
        <f t="shared" si="18"/>
        <v>100</v>
      </c>
      <c r="AC32" s="551">
        <f>ROUND(INT(X32*(1.05)),-3)</f>
        <v>2000</v>
      </c>
      <c r="AD32" s="551">
        <f>ROUND(INT(Y32*(1.01)),-3)</f>
        <v>0</v>
      </c>
      <c r="AE32" s="551">
        <f t="shared" si="30"/>
        <v>2000</v>
      </c>
      <c r="AF32" s="583">
        <f t="shared" si="19"/>
        <v>1.2421419769521798E-2</v>
      </c>
      <c r="AG32" s="583">
        <f t="shared" si="20"/>
        <v>100</v>
      </c>
      <c r="AH32" s="551">
        <f>ROUND(INT(AC32*(1)),-3)</f>
        <v>2000</v>
      </c>
      <c r="AI32" s="551">
        <f>ROUND(INT(AD32*(1.015)),-3)</f>
        <v>0</v>
      </c>
    </row>
    <row r="33" spans="1:35" s="11" customFormat="1" x14ac:dyDescent="0.25">
      <c r="A33" s="21" t="s">
        <v>450</v>
      </c>
      <c r="B33" s="282" t="s">
        <v>487</v>
      </c>
      <c r="C33" s="26">
        <f t="shared" si="12"/>
        <v>233960</v>
      </c>
      <c r="D33" s="26">
        <v>121038</v>
      </c>
      <c r="E33" s="26">
        <v>112922</v>
      </c>
      <c r="F33" s="551">
        <f>I33+J33</f>
        <v>0</v>
      </c>
      <c r="G33" s="583">
        <f t="shared" si="5"/>
        <v>0</v>
      </c>
      <c r="H33" s="583">
        <f t="shared" si="0"/>
        <v>0</v>
      </c>
      <c r="I33" s="551"/>
      <c r="J33" s="551"/>
      <c r="K33" s="551">
        <v>233960</v>
      </c>
      <c r="L33" s="583">
        <f t="shared" si="10"/>
        <v>1.656458471114886</v>
      </c>
      <c r="M33" s="583">
        <f t="shared" si="11"/>
        <v>100</v>
      </c>
      <c r="N33" s="551">
        <f>121038</f>
        <v>121038</v>
      </c>
      <c r="O33" s="551">
        <f>'Phụ lục số 6'!C14</f>
        <v>112922</v>
      </c>
      <c r="P33" s="551">
        <f t="shared" si="27"/>
        <v>247000</v>
      </c>
      <c r="Q33" s="583">
        <f t="shared" si="6"/>
        <v>1.6264274040506603</v>
      </c>
      <c r="R33" s="583">
        <f t="shared" si="7"/>
        <v>105.5736023251838</v>
      </c>
      <c r="S33" s="551">
        <f>ROUND(N33*$S$43,-3)</f>
        <v>127000</v>
      </c>
      <c r="T33" s="551">
        <f>ROUND(O33*$T$43,-3)</f>
        <v>120000</v>
      </c>
      <c r="U33" s="551">
        <f t="shared" si="28"/>
        <v>260000</v>
      </c>
      <c r="V33" s="583">
        <f t="shared" si="8"/>
        <v>1.6147845700378336</v>
      </c>
      <c r="W33" s="583">
        <f t="shared" si="9"/>
        <v>105.26315789473684</v>
      </c>
      <c r="X33" s="551">
        <f>ROUND(INT(S33*$X$43),-3)</f>
        <v>132000</v>
      </c>
      <c r="Y33" s="551">
        <f>ROUND(INT(T33*$Y$43),-3)</f>
        <v>128000</v>
      </c>
      <c r="Z33" s="551">
        <f t="shared" si="29"/>
        <v>273000</v>
      </c>
      <c r="AA33" s="583">
        <f t="shared" si="17"/>
        <v>1.6955237985397256</v>
      </c>
      <c r="AB33" s="583">
        <f t="shared" si="18"/>
        <v>105</v>
      </c>
      <c r="AC33" s="551">
        <f>ROUND(INT(X33*$AC$43),-3)</f>
        <v>137000</v>
      </c>
      <c r="AD33" s="551">
        <f>ROUND(INT(Y33*$AD$43),-3)</f>
        <v>136000</v>
      </c>
      <c r="AE33" s="551">
        <f t="shared" si="30"/>
        <v>288000</v>
      </c>
      <c r="AF33" s="583">
        <f t="shared" si="19"/>
        <v>1.7886844468111389</v>
      </c>
      <c r="AG33" s="583">
        <f t="shared" si="20"/>
        <v>105.49450549450549</v>
      </c>
      <c r="AH33" s="551">
        <f>ROUND(INT(AC33*$AH$43),-3)</f>
        <v>143000</v>
      </c>
      <c r="AI33" s="551">
        <f>ROUND(INT(AD33*$AI$43),-3)</f>
        <v>145000</v>
      </c>
    </row>
    <row r="34" spans="1:35" s="11" customFormat="1" hidden="1" x14ac:dyDescent="0.25">
      <c r="A34" s="21" t="s">
        <v>472</v>
      </c>
      <c r="B34" s="282" t="s">
        <v>968</v>
      </c>
      <c r="C34" s="26">
        <f t="shared" si="12"/>
        <v>0</v>
      </c>
      <c r="D34" s="26"/>
      <c r="E34" s="26"/>
      <c r="F34" s="551">
        <f>I34+J34</f>
        <v>0</v>
      </c>
      <c r="G34" s="583"/>
      <c r="H34" s="583"/>
      <c r="I34" s="551"/>
      <c r="J34" s="551"/>
      <c r="K34" s="551">
        <f>N34+O34</f>
        <v>0</v>
      </c>
      <c r="L34" s="583"/>
      <c r="M34" s="583"/>
      <c r="N34" s="551"/>
      <c r="O34" s="551"/>
      <c r="P34" s="551">
        <f>S34+T34</f>
        <v>0</v>
      </c>
      <c r="Q34" s="583">
        <f t="shared" si="6"/>
        <v>0</v>
      </c>
      <c r="R34" s="583"/>
      <c r="S34" s="551"/>
      <c r="T34" s="551"/>
      <c r="U34" s="551">
        <f>X34+Y34</f>
        <v>0</v>
      </c>
      <c r="V34" s="583">
        <f t="shared" si="8"/>
        <v>0</v>
      </c>
      <c r="W34" s="583"/>
      <c r="X34" s="551"/>
      <c r="Y34" s="551"/>
      <c r="Z34" s="551">
        <f>AC34+AD34</f>
        <v>0</v>
      </c>
      <c r="AA34" s="583">
        <f t="shared" si="17"/>
        <v>0</v>
      </c>
      <c r="AB34" s="583"/>
      <c r="AC34" s="551"/>
      <c r="AD34" s="551"/>
      <c r="AE34" s="551">
        <f>AH34+AI34</f>
        <v>0</v>
      </c>
      <c r="AF34" s="583">
        <f t="shared" si="19"/>
        <v>0</v>
      </c>
      <c r="AG34" s="583"/>
      <c r="AH34" s="551"/>
      <c r="AI34" s="551"/>
    </row>
    <row r="35" spans="1:35" s="11" customFormat="1" x14ac:dyDescent="0.25">
      <c r="A35" s="21" t="s">
        <v>472</v>
      </c>
      <c r="B35" s="282" t="s">
        <v>526</v>
      </c>
      <c r="C35" s="26">
        <f t="shared" si="12"/>
        <v>378989</v>
      </c>
      <c r="D35" s="26"/>
      <c r="E35" s="26">
        <v>378989</v>
      </c>
      <c r="F35" s="551">
        <f>I35+J35</f>
        <v>189171</v>
      </c>
      <c r="G35" s="583"/>
      <c r="H35" s="583"/>
      <c r="I35" s="551">
        <f>IF(('Phụ lục số 3-thu bs'!AB18+$D$35)&lt;0,0,('Phụ lục số 3-thu bs'!AB18+$D$35))</f>
        <v>0</v>
      </c>
      <c r="J35" s="551">
        <f>IF(('Phụ lục số 3-thu bs'!AC18+$E$35)&lt;0,0,('Phụ lục số 3-thu bs'!AC18+$E$35))</f>
        <v>189171</v>
      </c>
      <c r="K35" s="551">
        <f>N35+O35</f>
        <v>606749</v>
      </c>
      <c r="L35" s="583"/>
      <c r="M35" s="583"/>
      <c r="N35" s="551">
        <f>IF(('Phụ lục số 3-thu bs'!AE18+$D$35)&lt;0,0,('Phụ lục số 3-thu bs'!AE18+$D$35))</f>
        <v>0</v>
      </c>
      <c r="O35" s="551">
        <f>'Phụ lục số 6'!C15</f>
        <v>606749</v>
      </c>
      <c r="P35" s="551">
        <f>S35+T35</f>
        <v>721594</v>
      </c>
      <c r="Q35" s="583"/>
      <c r="R35" s="583"/>
      <c r="S35" s="551">
        <f>IF(('Phụ lục số 3-thu bs'!AF18+$D$35)&lt;0,0,('Phụ lục số 3-thu bs'!AH18+$D$35))</f>
        <v>0</v>
      </c>
      <c r="T35" s="551">
        <f>'Phụ lục số 3-thu bs'!AI18+$O$35</f>
        <v>721594</v>
      </c>
      <c r="U35" s="551">
        <f>X35+Y35</f>
        <v>841249</v>
      </c>
      <c r="V35" s="583">
        <f t="shared" si="8"/>
        <v>5.224753479845222</v>
      </c>
      <c r="W35" s="583"/>
      <c r="X35" s="551">
        <f>'Phụ lục số 3-thu bs'!AK18</f>
        <v>111000</v>
      </c>
      <c r="Y35" s="551">
        <f>'Phụ lục số 3-thu bs'!AL18+$O$35</f>
        <v>730249</v>
      </c>
      <c r="Z35" s="551">
        <f>AC35+AD35</f>
        <v>865249</v>
      </c>
      <c r="AA35" s="583">
        <f t="shared" si="17"/>
        <v>5.373810517079483</v>
      </c>
      <c r="AB35" s="583"/>
      <c r="AC35" s="551">
        <f>'Phụ lục số 3-thu bs'!AN18</f>
        <v>118500</v>
      </c>
      <c r="AD35" s="551">
        <f>'Phụ lục số 3-thu bs'!AO18+$O$35</f>
        <v>746749</v>
      </c>
      <c r="AE35" s="551">
        <f>AH35+AI35</f>
        <v>895999</v>
      </c>
      <c r="AF35" s="583">
        <f t="shared" si="19"/>
        <v>5.5647898460358807</v>
      </c>
      <c r="AG35" s="583"/>
      <c r="AH35" s="551">
        <f>'Phụ lục số 3-thu bs'!AQ18</f>
        <v>129250</v>
      </c>
      <c r="AI35" s="551">
        <f>'Phụ lục số 3-thu bs'!AR18+$O$35</f>
        <v>766749</v>
      </c>
    </row>
    <row r="36" spans="1:35" s="11" customFormat="1" x14ac:dyDescent="0.25">
      <c r="A36" s="21" t="s">
        <v>473</v>
      </c>
      <c r="B36" s="26" t="s">
        <v>733</v>
      </c>
      <c r="C36" s="26">
        <f t="shared" si="12"/>
        <v>1000</v>
      </c>
      <c r="D36" s="26">
        <v>1000</v>
      </c>
      <c r="E36" s="26">
        <v>0</v>
      </c>
      <c r="F36" s="551">
        <f>I36+J36</f>
        <v>1000</v>
      </c>
      <c r="G36" s="583"/>
      <c r="H36" s="583"/>
      <c r="I36" s="551">
        <f>D36</f>
        <v>1000</v>
      </c>
      <c r="J36" s="551">
        <f>E36</f>
        <v>0</v>
      </c>
      <c r="K36" s="551">
        <f>N36+O36</f>
        <v>2100</v>
      </c>
      <c r="L36" s="583"/>
      <c r="M36" s="583"/>
      <c r="N36" s="551">
        <v>2100</v>
      </c>
      <c r="O36" s="551">
        <v>0</v>
      </c>
      <c r="P36" s="551">
        <f>S36+T36</f>
        <v>1000</v>
      </c>
      <c r="Q36" s="583"/>
      <c r="R36" s="583"/>
      <c r="S36" s="551">
        <v>1000</v>
      </c>
      <c r="T36" s="551"/>
      <c r="U36" s="551">
        <f>X36+Y36</f>
        <v>1000</v>
      </c>
      <c r="V36" s="583"/>
      <c r="W36" s="583"/>
      <c r="X36" s="551">
        <v>1000</v>
      </c>
      <c r="Y36" s="551"/>
      <c r="Z36" s="551">
        <f>AC36+AD36</f>
        <v>1000</v>
      </c>
      <c r="AA36" s="583"/>
      <c r="AB36" s="583"/>
      <c r="AC36" s="551">
        <v>1000</v>
      </c>
      <c r="AD36" s="551"/>
      <c r="AE36" s="551">
        <f>AH36+AI36</f>
        <v>1000</v>
      </c>
      <c r="AF36" s="583"/>
      <c r="AG36" s="583"/>
      <c r="AH36" s="551">
        <v>1000</v>
      </c>
      <c r="AI36" s="551"/>
    </row>
    <row r="37" spans="1:35" s="17" customFormat="1" x14ac:dyDescent="0.25">
      <c r="A37" s="23" t="s">
        <v>422</v>
      </c>
      <c r="B37" s="49" t="s">
        <v>451</v>
      </c>
      <c r="C37" s="41">
        <f t="shared" si="12"/>
        <v>1474513</v>
      </c>
      <c r="D37" s="41">
        <f>SUM(D38:D40)</f>
        <v>1474513</v>
      </c>
      <c r="E37" s="41">
        <f>SUM(E38:E40)</f>
        <v>0</v>
      </c>
      <c r="F37" s="552">
        <f>SUM(F38:F40)</f>
        <v>1474513</v>
      </c>
      <c r="G37" s="582">
        <f t="shared" si="5"/>
        <v>10.931752215801042</v>
      </c>
      <c r="H37" s="582">
        <f t="shared" si="0"/>
        <v>100</v>
      </c>
      <c r="I37" s="552">
        <f>SUM(I38:I40)</f>
        <v>1474513</v>
      </c>
      <c r="J37" s="552">
        <f>SUM(J38:J40)</f>
        <v>0</v>
      </c>
      <c r="K37" s="552">
        <f>N37+O37</f>
        <v>1370794</v>
      </c>
      <c r="L37" s="582">
        <f>K37/$K$11*100</f>
        <v>9.7053484931332665</v>
      </c>
      <c r="M37" s="582">
        <f>K37/C37%</f>
        <v>92.965880938316587</v>
      </c>
      <c r="N37" s="552">
        <f>SUM(N38:N40)</f>
        <v>1370794</v>
      </c>
      <c r="O37" s="552">
        <f>SUM(O38:O40)</f>
        <v>0</v>
      </c>
      <c r="P37" s="552">
        <f>S37+T37</f>
        <v>1598970</v>
      </c>
      <c r="Q37" s="582">
        <f>P37/$K$11*100</f>
        <v>11.320855708491063</v>
      </c>
      <c r="R37" s="582"/>
      <c r="S37" s="552">
        <f>SUM(S38:S40)</f>
        <v>1598970</v>
      </c>
      <c r="T37" s="552">
        <f>SUM(T38:T40)</f>
        <v>0</v>
      </c>
      <c r="U37" s="552">
        <f>X37+Y37</f>
        <v>1867970</v>
      </c>
      <c r="V37" s="582">
        <f t="shared" si="8"/>
        <v>11.601419743436816</v>
      </c>
      <c r="W37" s="582"/>
      <c r="X37" s="552">
        <f>SUM(X38:X40)</f>
        <v>1867970</v>
      </c>
      <c r="Y37" s="552">
        <f>SUM(Y38:Y40)</f>
        <v>0</v>
      </c>
      <c r="Z37" s="552">
        <f>AC37+AD37</f>
        <v>2184970</v>
      </c>
      <c r="AA37" s="582">
        <f>Z37/$U$11*100</f>
        <v>13.570214776906022</v>
      </c>
      <c r="AB37" s="582"/>
      <c r="AC37" s="552">
        <f>SUM(AC38:AC40)</f>
        <v>2184970</v>
      </c>
      <c r="AD37" s="552">
        <f>SUM(AD38:AD40)</f>
        <v>0</v>
      </c>
      <c r="AE37" s="552">
        <f>AH37+AI37</f>
        <v>2559970</v>
      </c>
      <c r="AF37" s="582">
        <f>AE37/$U$11*100</f>
        <v>15.899230983691359</v>
      </c>
      <c r="AG37" s="582"/>
      <c r="AH37" s="552">
        <f>SUM(AH38:AH40)</f>
        <v>2559970</v>
      </c>
      <c r="AI37" s="552">
        <f>SUM(AI38:AI40)</f>
        <v>0</v>
      </c>
    </row>
    <row r="38" spans="1:35" x14ac:dyDescent="0.25">
      <c r="A38" s="257" t="s">
        <v>409</v>
      </c>
      <c r="B38" s="252" t="s">
        <v>576</v>
      </c>
      <c r="C38" s="208">
        <f t="shared" si="12"/>
        <v>426575</v>
      </c>
      <c r="D38" s="208">
        <v>426575</v>
      </c>
      <c r="E38" s="208"/>
      <c r="F38" s="542">
        <f>SUM(I38,J38)</f>
        <v>426575</v>
      </c>
      <c r="G38" s="584"/>
      <c r="H38" s="584"/>
      <c r="I38" s="542">
        <f t="shared" ref="I38:J40" si="32">D38</f>
        <v>426575</v>
      </c>
      <c r="J38" s="542">
        <f t="shared" si="32"/>
        <v>0</v>
      </c>
      <c r="K38" s="542">
        <f>'Phụ lục số 1'!N58</f>
        <v>0</v>
      </c>
      <c r="L38" s="584"/>
      <c r="M38" s="584"/>
      <c r="N38" s="542">
        <f>K38-O38</f>
        <v>0</v>
      </c>
      <c r="O38" s="542"/>
      <c r="P38" s="542">
        <f>'Phụ lục số 1'!T58</f>
        <v>0</v>
      </c>
      <c r="Q38" s="584"/>
      <c r="R38" s="584"/>
      <c r="S38" s="542">
        <f>P38-T38</f>
        <v>0</v>
      </c>
      <c r="T38" s="542"/>
      <c r="U38" s="542">
        <f>'Phụ lục số 1'!Z58</f>
        <v>0</v>
      </c>
      <c r="V38" s="584"/>
      <c r="W38" s="584"/>
      <c r="X38" s="542">
        <f>U38-Y38</f>
        <v>0</v>
      </c>
      <c r="Y38" s="542"/>
      <c r="Z38" s="542">
        <f>'Phụ lục số 1'!AF58</f>
        <v>0</v>
      </c>
      <c r="AA38" s="584"/>
      <c r="AB38" s="584"/>
      <c r="AC38" s="542">
        <f>Z38-AD38</f>
        <v>0</v>
      </c>
      <c r="AD38" s="542"/>
      <c r="AE38" s="542">
        <f>'Phụ lục số 1'!AL58</f>
        <v>0</v>
      </c>
      <c r="AF38" s="584"/>
      <c r="AG38" s="584"/>
      <c r="AH38" s="542">
        <f>AE38-AI38</f>
        <v>0</v>
      </c>
      <c r="AI38" s="542"/>
    </row>
    <row r="39" spans="1:35" ht="47.25" x14ac:dyDescent="0.25">
      <c r="A39" s="257" t="s">
        <v>421</v>
      </c>
      <c r="B39" s="252" t="s">
        <v>508</v>
      </c>
      <c r="C39" s="208">
        <f t="shared" si="12"/>
        <v>906600</v>
      </c>
      <c r="D39" s="208">
        <v>906600</v>
      </c>
      <c r="E39" s="208"/>
      <c r="F39" s="542">
        <f>SUM(I39,J39)</f>
        <v>906600</v>
      </c>
      <c r="G39" s="584"/>
      <c r="H39" s="584"/>
      <c r="I39" s="542">
        <f t="shared" si="32"/>
        <v>906600</v>
      </c>
      <c r="J39" s="542">
        <f t="shared" si="32"/>
        <v>0</v>
      </c>
      <c r="K39" s="542">
        <f>'Phụ lục số 1'!N59</f>
        <v>1263824</v>
      </c>
      <c r="L39" s="584">
        <f>K39/$K$11*100</f>
        <v>8.9479909847764567</v>
      </c>
      <c r="M39" s="584"/>
      <c r="N39" s="542">
        <f>K39-O39</f>
        <v>1263824</v>
      </c>
      <c r="O39" s="542"/>
      <c r="P39" s="542">
        <f>'Phụ lục số 1'!T59</f>
        <v>1492000</v>
      </c>
      <c r="Q39" s="584">
        <f>P39/$K$11*100</f>
        <v>10.563498200134253</v>
      </c>
      <c r="R39" s="584"/>
      <c r="S39" s="542">
        <f>P39-T39</f>
        <v>1492000</v>
      </c>
      <c r="T39" s="542"/>
      <c r="U39" s="542">
        <f>'Phụ lục số 1'!Z59</f>
        <v>1761000</v>
      </c>
      <c r="V39" s="584">
        <f>U39/$K$11*100</f>
        <v>12.46804311691449</v>
      </c>
      <c r="W39" s="584"/>
      <c r="X39" s="542">
        <f>U39-Y39</f>
        <v>1761000</v>
      </c>
      <c r="Y39" s="542"/>
      <c r="Z39" s="542">
        <f>'Phụ lục số 1'!AF59</f>
        <v>2078000</v>
      </c>
      <c r="AA39" s="584">
        <f>Z39/$K$11*100</f>
        <v>14.712432479811646</v>
      </c>
      <c r="AB39" s="584"/>
      <c r="AC39" s="542">
        <f>Z39-AD39</f>
        <v>2078000</v>
      </c>
      <c r="AD39" s="542"/>
      <c r="AE39" s="542">
        <f>'Phụ lục số 1'!AL59</f>
        <v>2453000</v>
      </c>
      <c r="AF39" s="584">
        <f>AE39/$K$11*100</f>
        <v>17.367467215100081</v>
      </c>
      <c r="AG39" s="584"/>
      <c r="AH39" s="542">
        <f>AE39-AI39</f>
        <v>2453000</v>
      </c>
      <c r="AI39" s="542"/>
    </row>
    <row r="40" spans="1:35" ht="49.5" customHeight="1" x14ac:dyDescent="0.25">
      <c r="A40" s="257" t="s">
        <v>449</v>
      </c>
      <c r="B40" s="252" t="s">
        <v>509</v>
      </c>
      <c r="C40" s="208">
        <f t="shared" si="12"/>
        <v>141338</v>
      </c>
      <c r="D40" s="208">
        <v>141338</v>
      </c>
      <c r="E40" s="208"/>
      <c r="F40" s="542">
        <f>SUM(I40,J40)</f>
        <v>141338</v>
      </c>
      <c r="G40" s="584"/>
      <c r="H40" s="584"/>
      <c r="I40" s="542">
        <f t="shared" si="32"/>
        <v>141338</v>
      </c>
      <c r="J40" s="542">
        <f t="shared" si="32"/>
        <v>0</v>
      </c>
      <c r="K40" s="542">
        <f>'Phụ lục số 4'!S9</f>
        <v>106970</v>
      </c>
      <c r="L40" s="584">
        <f>K40/$K$11*100</f>
        <v>0.75735750835681026</v>
      </c>
      <c r="M40" s="584"/>
      <c r="N40" s="542">
        <f>K40-O40</f>
        <v>106970</v>
      </c>
      <c r="O40" s="542"/>
      <c r="P40" s="542">
        <f>$K$40</f>
        <v>106970</v>
      </c>
      <c r="Q40" s="584">
        <f>P40/$K$11*100</f>
        <v>0.75735750835681026</v>
      </c>
      <c r="R40" s="584"/>
      <c r="S40" s="542">
        <f>P40-T40</f>
        <v>106970</v>
      </c>
      <c r="T40" s="542"/>
      <c r="U40" s="542">
        <f>P40</f>
        <v>106970</v>
      </c>
      <c r="V40" s="584">
        <f>U40/$K$11*100</f>
        <v>0.75735750835681026</v>
      </c>
      <c r="W40" s="584"/>
      <c r="X40" s="542">
        <f>U40-Y40</f>
        <v>106970</v>
      </c>
      <c r="Y40" s="542"/>
      <c r="Z40" s="542">
        <f>U40</f>
        <v>106970</v>
      </c>
      <c r="AA40" s="584">
        <f>Z40/$K$11*100</f>
        <v>0.75735750835681026</v>
      </c>
      <c r="AB40" s="584"/>
      <c r="AC40" s="542">
        <f>Z40-AD40</f>
        <v>106970</v>
      </c>
      <c r="AD40" s="542"/>
      <c r="AE40" s="542">
        <f>Z40</f>
        <v>106970</v>
      </c>
      <c r="AF40" s="584">
        <f>AE40/$K$11*100</f>
        <v>0.75735750835681026</v>
      </c>
      <c r="AG40" s="584"/>
      <c r="AH40" s="542">
        <f>AE40-AI40</f>
        <v>106970</v>
      </c>
      <c r="AI40" s="542"/>
    </row>
    <row r="41" spans="1:35" s="17" customFormat="1" ht="31.5" x14ac:dyDescent="0.25">
      <c r="A41" s="648" t="s">
        <v>426</v>
      </c>
      <c r="B41" s="649" t="s">
        <v>920</v>
      </c>
      <c r="C41" s="650">
        <f>D41+E41</f>
        <v>30900</v>
      </c>
      <c r="D41" s="35">
        <v>30900</v>
      </c>
      <c r="E41" s="650">
        <v>0</v>
      </c>
      <c r="F41" s="553">
        <f>I41+J41</f>
        <v>30900</v>
      </c>
      <c r="G41" s="815"/>
      <c r="H41" s="816"/>
      <c r="I41" s="553">
        <f>'Phụ lục số 1'!L63</f>
        <v>30900</v>
      </c>
      <c r="J41" s="553">
        <f>'Phụ lục số 1'!M63</f>
        <v>0</v>
      </c>
      <c r="K41" s="553">
        <f>M41+N41</f>
        <v>61200</v>
      </c>
      <c r="L41" s="816">
        <f>K41/$K$11*100</f>
        <v>0.43330166879907256</v>
      </c>
      <c r="M41" s="35"/>
      <c r="N41" s="553">
        <f>'Phụ lục số 1'!R63</f>
        <v>61200</v>
      </c>
      <c r="O41" s="553">
        <f>'Phụ lục số 1'!S63</f>
        <v>0</v>
      </c>
      <c r="P41" s="553">
        <f>R41+S41</f>
        <v>96096</v>
      </c>
      <c r="Q41" s="816">
        <f>P41/$K$11*100</f>
        <v>0.68036858112607312</v>
      </c>
      <c r="R41" s="35"/>
      <c r="S41" s="553">
        <f>'Phụ lục số 1'!X63</f>
        <v>96096</v>
      </c>
      <c r="T41" s="553">
        <v>0</v>
      </c>
      <c r="U41" s="553">
        <f>W41+X41</f>
        <v>0</v>
      </c>
      <c r="V41" s="816">
        <f>U41/$K$11*100</f>
        <v>0</v>
      </c>
      <c r="W41" s="35"/>
      <c r="X41" s="553">
        <f>'Phụ lục số 1'!AD63</f>
        <v>0</v>
      </c>
      <c r="Y41" s="553">
        <v>0</v>
      </c>
      <c r="Z41" s="553">
        <f>AB41+AC41</f>
        <v>0</v>
      </c>
      <c r="AA41" s="816">
        <f>Z41/$K$11*100</f>
        <v>0</v>
      </c>
      <c r="AB41" s="35"/>
      <c r="AC41" s="553">
        <f>'Phụ lục số 1'!AJ63</f>
        <v>0</v>
      </c>
      <c r="AD41" s="553">
        <v>0</v>
      </c>
      <c r="AE41" s="553">
        <f>AG41+AH41</f>
        <v>0</v>
      </c>
      <c r="AF41" s="816">
        <f>AE41/$K$11*100</f>
        <v>0</v>
      </c>
      <c r="AG41" s="35"/>
      <c r="AH41" s="553">
        <f>'Phụ lục số 1'!AP63</f>
        <v>0</v>
      </c>
      <c r="AI41" s="553">
        <v>0</v>
      </c>
    </row>
    <row r="42" spans="1:35" s="616" customFormat="1" x14ac:dyDescent="0.25">
      <c r="A42" s="614" t="s">
        <v>760</v>
      </c>
      <c r="B42" s="615"/>
      <c r="G42" s="617"/>
    </row>
    <row r="43" spans="1:35" x14ac:dyDescent="0.25">
      <c r="S43" s="1216">
        <f>'Phụ lục số 3-thu bs'!AH29</f>
        <v>1.0481137615705136</v>
      </c>
      <c r="T43" s="1216">
        <f>'Phụ lục số 3-thu bs'!AI29</f>
        <v>1.0664877757901015</v>
      </c>
      <c r="X43" s="1216">
        <f>'Phụ lục số 3-thu bs'!AK29</f>
        <v>1.0404518950437318</v>
      </c>
      <c r="Y43" s="1216">
        <f>'Phụ lục số 3-thu bs'!AL29</f>
        <v>1.0631067961165048</v>
      </c>
      <c r="AC43" s="1216">
        <f>'Phụ lục số 3-thu bs'!AN29</f>
        <v>1.0399527983816588</v>
      </c>
      <c r="AD43" s="1216">
        <f>'Phụ lục số 3-thu bs'!AO29</f>
        <v>1.0635208711433757</v>
      </c>
      <c r="AH43" s="1216">
        <f>'Phụ lục số 3-thu bs'!AQ29</f>
        <v>1.0403527942553856</v>
      </c>
      <c r="AI43" s="1216">
        <f>'Phụ lục số 3-thu bs'!AR29</f>
        <v>1.0644122383252816</v>
      </c>
    </row>
    <row r="44" spans="1:35" x14ac:dyDescent="0.25">
      <c r="K44" s="230">
        <v>974980</v>
      </c>
    </row>
    <row r="45" spans="1:35" x14ac:dyDescent="0.25">
      <c r="I45" s="230">
        <v>1787867</v>
      </c>
      <c r="K45" s="230">
        <v>11500</v>
      </c>
    </row>
    <row r="46" spans="1:35" x14ac:dyDescent="0.25">
      <c r="I46" s="230">
        <v>1869463</v>
      </c>
      <c r="K46" s="230">
        <f>+K44-K45</f>
        <v>963480</v>
      </c>
    </row>
    <row r="47" spans="1:35" x14ac:dyDescent="0.25">
      <c r="I47" s="230">
        <f>+I46-I45</f>
        <v>81596</v>
      </c>
      <c r="K47" s="230">
        <f>K14-K46</f>
        <v>168005</v>
      </c>
    </row>
    <row r="48" spans="1:35" x14ac:dyDescent="0.25">
      <c r="I48" s="230">
        <v>1950000</v>
      </c>
    </row>
    <row r="49" spans="9:11" x14ac:dyDescent="0.25">
      <c r="I49" s="230">
        <v>1960000</v>
      </c>
      <c r="K49" s="230">
        <v>14062909</v>
      </c>
    </row>
    <row r="50" spans="9:11" x14ac:dyDescent="0.25">
      <c r="I50" s="230">
        <f>I48-1460000</f>
        <v>490000</v>
      </c>
      <c r="K50" s="230">
        <f>+K11-K49</f>
        <v>61200</v>
      </c>
    </row>
    <row r="51" spans="9:11" x14ac:dyDescent="0.25">
      <c r="K51" s="230">
        <v>9072570</v>
      </c>
    </row>
    <row r="52" spans="9:11" x14ac:dyDescent="0.25">
      <c r="K52" s="230">
        <f>+K51-K18</f>
        <v>606749</v>
      </c>
    </row>
  </sheetData>
  <customSheetViews>
    <customSheetView guid="{88621519-296E-4458-B04E-813E881018FE}" scale="90" showGridLines="0" zeroValues="0" hiddenRows="1">
      <pane xSplit="2" ySplit="12" topLeftCell="J43" activePane="bottomRight" state="frozen"/>
      <selection pane="bottomRight" activeCell="A52" sqref="A52"/>
      <pageMargins left="0" right="0" top="0.59055118110236227" bottom="0.39370078740157483" header="0.15748031496062992" footer="0"/>
      <printOptions horizontalCentered="1"/>
      <pageSetup paperSize="9" orientation="landscape" r:id="rId1"/>
      <headerFooter alignWithMargins="0">
        <oddHeader>&amp;R&amp;A</oddHeader>
        <oddFooter>&amp;R&amp;10&amp;P/&amp;N</oddFooter>
      </headerFooter>
    </customSheetView>
  </customSheetViews>
  <mergeCells count="14">
    <mergeCell ref="C1:J1"/>
    <mergeCell ref="C2:J2"/>
    <mergeCell ref="B8:B9"/>
    <mergeCell ref="C8:E8"/>
    <mergeCell ref="D7:E7"/>
    <mergeCell ref="G6:I6"/>
    <mergeCell ref="F8:J8"/>
    <mergeCell ref="Z8:AD8"/>
    <mergeCell ref="AE8:AI8"/>
    <mergeCell ref="A8:A9"/>
    <mergeCell ref="C3:J3"/>
    <mergeCell ref="P8:T8"/>
    <mergeCell ref="U8:Y8"/>
    <mergeCell ref="K8:O8"/>
  </mergeCells>
  <phoneticPr fontId="5" type="noConversion"/>
  <printOptions horizontalCentered="1"/>
  <pageMargins left="0" right="0" top="0.59055118110236227" bottom="0.39370078740157483" header="0.15748031496062992" footer="0"/>
  <pageSetup paperSize="9" orientation="landscape" r:id="rId2"/>
  <headerFooter alignWithMargins="0">
    <oddHeader>&amp;R&amp;A</oddHeader>
    <oddFooter>&amp;R&amp;10&amp;P/&amp;N</oddFooter>
  </headerFooter>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0000"/>
    <pageSetUpPr fitToPage="1"/>
  </sheetPr>
  <dimension ref="A1:AR45"/>
  <sheetViews>
    <sheetView showGridLines="0" topLeftCell="B1" zoomScale="96" zoomScaleNormal="96" workbookViewId="0">
      <pane xSplit="4" ySplit="8" topLeftCell="F36" activePane="bottomRight" state="frozen"/>
      <selection activeCell="D13" sqref="D13"/>
      <selection pane="topRight" activeCell="D13" sqref="D13"/>
      <selection pane="bottomLeft" activeCell="D13" sqref="D13"/>
      <selection pane="bottomRight" activeCell="D13" sqref="D13"/>
    </sheetView>
  </sheetViews>
  <sheetFormatPr defaultRowHeight="16.5" x14ac:dyDescent="0.25"/>
  <cols>
    <col min="1" max="1" width="4.25" style="45" customWidth="1"/>
    <col min="2" max="2" width="33.25" style="42" customWidth="1"/>
    <col min="3" max="26" width="10.625" style="42" customWidth="1"/>
    <col min="27" max="27" width="17.5" style="42" customWidth="1"/>
    <col min="28" max="28" width="16.375" style="42" customWidth="1"/>
    <col min="29" max="29" width="13.875" style="42" customWidth="1"/>
    <col min="30" max="30" width="16.625" style="42" customWidth="1"/>
    <col min="31" max="31" width="17" style="42" customWidth="1"/>
    <col min="32" max="32" width="16.75" style="42" customWidth="1"/>
    <col min="33" max="33" width="29.75" style="42" customWidth="1"/>
    <col min="34" max="34" width="12.375" style="42" customWidth="1"/>
    <col min="35" max="35" width="11" style="42" customWidth="1"/>
    <col min="36" max="36" width="40.875" style="42" bestFit="1" customWidth="1"/>
    <col min="37" max="38" width="9" style="42"/>
    <col min="39" max="39" width="41.125" style="42" bestFit="1" customWidth="1"/>
    <col min="40" max="41" width="9" style="42"/>
    <col min="42" max="42" width="41.125" style="42" bestFit="1" customWidth="1"/>
    <col min="43" max="16384" width="9" style="42"/>
  </cols>
  <sheetData>
    <row r="1" spans="1:44" ht="34.5" customHeight="1" x14ac:dyDescent="0.25">
      <c r="A1" s="1368" t="s">
        <v>1389</v>
      </c>
      <c r="B1" s="1368"/>
      <c r="C1" s="1368"/>
      <c r="D1" s="1368"/>
      <c r="E1" s="1368"/>
      <c r="F1" s="1368"/>
      <c r="G1" s="1368"/>
      <c r="H1" s="1368"/>
      <c r="I1" s="1368"/>
      <c r="J1" s="1368"/>
      <c r="K1" s="1368"/>
      <c r="L1" s="1368"/>
      <c r="M1" s="1368"/>
      <c r="N1" s="1368"/>
      <c r="O1" s="1368"/>
      <c r="P1" s="1368"/>
      <c r="Q1" s="1368"/>
      <c r="R1" s="670"/>
      <c r="S1" s="670"/>
      <c r="T1" s="670"/>
      <c r="U1" s="670"/>
      <c r="V1" s="670"/>
      <c r="W1" s="670"/>
      <c r="X1" s="670"/>
      <c r="Y1" s="670"/>
      <c r="Z1" s="670"/>
      <c r="AA1" s="209"/>
      <c r="AB1" s="209"/>
      <c r="AC1" s="209"/>
      <c r="AD1" s="209" t="s">
        <v>1537</v>
      </c>
      <c r="AE1" s="209"/>
      <c r="AF1" s="209"/>
      <c r="AI1" s="1265"/>
      <c r="AQ1" s="1265"/>
    </row>
    <row r="2" spans="1:44" x14ac:dyDescent="0.25">
      <c r="A2" s="667"/>
      <c r="B2" s="667"/>
      <c r="C2" s="667"/>
      <c r="D2" s="667"/>
      <c r="E2" s="667"/>
      <c r="F2" s="667"/>
      <c r="G2" s="209"/>
      <c r="H2" s="210"/>
      <c r="I2" s="1458" t="s">
        <v>489</v>
      </c>
      <c r="J2" s="1458"/>
      <c r="K2" s="1458"/>
      <c r="L2" s="658"/>
      <c r="M2" s="283"/>
      <c r="N2" s="658"/>
      <c r="O2" s="283"/>
      <c r="P2" s="283"/>
      <c r="Q2" s="283"/>
      <c r="R2" s="283"/>
      <c r="S2" s="283"/>
      <c r="T2" s="283"/>
      <c r="U2" s="283"/>
      <c r="V2" s="283"/>
      <c r="W2" s="283"/>
      <c r="X2" s="283"/>
      <c r="Y2" s="283"/>
      <c r="Z2" s="283"/>
      <c r="AA2" s="209"/>
      <c r="AB2" s="209"/>
      <c r="AC2" s="209"/>
      <c r="AD2" s="209"/>
      <c r="AE2" s="209"/>
      <c r="AF2" s="209"/>
    </row>
    <row r="3" spans="1:44" s="43" customFormat="1" ht="17.25" customHeight="1" x14ac:dyDescent="0.25">
      <c r="A3" s="1459" t="s">
        <v>453</v>
      </c>
      <c r="B3" s="1459" t="s">
        <v>454</v>
      </c>
      <c r="C3" s="1461" t="s">
        <v>959</v>
      </c>
      <c r="D3" s="1461"/>
      <c r="E3" s="1461"/>
      <c r="F3" s="1421" t="s">
        <v>1390</v>
      </c>
      <c r="G3" s="1457"/>
      <c r="H3" s="1422"/>
      <c r="I3" s="1421" t="s">
        <v>1391</v>
      </c>
      <c r="J3" s="1457"/>
      <c r="K3" s="1422"/>
      <c r="L3" s="1421" t="s">
        <v>958</v>
      </c>
      <c r="M3" s="1457"/>
      <c r="N3" s="1422"/>
      <c r="O3" s="1421" t="s">
        <v>981</v>
      </c>
      <c r="P3" s="1457"/>
      <c r="Q3" s="1422"/>
      <c r="R3" s="1421" t="s">
        <v>982</v>
      </c>
      <c r="S3" s="1457"/>
      <c r="T3" s="1422"/>
      <c r="U3" s="1421" t="s">
        <v>983</v>
      </c>
      <c r="V3" s="1457"/>
      <c r="W3" s="1422"/>
      <c r="X3" s="1421" t="s">
        <v>1392</v>
      </c>
      <c r="Y3" s="1457"/>
      <c r="Z3" s="1422"/>
      <c r="AA3" s="1421" t="s">
        <v>1393</v>
      </c>
      <c r="AB3" s="1457"/>
      <c r="AC3" s="1422"/>
      <c r="AD3" s="1421" t="s">
        <v>1394</v>
      </c>
      <c r="AE3" s="1457"/>
      <c r="AF3" s="1422"/>
      <c r="AG3" s="1421" t="s">
        <v>1633</v>
      </c>
      <c r="AH3" s="1457"/>
      <c r="AI3" s="1422"/>
      <c r="AJ3" s="1421" t="s">
        <v>1634</v>
      </c>
      <c r="AK3" s="1457"/>
      <c r="AL3" s="1422"/>
      <c r="AM3" s="1421" t="s">
        <v>1635</v>
      </c>
      <c r="AN3" s="1457"/>
      <c r="AO3" s="1422"/>
      <c r="AP3" s="1421" t="s">
        <v>1636</v>
      </c>
      <c r="AQ3" s="1457"/>
      <c r="AR3" s="1422"/>
    </row>
    <row r="4" spans="1:44" s="43" customFormat="1" x14ac:dyDescent="0.25">
      <c r="A4" s="1460"/>
      <c r="B4" s="1460"/>
      <c r="C4" s="671" t="s">
        <v>455</v>
      </c>
      <c r="D4" s="46" t="s">
        <v>497</v>
      </c>
      <c r="E4" s="46" t="s">
        <v>498</v>
      </c>
      <c r="F4" s="671" t="s">
        <v>455</v>
      </c>
      <c r="G4" s="46" t="s">
        <v>497</v>
      </c>
      <c r="H4" s="46" t="s">
        <v>498</v>
      </c>
      <c r="I4" s="671" t="s">
        <v>455</v>
      </c>
      <c r="J4" s="46" t="s">
        <v>497</v>
      </c>
      <c r="K4" s="46" t="s">
        <v>498</v>
      </c>
      <c r="L4" s="671" t="s">
        <v>455</v>
      </c>
      <c r="M4" s="46" t="s">
        <v>497</v>
      </c>
      <c r="N4" s="46" t="s">
        <v>498</v>
      </c>
      <c r="O4" s="671" t="s">
        <v>455</v>
      </c>
      <c r="P4" s="46" t="s">
        <v>497</v>
      </c>
      <c r="Q4" s="46" t="s">
        <v>498</v>
      </c>
      <c r="R4" s="671" t="s">
        <v>455</v>
      </c>
      <c r="S4" s="46" t="s">
        <v>497</v>
      </c>
      <c r="T4" s="46" t="s">
        <v>498</v>
      </c>
      <c r="U4" s="671" t="s">
        <v>455</v>
      </c>
      <c r="V4" s="46" t="s">
        <v>497</v>
      </c>
      <c r="W4" s="46" t="s">
        <v>498</v>
      </c>
      <c r="X4" s="671" t="s">
        <v>455</v>
      </c>
      <c r="Y4" s="46" t="s">
        <v>497</v>
      </c>
      <c r="Z4" s="46" t="s">
        <v>498</v>
      </c>
      <c r="AA4" s="671" t="s">
        <v>455</v>
      </c>
      <c r="AB4" s="672" t="s">
        <v>456</v>
      </c>
      <c r="AC4" s="672" t="s">
        <v>457</v>
      </c>
      <c r="AD4" s="671" t="s">
        <v>455</v>
      </c>
      <c r="AE4" s="672" t="s">
        <v>456</v>
      </c>
      <c r="AF4" s="672" t="s">
        <v>457</v>
      </c>
      <c r="AG4" s="671" t="s">
        <v>455</v>
      </c>
      <c r="AH4" s="672" t="s">
        <v>456</v>
      </c>
      <c r="AI4" s="672" t="s">
        <v>457</v>
      </c>
      <c r="AJ4" s="671" t="s">
        <v>455</v>
      </c>
      <c r="AK4" s="672" t="s">
        <v>456</v>
      </c>
      <c r="AL4" s="672" t="s">
        <v>457</v>
      </c>
      <c r="AM4" s="671" t="s">
        <v>455</v>
      </c>
      <c r="AN4" s="672" t="s">
        <v>456</v>
      </c>
      <c r="AO4" s="672" t="s">
        <v>457</v>
      </c>
      <c r="AP4" s="671" t="s">
        <v>455</v>
      </c>
      <c r="AQ4" s="672" t="s">
        <v>456</v>
      </c>
      <c r="AR4" s="672" t="s">
        <v>457</v>
      </c>
    </row>
    <row r="5" spans="1:44" s="43" customFormat="1" x14ac:dyDescent="0.25">
      <c r="A5" s="674" t="s">
        <v>407</v>
      </c>
      <c r="B5" s="817" t="s">
        <v>490</v>
      </c>
      <c r="C5" s="818">
        <f t="shared" ref="C5:Q5" si="0">SUM(C8,C12,C16,C17)</f>
        <v>17989800</v>
      </c>
      <c r="D5" s="818">
        <f>SUM(D8,D12,D16,D17)</f>
        <v>10930506</v>
      </c>
      <c r="E5" s="818">
        <f t="shared" si="0"/>
        <v>7059294</v>
      </c>
      <c r="F5" s="818">
        <f t="shared" si="0"/>
        <v>17791460</v>
      </c>
      <c r="G5" s="818">
        <f t="shared" si="0"/>
        <v>10861801</v>
      </c>
      <c r="H5" s="818">
        <f t="shared" si="0"/>
        <v>6929659</v>
      </c>
      <c r="I5" s="818">
        <f t="shared" si="0"/>
        <v>18661694</v>
      </c>
      <c r="J5" s="818">
        <f>SUM(J8,J12,J16,J17)</f>
        <v>11208685</v>
      </c>
      <c r="K5" s="818">
        <f>SUM(K8,K12,K16,K17)</f>
        <v>7453009</v>
      </c>
      <c r="L5" s="818">
        <f t="shared" si="0"/>
        <v>19724245</v>
      </c>
      <c r="M5" s="818">
        <f>SUM(M8,M12,M16,M17)</f>
        <v>11694651</v>
      </c>
      <c r="N5" s="818">
        <f t="shared" si="0"/>
        <v>8029594</v>
      </c>
      <c r="O5" s="818">
        <f t="shared" si="0"/>
        <v>20638804</v>
      </c>
      <c r="P5" s="818">
        <f t="shared" si="0"/>
        <v>12182555</v>
      </c>
      <c r="Q5" s="818">
        <f t="shared" si="0"/>
        <v>8456249</v>
      </c>
      <c r="R5" s="818">
        <f t="shared" ref="R5:W5" si="1">SUM(R8,R12,R16,R17)</f>
        <v>21582994</v>
      </c>
      <c r="S5" s="818">
        <f t="shared" si="1"/>
        <v>12665245</v>
      </c>
      <c r="T5" s="818">
        <f t="shared" si="1"/>
        <v>8917749</v>
      </c>
      <c r="U5" s="818">
        <f t="shared" si="1"/>
        <v>22634554</v>
      </c>
      <c r="V5" s="818">
        <f t="shared" si="1"/>
        <v>13216805</v>
      </c>
      <c r="W5" s="818">
        <f t="shared" si="1"/>
        <v>9417749</v>
      </c>
      <c r="X5" s="818">
        <f>I5+L5+O5</f>
        <v>59024743</v>
      </c>
      <c r="Y5" s="818">
        <f>J5+M5+P5</f>
        <v>35085891</v>
      </c>
      <c r="Z5" s="818">
        <f>K5+N5+Q5</f>
        <v>23938852</v>
      </c>
      <c r="AA5" s="819" t="s">
        <v>960</v>
      </c>
      <c r="AB5" s="818"/>
      <c r="AC5" s="818"/>
      <c r="AD5" s="819" t="s">
        <v>961</v>
      </c>
      <c r="AE5" s="818"/>
      <c r="AF5" s="818"/>
      <c r="AG5" s="819" t="s">
        <v>631</v>
      </c>
      <c r="AH5" s="818"/>
      <c r="AI5" s="818"/>
      <c r="AJ5" s="819" t="s">
        <v>631</v>
      </c>
      <c r="AK5" s="818"/>
      <c r="AL5" s="818"/>
      <c r="AM5" s="819" t="s">
        <v>631</v>
      </c>
      <c r="AN5" s="818"/>
      <c r="AO5" s="818"/>
      <c r="AP5" s="819" t="s">
        <v>631</v>
      </c>
      <c r="AQ5" s="818"/>
      <c r="AR5" s="818"/>
    </row>
    <row r="6" spans="1:44" s="43" customFormat="1" x14ac:dyDescent="0.25">
      <c r="A6" s="674"/>
      <c r="B6" s="98" t="s">
        <v>682</v>
      </c>
      <c r="C6" s="551">
        <f>SUM(C8,D13,D15,C16)</f>
        <v>12181277</v>
      </c>
      <c r="D6" s="551">
        <f>D8+D13+D15+D16-D37</f>
        <v>5121983</v>
      </c>
      <c r="E6" s="551">
        <f>C6-D6</f>
        <v>7059294</v>
      </c>
      <c r="F6" s="551">
        <f>SUM(F8,G13,G15,F16)</f>
        <v>11982937</v>
      </c>
      <c r="G6" s="551">
        <f>G8+G13+G15+G16-G37</f>
        <v>5053278</v>
      </c>
      <c r="H6" s="551">
        <f>F6-G6</f>
        <v>6929659</v>
      </c>
      <c r="I6" s="551">
        <f>SUM(I8,J13,J15,I16)</f>
        <v>12692115</v>
      </c>
      <c r="J6" s="551">
        <f>J8+J13+J15+J16-J37</f>
        <v>5239106</v>
      </c>
      <c r="K6" s="551">
        <f>I6-J6</f>
        <v>7453009</v>
      </c>
      <c r="L6" s="551">
        <f>SUM(L8,M13,M15,L16)</f>
        <v>13491594</v>
      </c>
      <c r="M6" s="551">
        <f>M8+M13+M15+M16-M37</f>
        <v>5462000</v>
      </c>
      <c r="N6" s="551">
        <f>L6-M6</f>
        <v>8029594</v>
      </c>
      <c r="O6" s="551">
        <f>SUM(O8,P13,P15,O16)</f>
        <v>14233249</v>
      </c>
      <c r="P6" s="551">
        <f>P8+P13+P15+P16-P37</f>
        <v>5777000</v>
      </c>
      <c r="Q6" s="551">
        <f>O6-P6</f>
        <v>8456249</v>
      </c>
      <c r="R6" s="551">
        <f>SUM(R8,S13,S15,R16)</f>
        <v>14860439</v>
      </c>
      <c r="S6" s="551">
        <f>S8+S13+S15+S16-S37</f>
        <v>5942690</v>
      </c>
      <c r="T6" s="551">
        <f>R6-S6</f>
        <v>8917749</v>
      </c>
      <c r="U6" s="551">
        <f>SUM(U8,V13,V15,U16)</f>
        <v>15536999</v>
      </c>
      <c r="V6" s="551">
        <f>V8+V13+V15+V16-V37</f>
        <v>6119250</v>
      </c>
      <c r="W6" s="551">
        <f>U6-V6</f>
        <v>9417749</v>
      </c>
      <c r="X6" s="551">
        <f>SUM(X8,Y13,Y15,X16)</f>
        <v>40416958</v>
      </c>
      <c r="Y6" s="818">
        <f>J6+M6+P6</f>
        <v>16478106</v>
      </c>
      <c r="Z6" s="818">
        <f>K6+N6+Q6</f>
        <v>23938852</v>
      </c>
      <c r="AA6" s="820"/>
      <c r="AB6" s="551"/>
      <c r="AC6" s="551"/>
      <c r="AD6" s="820"/>
      <c r="AE6" s="551"/>
      <c r="AF6" s="551"/>
      <c r="AG6" s="820"/>
      <c r="AH6" s="551"/>
      <c r="AI6" s="551"/>
      <c r="AJ6" s="820"/>
      <c r="AK6" s="551"/>
      <c r="AL6" s="551"/>
      <c r="AM6" s="820"/>
      <c r="AN6" s="551"/>
      <c r="AO6" s="551"/>
      <c r="AP6" s="820"/>
      <c r="AQ6" s="551"/>
      <c r="AR6" s="551"/>
    </row>
    <row r="7" spans="1:44" s="1215" customFormat="1" x14ac:dyDescent="0.25">
      <c r="A7" s="1211"/>
      <c r="B7" s="1212" t="s">
        <v>1492</v>
      </c>
      <c r="C7" s="1213">
        <f>+D7+E7</f>
        <v>10121277</v>
      </c>
      <c r="D7" s="1213">
        <f>D6-D9-D10</f>
        <v>3561983</v>
      </c>
      <c r="E7" s="1213">
        <f>E6-E9-E10</f>
        <v>6559294</v>
      </c>
      <c r="F7" s="1213">
        <f>+G7+H7</f>
        <v>9432937</v>
      </c>
      <c r="G7" s="1213">
        <f>G6-G9-G10</f>
        <v>3253278</v>
      </c>
      <c r="H7" s="1213">
        <f>H6-H9-H10</f>
        <v>6179659</v>
      </c>
      <c r="I7" s="1213">
        <f>+J7+K7</f>
        <v>10442115</v>
      </c>
      <c r="J7" s="1213">
        <f>J6-J9-J10</f>
        <v>3639106</v>
      </c>
      <c r="K7" s="1213">
        <f>K6-K9-K10</f>
        <v>6803009</v>
      </c>
      <c r="L7" s="1213">
        <f>+M7+N7</f>
        <v>11141594</v>
      </c>
      <c r="M7" s="1213">
        <f>M6-M9-M10</f>
        <v>3812000</v>
      </c>
      <c r="N7" s="1213">
        <f>N6-N9-N10</f>
        <v>7329594</v>
      </c>
      <c r="O7" s="1213">
        <f>+P7+Q7</f>
        <v>11833249</v>
      </c>
      <c r="P7" s="1213">
        <f>P6-P9-P10</f>
        <v>4077000</v>
      </c>
      <c r="Q7" s="1213">
        <f>Q6-Q9-Q10</f>
        <v>7756249</v>
      </c>
      <c r="R7" s="1213">
        <f>+S7+T7</f>
        <v>12460439</v>
      </c>
      <c r="S7" s="1213">
        <f>S6-S9-S10</f>
        <v>4242690</v>
      </c>
      <c r="T7" s="1213">
        <f>T6-T9-T10</f>
        <v>8217749</v>
      </c>
      <c r="U7" s="1213">
        <f>+V7+W7</f>
        <v>13136999</v>
      </c>
      <c r="V7" s="1213">
        <f>V6-V9-V10</f>
        <v>4419250</v>
      </c>
      <c r="W7" s="1213">
        <f>W6-W9-W10</f>
        <v>8717749</v>
      </c>
      <c r="X7" s="1213">
        <f>+Y7+Z7</f>
        <v>33416958</v>
      </c>
      <c r="Y7" s="1213">
        <f>Y6-Y9-Y10</f>
        <v>11528106</v>
      </c>
      <c r="Z7" s="1213">
        <f>Z6-Z9-Z10</f>
        <v>21888852</v>
      </c>
      <c r="AA7" s="1214"/>
      <c r="AB7" s="1213"/>
      <c r="AC7" s="1213"/>
      <c r="AD7" s="1214"/>
      <c r="AE7" s="1213"/>
      <c r="AF7" s="1213"/>
      <c r="AG7" s="1214"/>
      <c r="AH7" s="1213"/>
      <c r="AI7" s="1213"/>
      <c r="AJ7" s="1214"/>
      <c r="AK7" s="1213"/>
      <c r="AL7" s="1213"/>
      <c r="AM7" s="1214"/>
      <c r="AN7" s="1213"/>
      <c r="AO7" s="1213"/>
      <c r="AP7" s="1214"/>
      <c r="AQ7" s="1213"/>
      <c r="AR7" s="1213"/>
    </row>
    <row r="8" spans="1:44" s="43" customFormat="1" x14ac:dyDescent="0.25">
      <c r="A8" s="1176"/>
      <c r="B8" s="98" t="s">
        <v>675</v>
      </c>
      <c r="C8" s="551">
        <f t="shared" ref="C8:C17" si="2">SUM(D8:E8)</f>
        <v>6718700</v>
      </c>
      <c r="D8" s="551">
        <f>'Phụ lục số 1'!F12</f>
        <v>4210265</v>
      </c>
      <c r="E8" s="551">
        <f>'Phụ lục số 1'!G12</f>
        <v>2508435</v>
      </c>
      <c r="F8" s="551">
        <f t="shared" ref="F8:F17" si="3">SUM(G8:H8)</f>
        <v>6520360</v>
      </c>
      <c r="G8" s="551">
        <f>'Phụ lục số 1'!L12</f>
        <v>4141560</v>
      </c>
      <c r="H8" s="551">
        <f>'Phụ lục số 1'!M12</f>
        <v>2378800</v>
      </c>
      <c r="I8" s="551">
        <f t="shared" ref="I8:I17" si="4">SUM(J8:K8)</f>
        <v>6480440</v>
      </c>
      <c r="J8" s="551">
        <f>'Phụ lục số 1'!R12</f>
        <v>4103130</v>
      </c>
      <c r="K8" s="551">
        <f>'Phụ lục số 1'!S12</f>
        <v>2377310</v>
      </c>
      <c r="L8" s="551">
        <f t="shared" ref="L8:L17" si="5">SUM(M8:N8)</f>
        <v>7051000</v>
      </c>
      <c r="M8" s="551">
        <f>'Phụ lục số 1'!X12</f>
        <v>4394000</v>
      </c>
      <c r="N8" s="551">
        <f>'Phụ lục số 1'!Y12</f>
        <v>2657000</v>
      </c>
      <c r="O8" s="551">
        <f t="shared" ref="O8:O17" si="6">SUM(P8:Q8)</f>
        <v>7570000</v>
      </c>
      <c r="P8" s="551">
        <f>'Phụ lục số 1'!AD12</f>
        <v>4666000</v>
      </c>
      <c r="Q8" s="551">
        <f>'Phụ lục số 1'!AE12</f>
        <v>2904000</v>
      </c>
      <c r="R8" s="551">
        <f>SUM(S8:T8)</f>
        <v>8087000</v>
      </c>
      <c r="S8" s="551">
        <f>'Phụ lục số 1'!AJ12</f>
        <v>4903000</v>
      </c>
      <c r="T8" s="551">
        <f>'Phụ lục số 1'!AK12</f>
        <v>3184000</v>
      </c>
      <c r="U8" s="551">
        <f>SUM(V8:W8)</f>
        <v>8665500</v>
      </c>
      <c r="V8" s="551">
        <f>'Phụ lục số 1'!AP12</f>
        <v>5161500</v>
      </c>
      <c r="W8" s="551">
        <f>'Phụ lục số 1'!AQ12</f>
        <v>3504000</v>
      </c>
      <c r="X8" s="551">
        <f>I8+L8+O8</f>
        <v>21101440</v>
      </c>
      <c r="Y8" s="551">
        <f>J8+M8+P8</f>
        <v>13163130</v>
      </c>
      <c r="Z8" s="551">
        <f>K8+N8+Q8</f>
        <v>7938310</v>
      </c>
      <c r="AA8" s="551">
        <f>SUM(AB8:AC8)</f>
        <v>-198340</v>
      </c>
      <c r="AB8" s="551">
        <f>G8-$D$8</f>
        <v>-68705</v>
      </c>
      <c r="AC8" s="551">
        <f>H8-$E$8</f>
        <v>-129635</v>
      </c>
      <c r="AD8" s="551">
        <f>SUM(AE8:AF8)</f>
        <v>-238260</v>
      </c>
      <c r="AE8" s="551">
        <f>J8-$D$8</f>
        <v>-107135</v>
      </c>
      <c r="AF8" s="551">
        <f>K8-$E$8</f>
        <v>-131125</v>
      </c>
      <c r="AG8" s="551">
        <f>SUM(AH8:AI8)</f>
        <v>570560</v>
      </c>
      <c r="AH8" s="551">
        <f>M8-J8</f>
        <v>290870</v>
      </c>
      <c r="AI8" s="551">
        <f>N8-K8</f>
        <v>279690</v>
      </c>
      <c r="AJ8" s="551">
        <f>SUM(AK8:AL8)</f>
        <v>519000</v>
      </c>
      <c r="AK8" s="551">
        <f>P8-M8</f>
        <v>272000</v>
      </c>
      <c r="AL8" s="551">
        <f>Q8-N8</f>
        <v>247000</v>
      </c>
      <c r="AM8" s="551">
        <f>SUM(AN8:AO8)</f>
        <v>517000</v>
      </c>
      <c r="AN8" s="551">
        <f>S8-P8</f>
        <v>237000</v>
      </c>
      <c r="AO8" s="551">
        <f>T8-Q8</f>
        <v>280000</v>
      </c>
      <c r="AP8" s="551">
        <f>SUM(AQ8:AR8)</f>
        <v>578500</v>
      </c>
      <c r="AQ8" s="551">
        <f>V8-S8</f>
        <v>258500</v>
      </c>
      <c r="AR8" s="551">
        <f>W8-T8</f>
        <v>320000</v>
      </c>
    </row>
    <row r="9" spans="1:44" s="43" customFormat="1" x14ac:dyDescent="0.25">
      <c r="A9" s="231"/>
      <c r="B9" s="218" t="s">
        <v>645</v>
      </c>
      <c r="C9" s="542">
        <f t="shared" si="2"/>
        <v>600000</v>
      </c>
      <c r="D9" s="542">
        <f>'Phụ lục số 1'!F44</f>
        <v>100000</v>
      </c>
      <c r="E9" s="542">
        <f>'Phụ lục số 1'!G44</f>
        <v>500000</v>
      </c>
      <c r="F9" s="542">
        <f t="shared" si="3"/>
        <v>750000</v>
      </c>
      <c r="G9" s="542">
        <f>'Phụ lục số 1'!L44</f>
        <v>0</v>
      </c>
      <c r="H9" s="542">
        <f>'Phụ lục số 1'!M44</f>
        <v>750000</v>
      </c>
      <c r="I9" s="542">
        <f t="shared" si="4"/>
        <v>750000</v>
      </c>
      <c r="J9" s="542">
        <f>'Phụ lục số 1'!R44</f>
        <v>100000</v>
      </c>
      <c r="K9" s="542">
        <f>'Phụ lục số 1'!S44</f>
        <v>650000</v>
      </c>
      <c r="L9" s="542">
        <f t="shared" si="5"/>
        <v>800000</v>
      </c>
      <c r="M9" s="542">
        <f>'Phụ lục số 1'!X44</f>
        <v>100000</v>
      </c>
      <c r="N9" s="542">
        <f>'Phụ lục số 1'!Y44</f>
        <v>700000</v>
      </c>
      <c r="O9" s="542">
        <f t="shared" si="6"/>
        <v>800000</v>
      </c>
      <c r="P9" s="542">
        <f>'Phụ lục số 1'!AD44</f>
        <v>100000</v>
      </c>
      <c r="Q9" s="542">
        <f>'Phụ lục số 1'!AE44</f>
        <v>700000</v>
      </c>
      <c r="R9" s="542">
        <f>SUM(S9:T9)</f>
        <v>800000</v>
      </c>
      <c r="S9" s="542">
        <f>'Phụ lục số 1'!AJ44</f>
        <v>100000</v>
      </c>
      <c r="T9" s="542">
        <f>'Phụ lục số 1'!AK44</f>
        <v>700000</v>
      </c>
      <c r="U9" s="542">
        <f>SUM(V9:W9)</f>
        <v>800000</v>
      </c>
      <c r="V9" s="542">
        <f>'Phụ lục số 1'!AP44</f>
        <v>100000</v>
      </c>
      <c r="W9" s="542">
        <f>'Phụ lục số 1'!AQ44</f>
        <v>700000</v>
      </c>
      <c r="X9" s="542">
        <f t="shared" ref="X9:X38" si="7">I9+L9+O9</f>
        <v>2350000</v>
      </c>
      <c r="Y9" s="542">
        <f t="shared" ref="Y9:Y38" si="8">J9+M9+P9</f>
        <v>300000</v>
      </c>
      <c r="Z9" s="542">
        <f t="shared" ref="Z9:Z38" si="9">K9+N9+Q9</f>
        <v>2050000</v>
      </c>
      <c r="AA9" s="820" t="s">
        <v>634</v>
      </c>
      <c r="AB9" s="551"/>
      <c r="AC9" s="551"/>
      <c r="AD9" s="820" t="s">
        <v>634</v>
      </c>
      <c r="AE9" s="551"/>
      <c r="AF9" s="551"/>
      <c r="AG9" s="820" t="s">
        <v>634</v>
      </c>
      <c r="AH9" s="551"/>
      <c r="AI9" s="551"/>
      <c r="AJ9" s="820" t="s">
        <v>634</v>
      </c>
      <c r="AK9" s="551"/>
      <c r="AL9" s="551"/>
      <c r="AM9" s="820" t="s">
        <v>634</v>
      </c>
      <c r="AN9" s="551"/>
      <c r="AO9" s="551"/>
      <c r="AP9" s="820" t="s">
        <v>634</v>
      </c>
      <c r="AQ9" s="551"/>
      <c r="AR9" s="551"/>
    </row>
    <row r="10" spans="1:44" s="43" customFormat="1" x14ac:dyDescent="0.25">
      <c r="A10" s="231"/>
      <c r="B10" s="218" t="s">
        <v>644</v>
      </c>
      <c r="C10" s="542">
        <f>SUM(D10:E10)</f>
        <v>1460000</v>
      </c>
      <c r="D10" s="542">
        <f>'Phụ lục số 1'!F51</f>
        <v>1460000</v>
      </c>
      <c r="E10" s="542">
        <f>'Phụ lục số 1'!G51</f>
        <v>0</v>
      </c>
      <c r="F10" s="542">
        <f>SUM(G10:H10)</f>
        <v>1800000</v>
      </c>
      <c r="G10" s="542">
        <f>'Phụ lục số 1'!L51</f>
        <v>1800000</v>
      </c>
      <c r="H10" s="542">
        <f>'Phụ lục số 1'!M51</f>
        <v>0</v>
      </c>
      <c r="I10" s="542">
        <f>SUM(J10:K10)</f>
        <v>1500000</v>
      </c>
      <c r="J10" s="542">
        <f>'Phụ lục số 1'!R51</f>
        <v>1500000</v>
      </c>
      <c r="K10" s="542">
        <f>'Phụ lục số 1'!S51</f>
        <v>0</v>
      </c>
      <c r="L10" s="542">
        <f>SUM(M10:N10)</f>
        <v>1550000</v>
      </c>
      <c r="M10" s="542">
        <f>'Phụ lục số 1'!X51</f>
        <v>1550000</v>
      </c>
      <c r="N10" s="542">
        <f>'Phụ lục số 1'!V51</f>
        <v>0</v>
      </c>
      <c r="O10" s="542">
        <f>SUM(P10:Q10)</f>
        <v>1600000</v>
      </c>
      <c r="P10" s="542">
        <f>'Phụ lục số 1'!AD51</f>
        <v>1600000</v>
      </c>
      <c r="Q10" s="542">
        <f>'Phụ lục số 1'!AE51</f>
        <v>0</v>
      </c>
      <c r="R10" s="542">
        <f>SUM(S10:T10)</f>
        <v>1600000</v>
      </c>
      <c r="S10" s="542">
        <f>'Phụ lục số 1'!AJ51</f>
        <v>1600000</v>
      </c>
      <c r="T10" s="542">
        <f>'Phụ lục số 1'!AH51</f>
        <v>0</v>
      </c>
      <c r="U10" s="542">
        <f>SUM(V10:W10)</f>
        <v>1600000</v>
      </c>
      <c r="V10" s="542">
        <f>'Phụ lục số 1'!AP51</f>
        <v>1600000</v>
      </c>
      <c r="W10" s="542">
        <f>'Phụ lục số 1'!AQ51</f>
        <v>0</v>
      </c>
      <c r="X10" s="542">
        <f t="shared" si="7"/>
        <v>4650000</v>
      </c>
      <c r="Y10" s="542">
        <f t="shared" si="8"/>
        <v>4650000</v>
      </c>
      <c r="Z10" s="542">
        <f t="shared" si="9"/>
        <v>0</v>
      </c>
      <c r="AA10" s="551">
        <f>SUM(AB10:AC10)</f>
        <v>490000</v>
      </c>
      <c r="AB10" s="551">
        <f>(G9+G10)-($D$9+$D$10)</f>
        <v>240000</v>
      </c>
      <c r="AC10" s="551">
        <f>(H9+H10)-($E$9+$E$10)</f>
        <v>250000</v>
      </c>
      <c r="AD10" s="551">
        <f>SUM(AE10:AF10)</f>
        <v>190000</v>
      </c>
      <c r="AE10" s="551">
        <f>(J9+J10)-($D$9+$D$10)</f>
        <v>40000</v>
      </c>
      <c r="AF10" s="551">
        <f>(K9+K10)-($E$9+$E$10)</f>
        <v>150000</v>
      </c>
      <c r="AG10" s="551">
        <f>SUM(AH10:AI10)</f>
        <v>100000</v>
      </c>
      <c r="AH10" s="551">
        <f>(M9+M10)-(J9+J10)</f>
        <v>50000</v>
      </c>
      <c r="AI10" s="551">
        <f>(N9+N10)-(K9+K10)</f>
        <v>50000</v>
      </c>
      <c r="AJ10" s="551">
        <f>SUM(AK10:AL10)</f>
        <v>50000</v>
      </c>
      <c r="AK10" s="551">
        <f>(P9+P10)-(M9+M10)</f>
        <v>50000</v>
      </c>
      <c r="AL10" s="551">
        <f>(Q9+Q10)-(N9+N10)</f>
        <v>0</v>
      </c>
      <c r="AM10" s="551">
        <f>SUM(AN10:AO10)</f>
        <v>0</v>
      </c>
      <c r="AN10" s="551">
        <f>(S9+S10)-(P9+P10)</f>
        <v>0</v>
      </c>
      <c r="AO10" s="551">
        <f>(T9+T10)-(Q9+Q10)</f>
        <v>0</v>
      </c>
      <c r="AP10" s="551">
        <f>SUM(AQ10:AR10)</f>
        <v>0</v>
      </c>
      <c r="AQ10" s="551">
        <f>(V9+V10)-(S9+S10)</f>
        <v>0</v>
      </c>
      <c r="AR10" s="551">
        <f>(W9+W10)-(T9+T10)</f>
        <v>0</v>
      </c>
    </row>
    <row r="11" spans="1:44" s="43" customFormat="1" x14ac:dyDescent="0.25">
      <c r="A11" s="231"/>
      <c r="B11" s="218" t="s">
        <v>643</v>
      </c>
      <c r="C11" s="542">
        <f t="shared" si="2"/>
        <v>4658700</v>
      </c>
      <c r="D11" s="542">
        <f>D8-D9-D10</f>
        <v>2650265</v>
      </c>
      <c r="E11" s="542">
        <f t="shared" ref="E11:Q11" si="10">E8-E9-E10</f>
        <v>2008435</v>
      </c>
      <c r="F11" s="542">
        <f t="shared" si="10"/>
        <v>3970360</v>
      </c>
      <c r="G11" s="542">
        <f t="shared" si="10"/>
        <v>2341560</v>
      </c>
      <c r="H11" s="542">
        <f t="shared" si="10"/>
        <v>1628800</v>
      </c>
      <c r="I11" s="542">
        <f t="shared" si="10"/>
        <v>4230440</v>
      </c>
      <c r="J11" s="542">
        <f t="shared" si="10"/>
        <v>2503130</v>
      </c>
      <c r="K11" s="542">
        <f t="shared" si="10"/>
        <v>1727310</v>
      </c>
      <c r="L11" s="542">
        <f t="shared" si="10"/>
        <v>4701000</v>
      </c>
      <c r="M11" s="542">
        <f>M8-M9-M10</f>
        <v>2744000</v>
      </c>
      <c r="N11" s="542">
        <f t="shared" si="10"/>
        <v>1957000</v>
      </c>
      <c r="O11" s="542">
        <f t="shared" si="10"/>
        <v>5170000</v>
      </c>
      <c r="P11" s="542">
        <f t="shared" si="10"/>
        <v>2966000</v>
      </c>
      <c r="Q11" s="542">
        <f t="shared" si="10"/>
        <v>2204000</v>
      </c>
      <c r="R11" s="542">
        <f t="shared" ref="R11:W11" si="11">R8-R9-R10</f>
        <v>5687000</v>
      </c>
      <c r="S11" s="542">
        <f t="shared" si="11"/>
        <v>3203000</v>
      </c>
      <c r="T11" s="542">
        <f t="shared" si="11"/>
        <v>2484000</v>
      </c>
      <c r="U11" s="542">
        <f t="shared" si="11"/>
        <v>6265500</v>
      </c>
      <c r="V11" s="542">
        <f t="shared" si="11"/>
        <v>3461500</v>
      </c>
      <c r="W11" s="542">
        <f t="shared" si="11"/>
        <v>2804000</v>
      </c>
      <c r="X11" s="542">
        <f t="shared" si="7"/>
        <v>14101440</v>
      </c>
      <c r="Y11" s="542">
        <f t="shared" si="8"/>
        <v>8213130</v>
      </c>
      <c r="Z11" s="542">
        <f t="shared" si="9"/>
        <v>5888310</v>
      </c>
      <c r="AA11" s="551"/>
      <c r="AB11" s="551"/>
      <c r="AC11" s="551"/>
      <c r="AD11" s="551"/>
      <c r="AE11" s="551"/>
      <c r="AF11" s="551"/>
      <c r="AG11" s="551"/>
      <c r="AH11" s="551"/>
      <c r="AI11" s="551"/>
      <c r="AJ11" s="551"/>
      <c r="AK11" s="551"/>
      <c r="AL11" s="551"/>
      <c r="AM11" s="551"/>
      <c r="AN11" s="551"/>
      <c r="AO11" s="551"/>
      <c r="AP11" s="551"/>
      <c r="AQ11" s="551"/>
      <c r="AR11" s="551"/>
    </row>
    <row r="12" spans="1:44" s="43" customFormat="1" x14ac:dyDescent="0.25">
      <c r="A12" s="1176"/>
      <c r="B12" s="98" t="s">
        <v>674</v>
      </c>
      <c r="C12" s="551">
        <f t="shared" si="2"/>
        <v>10821906</v>
      </c>
      <c r="D12" s="551">
        <f>'Phụ lục số 1'!F55</f>
        <v>6518796</v>
      </c>
      <c r="E12" s="551">
        <f>SUM(E13:E14)</f>
        <v>4303110</v>
      </c>
      <c r="F12" s="551">
        <f t="shared" si="3"/>
        <v>10821906</v>
      </c>
      <c r="G12" s="551">
        <f>G13+G14</f>
        <v>6518796</v>
      </c>
      <c r="H12" s="551">
        <f>H13+H14</f>
        <v>4303110</v>
      </c>
      <c r="I12" s="551">
        <f>SUM(J12:K12)</f>
        <v>11303181</v>
      </c>
      <c r="J12" s="551">
        <f>J13+J14</f>
        <v>6765596</v>
      </c>
      <c r="K12" s="551">
        <f>K13+K14</f>
        <v>4537585</v>
      </c>
      <c r="L12" s="551">
        <f>SUM(M12:N12)</f>
        <v>11329163</v>
      </c>
      <c r="M12" s="551">
        <f>M13+M14</f>
        <v>6791578</v>
      </c>
      <c r="N12" s="551">
        <f>N13+N14</f>
        <v>4537585</v>
      </c>
      <c r="O12" s="551">
        <f>SUM(P12:Q12)</f>
        <v>11598163</v>
      </c>
      <c r="P12" s="551">
        <f>P13+P14</f>
        <v>7060578</v>
      </c>
      <c r="Q12" s="551">
        <f>Q13+Q14</f>
        <v>4537585</v>
      </c>
      <c r="R12" s="551">
        <f t="shared" ref="R12:R17" si="12">SUM(S12:T12)</f>
        <v>11915163</v>
      </c>
      <c r="S12" s="551">
        <f>S13+S14</f>
        <v>7377578</v>
      </c>
      <c r="T12" s="551">
        <f>T13+T14</f>
        <v>4537585</v>
      </c>
      <c r="U12" s="551">
        <f t="shared" ref="U12:U17" si="13">SUM(V12:W12)</f>
        <v>12290163</v>
      </c>
      <c r="V12" s="551">
        <f>V13+V14</f>
        <v>7752578</v>
      </c>
      <c r="W12" s="551">
        <f>W13+W14</f>
        <v>4537585</v>
      </c>
      <c r="X12" s="551">
        <f t="shared" si="7"/>
        <v>34230507</v>
      </c>
      <c r="Y12" s="551">
        <f t="shared" si="8"/>
        <v>20617752</v>
      </c>
      <c r="Z12" s="551">
        <f t="shared" si="9"/>
        <v>13612755</v>
      </c>
      <c r="AA12" s="820" t="s">
        <v>635</v>
      </c>
      <c r="AB12" s="551"/>
      <c r="AC12" s="551"/>
      <c r="AD12" s="820" t="s">
        <v>635</v>
      </c>
      <c r="AE12" s="551"/>
      <c r="AF12" s="551"/>
      <c r="AG12" s="820" t="s">
        <v>635</v>
      </c>
      <c r="AH12" s="551"/>
      <c r="AI12" s="551"/>
      <c r="AJ12" s="820" t="s">
        <v>635</v>
      </c>
      <c r="AK12" s="551"/>
      <c r="AL12" s="551"/>
      <c r="AM12" s="820" t="s">
        <v>635</v>
      </c>
      <c r="AN12" s="551"/>
      <c r="AO12" s="551"/>
      <c r="AP12" s="820" t="s">
        <v>635</v>
      </c>
      <c r="AQ12" s="551"/>
      <c r="AR12" s="551"/>
    </row>
    <row r="13" spans="1:44" s="43" customFormat="1" x14ac:dyDescent="0.25">
      <c r="A13" s="231"/>
      <c r="B13" s="218" t="s">
        <v>671</v>
      </c>
      <c r="C13" s="542">
        <f t="shared" si="2"/>
        <v>8347977</v>
      </c>
      <c r="D13" s="542">
        <f>'Phụ lục số 1'!F56</f>
        <v>4883126</v>
      </c>
      <c r="E13" s="542">
        <v>3464851</v>
      </c>
      <c r="F13" s="542">
        <f t="shared" si="3"/>
        <v>8347977</v>
      </c>
      <c r="G13" s="542">
        <f>$D$13</f>
        <v>4883126</v>
      </c>
      <c r="H13" s="542">
        <f>$E$13</f>
        <v>3464851</v>
      </c>
      <c r="I13" s="542">
        <f t="shared" si="4"/>
        <v>8347977</v>
      </c>
      <c r="J13" s="542">
        <f>'Phụ lục số 1'!N56</f>
        <v>4883126</v>
      </c>
      <c r="K13" s="542">
        <f>'Phụ lục số 5'!C33</f>
        <v>3464851</v>
      </c>
      <c r="L13" s="542">
        <f t="shared" si="5"/>
        <v>8347977</v>
      </c>
      <c r="M13" s="542">
        <f>$J$13</f>
        <v>4883126</v>
      </c>
      <c r="N13" s="542">
        <f>$E$13</f>
        <v>3464851</v>
      </c>
      <c r="O13" s="542">
        <f t="shared" si="6"/>
        <v>8347977</v>
      </c>
      <c r="P13" s="542">
        <f>$J$13</f>
        <v>4883126</v>
      </c>
      <c r="Q13" s="542">
        <f>$E$13</f>
        <v>3464851</v>
      </c>
      <c r="R13" s="542">
        <f t="shared" si="12"/>
        <v>8347977</v>
      </c>
      <c r="S13" s="542">
        <f>$J$13</f>
        <v>4883126</v>
      </c>
      <c r="T13" s="542">
        <f>$E$13</f>
        <v>3464851</v>
      </c>
      <c r="U13" s="542">
        <f t="shared" si="13"/>
        <v>8347977</v>
      </c>
      <c r="V13" s="542">
        <f>$J$13</f>
        <v>4883126</v>
      </c>
      <c r="W13" s="542">
        <f>$E$13</f>
        <v>3464851</v>
      </c>
      <c r="X13" s="542">
        <f t="shared" si="7"/>
        <v>25043931</v>
      </c>
      <c r="Y13" s="542">
        <f t="shared" si="8"/>
        <v>14649378</v>
      </c>
      <c r="Z13" s="542">
        <f t="shared" si="9"/>
        <v>10394553</v>
      </c>
      <c r="AA13" s="551">
        <f>SUM(AB13:AC13)</f>
        <v>-688340</v>
      </c>
      <c r="AB13" s="551">
        <f>AB8-AB10</f>
        <v>-308705</v>
      </c>
      <c r="AC13" s="551">
        <f>AC8-AC10</f>
        <v>-379635</v>
      </c>
      <c r="AD13" s="551">
        <f>SUM(AE13:AF13)</f>
        <v>-428260</v>
      </c>
      <c r="AE13" s="551">
        <f>AE8-AE10</f>
        <v>-147135</v>
      </c>
      <c r="AF13" s="551">
        <f>AF8-AF10</f>
        <v>-281125</v>
      </c>
      <c r="AG13" s="551">
        <f>SUM(AH13:AI13)</f>
        <v>470560</v>
      </c>
      <c r="AH13" s="551">
        <f>AH8-AH10</f>
        <v>240870</v>
      </c>
      <c r="AI13" s="551">
        <f>AI8-AI10</f>
        <v>229690</v>
      </c>
      <c r="AJ13" s="551">
        <f>SUM(AK13:AL13)</f>
        <v>469000</v>
      </c>
      <c r="AK13" s="551">
        <f>AK8-AK10</f>
        <v>222000</v>
      </c>
      <c r="AL13" s="551">
        <f>AL8-AL10</f>
        <v>247000</v>
      </c>
      <c r="AM13" s="551">
        <f>SUM(AN13:AO13)</f>
        <v>517000</v>
      </c>
      <c r="AN13" s="551">
        <f>AN8-AN10</f>
        <v>237000</v>
      </c>
      <c r="AO13" s="551">
        <f>AO8-AO10</f>
        <v>280000</v>
      </c>
      <c r="AP13" s="551">
        <f>SUM(AQ13:AR13)</f>
        <v>578500</v>
      </c>
      <c r="AQ13" s="551">
        <f>AQ8-AQ10</f>
        <v>258500</v>
      </c>
      <c r="AR13" s="551">
        <f>AR8-AR10</f>
        <v>320000</v>
      </c>
    </row>
    <row r="14" spans="1:44" s="43" customFormat="1" x14ac:dyDescent="0.25">
      <c r="A14" s="231"/>
      <c r="B14" s="218" t="s">
        <v>672</v>
      </c>
      <c r="C14" s="542">
        <f t="shared" si="2"/>
        <v>2473929</v>
      </c>
      <c r="D14" s="542">
        <f>'Phụ lục số 1'!F57</f>
        <v>1635670</v>
      </c>
      <c r="E14" s="542">
        <v>838259</v>
      </c>
      <c r="F14" s="542">
        <f t="shared" si="3"/>
        <v>2473929</v>
      </c>
      <c r="G14" s="542">
        <f>'Phụ lục số 1'!L57</f>
        <v>1635670</v>
      </c>
      <c r="H14" s="542">
        <f>E14</f>
        <v>838259</v>
      </c>
      <c r="I14" s="542">
        <f t="shared" si="4"/>
        <v>2955204</v>
      </c>
      <c r="J14" s="542">
        <f>'Phụ lục số 1'!R57</f>
        <v>1882470</v>
      </c>
      <c r="K14" s="542">
        <f>'Phụ lục số 5'!C34</f>
        <v>1072734</v>
      </c>
      <c r="L14" s="542">
        <f t="shared" si="5"/>
        <v>2981186</v>
      </c>
      <c r="M14" s="542">
        <f>'Phụ lục số 1'!X57</f>
        <v>1908452</v>
      </c>
      <c r="N14" s="542">
        <f>K14</f>
        <v>1072734</v>
      </c>
      <c r="O14" s="542">
        <f t="shared" si="6"/>
        <v>3250186</v>
      </c>
      <c r="P14" s="542">
        <f>'Phụ lục số 1'!AD57</f>
        <v>2177452</v>
      </c>
      <c r="Q14" s="542">
        <f>N14</f>
        <v>1072734</v>
      </c>
      <c r="R14" s="542">
        <f t="shared" si="12"/>
        <v>3567186</v>
      </c>
      <c r="S14" s="542">
        <f>'Phụ lục số 1'!AJ57</f>
        <v>2494452</v>
      </c>
      <c r="T14" s="542">
        <f>Q14</f>
        <v>1072734</v>
      </c>
      <c r="U14" s="542">
        <f t="shared" si="13"/>
        <v>3942186</v>
      </c>
      <c r="V14" s="542">
        <f>'Phụ lục số 1'!AP57</f>
        <v>2869452</v>
      </c>
      <c r="W14" s="542">
        <f>T14</f>
        <v>1072734</v>
      </c>
      <c r="X14" s="542">
        <f t="shared" si="7"/>
        <v>9186576</v>
      </c>
      <c r="Y14" s="542">
        <f t="shared" si="8"/>
        <v>5968374</v>
      </c>
      <c r="Z14" s="542">
        <f t="shared" si="9"/>
        <v>3218202</v>
      </c>
      <c r="AA14" s="820"/>
      <c r="AB14" s="551"/>
      <c r="AC14" s="551"/>
      <c r="AD14" s="820"/>
      <c r="AE14" s="551"/>
      <c r="AF14" s="551"/>
      <c r="AG14" s="820"/>
      <c r="AH14" s="551"/>
      <c r="AI14" s="551"/>
      <c r="AJ14" s="820"/>
      <c r="AK14" s="551"/>
      <c r="AL14" s="551"/>
      <c r="AM14" s="820"/>
      <c r="AN14" s="551"/>
      <c r="AO14" s="551"/>
      <c r="AP14" s="820"/>
      <c r="AQ14" s="551"/>
      <c r="AR14" s="551"/>
    </row>
    <row r="15" spans="1:44" s="43" customFormat="1" ht="25.5" x14ac:dyDescent="0.25">
      <c r="A15" s="231"/>
      <c r="B15" s="821" t="s">
        <v>717</v>
      </c>
      <c r="C15" s="542">
        <f t="shared" si="2"/>
        <v>999416</v>
      </c>
      <c r="D15" s="542">
        <f>'Phụ lục số 1'!C60-'Phụ lục số 2'!C40+'Phụ lục số 1'!C61</f>
        <v>161157</v>
      </c>
      <c r="E15" s="542">
        <f>E14</f>
        <v>838259</v>
      </c>
      <c r="F15" s="542">
        <f t="shared" si="3"/>
        <v>999416</v>
      </c>
      <c r="G15" s="542">
        <f>'Phụ lục số 1'!H61+('Phụ lục số 1'!H60-'Phụ lục số 2'!F40)</f>
        <v>161157</v>
      </c>
      <c r="H15" s="542">
        <f>E15</f>
        <v>838259</v>
      </c>
      <c r="I15" s="542">
        <f t="shared" si="4"/>
        <v>1584410</v>
      </c>
      <c r="J15" s="542">
        <f>'Phụ lục số 1'!N61+('Phụ lục số 1'!N60-'Phụ lục số 2'!K40)</f>
        <v>511676</v>
      </c>
      <c r="K15" s="542">
        <f>K14</f>
        <v>1072734</v>
      </c>
      <c r="L15" s="542">
        <f t="shared" si="5"/>
        <v>1382216</v>
      </c>
      <c r="M15" s="542">
        <f>'Phụ lục số 1'!T61+('Phụ lục số 1'!T60-'Phụ lục số 2'!P40)</f>
        <v>309482</v>
      </c>
      <c r="N15" s="542">
        <f>N14</f>
        <v>1072734</v>
      </c>
      <c r="O15" s="542">
        <f t="shared" si="6"/>
        <v>1382216</v>
      </c>
      <c r="P15" s="542">
        <f>'Phụ lục số 1'!Z61+('Phụ lục số 1'!Z60-'Phụ lục số 2'!P40)</f>
        <v>309482</v>
      </c>
      <c r="Q15" s="542">
        <f>Q14</f>
        <v>1072734</v>
      </c>
      <c r="R15" s="542">
        <f t="shared" si="12"/>
        <v>1382216</v>
      </c>
      <c r="S15" s="542">
        <f>'Phụ lục số 1'!AF61+('Phụ lục số 1'!AF60-'Phụ lục số 2'!U40)</f>
        <v>309482</v>
      </c>
      <c r="T15" s="542">
        <f>T14</f>
        <v>1072734</v>
      </c>
      <c r="U15" s="542">
        <f t="shared" si="13"/>
        <v>1382216</v>
      </c>
      <c r="V15" s="542">
        <f>'Phụ lục số 1'!AL61+('Phụ lục số 1'!AL60-'Phụ lục số 2'!AE40)</f>
        <v>309482</v>
      </c>
      <c r="W15" s="542">
        <f>W14</f>
        <v>1072734</v>
      </c>
      <c r="X15" s="542">
        <f t="shared" si="7"/>
        <v>4348842</v>
      </c>
      <c r="Y15" s="542">
        <f t="shared" si="8"/>
        <v>1130640</v>
      </c>
      <c r="Z15" s="542">
        <f t="shared" si="9"/>
        <v>3218202</v>
      </c>
      <c r="AA15" s="820"/>
      <c r="AB15" s="551"/>
      <c r="AC15" s="551"/>
      <c r="AD15" s="820"/>
      <c r="AE15" s="551"/>
      <c r="AF15" s="551"/>
      <c r="AG15" s="820"/>
      <c r="AH15" s="551"/>
      <c r="AI15" s="551"/>
      <c r="AJ15" s="820"/>
      <c r="AK15" s="551"/>
      <c r="AL15" s="551"/>
      <c r="AM15" s="820"/>
      <c r="AN15" s="551"/>
      <c r="AO15" s="551"/>
      <c r="AP15" s="820"/>
      <c r="AQ15" s="551"/>
      <c r="AR15" s="551"/>
    </row>
    <row r="16" spans="1:44" s="43" customFormat="1" x14ac:dyDescent="0.25">
      <c r="A16" s="1176"/>
      <c r="B16" s="98" t="s">
        <v>1213</v>
      </c>
      <c r="C16" s="551">
        <f t="shared" si="2"/>
        <v>418294</v>
      </c>
      <c r="D16" s="551">
        <f>'Phụ lục số 1'!F62</f>
        <v>170545</v>
      </c>
      <c r="E16" s="551">
        <f>'Phụ lục số 1'!G62</f>
        <v>247749</v>
      </c>
      <c r="F16" s="551">
        <f t="shared" si="3"/>
        <v>418294</v>
      </c>
      <c r="G16" s="551">
        <f>'Phụ lục số 1'!L62</f>
        <v>170545</v>
      </c>
      <c r="H16" s="551">
        <f>'Phụ lục số 1'!M62</f>
        <v>247749</v>
      </c>
      <c r="I16" s="551">
        <f t="shared" si="4"/>
        <v>816873</v>
      </c>
      <c r="J16" s="551">
        <f>'Phụ lục số 1'!R62</f>
        <v>278759</v>
      </c>
      <c r="K16" s="551">
        <f>'Phụ lục số 1'!S62</f>
        <v>538114</v>
      </c>
      <c r="L16" s="551">
        <f t="shared" si="5"/>
        <v>1247986</v>
      </c>
      <c r="M16" s="551">
        <f>'Phụ lục số 1'!X62</f>
        <v>412977</v>
      </c>
      <c r="N16" s="551">
        <f>'Phụ lục số 1'!Y62</f>
        <v>835009</v>
      </c>
      <c r="O16" s="551">
        <f t="shared" si="6"/>
        <v>1470641</v>
      </c>
      <c r="P16" s="551">
        <f>'Phụ lục số 1'!AD62</f>
        <v>455977</v>
      </c>
      <c r="Q16" s="551">
        <f>'Phụ lục số 1'!AE62</f>
        <v>1014664</v>
      </c>
      <c r="R16" s="551">
        <f t="shared" si="12"/>
        <v>1580831</v>
      </c>
      <c r="S16" s="551">
        <f>'Phụ lục số 1'!AJ62</f>
        <v>384667</v>
      </c>
      <c r="T16" s="551">
        <f>'Phụ lục số 1'!AK62</f>
        <v>1196164</v>
      </c>
      <c r="U16" s="551">
        <f t="shared" si="13"/>
        <v>1678891</v>
      </c>
      <c r="V16" s="551">
        <f>'Phụ lục số 1'!AP62</f>
        <v>302727</v>
      </c>
      <c r="W16" s="551">
        <f>'Phụ lục số 1'!AQ62</f>
        <v>1376164</v>
      </c>
      <c r="X16" s="551">
        <f t="shared" si="7"/>
        <v>3535500</v>
      </c>
      <c r="Y16" s="551">
        <f t="shared" si="8"/>
        <v>1147713</v>
      </c>
      <c r="Z16" s="551">
        <f t="shared" si="9"/>
        <v>2387787</v>
      </c>
      <c r="AA16" s="820" t="s">
        <v>494</v>
      </c>
      <c r="AB16" s="551"/>
      <c r="AC16" s="551"/>
      <c r="AD16" s="820" t="s">
        <v>494</v>
      </c>
      <c r="AE16" s="551"/>
      <c r="AF16" s="551"/>
      <c r="AG16" s="820" t="s">
        <v>494</v>
      </c>
      <c r="AH16" s="551"/>
      <c r="AI16" s="551"/>
      <c r="AJ16" s="820" t="s">
        <v>494</v>
      </c>
      <c r="AK16" s="551"/>
      <c r="AL16" s="551"/>
      <c r="AM16" s="820" t="s">
        <v>494</v>
      </c>
      <c r="AN16" s="551"/>
      <c r="AO16" s="551"/>
      <c r="AP16" s="820" t="s">
        <v>494</v>
      </c>
      <c r="AQ16" s="551"/>
      <c r="AR16" s="551"/>
    </row>
    <row r="17" spans="1:44" s="43" customFormat="1" x14ac:dyDescent="0.25">
      <c r="A17" s="1176"/>
      <c r="B17" s="98" t="s">
        <v>922</v>
      </c>
      <c r="C17" s="551">
        <f t="shared" si="2"/>
        <v>30900</v>
      </c>
      <c r="D17" s="551">
        <f>'Phụ lục số 1'!F63</f>
        <v>30900</v>
      </c>
      <c r="E17" s="551">
        <f>'Phụ lục số 1'!G63</f>
        <v>0</v>
      </c>
      <c r="F17" s="551">
        <f t="shared" si="3"/>
        <v>30900</v>
      </c>
      <c r="G17" s="551">
        <f>'Phụ lục số 1'!L63</f>
        <v>30900</v>
      </c>
      <c r="H17" s="551">
        <f>'Phụ lục số 1'!M63</f>
        <v>0</v>
      </c>
      <c r="I17" s="551">
        <f t="shared" si="4"/>
        <v>61200</v>
      </c>
      <c r="J17" s="551">
        <f>'Phụ lục số 1'!R63</f>
        <v>61200</v>
      </c>
      <c r="K17" s="551">
        <f>'Phụ lục số 1'!S63</f>
        <v>0</v>
      </c>
      <c r="L17" s="551">
        <f t="shared" si="5"/>
        <v>96096</v>
      </c>
      <c r="M17" s="551">
        <f>'Phụ lục số 1'!X63</f>
        <v>96096</v>
      </c>
      <c r="N17" s="551">
        <f>'Phụ lục số 1'!Y63</f>
        <v>0</v>
      </c>
      <c r="O17" s="551">
        <f t="shared" si="6"/>
        <v>0</v>
      </c>
      <c r="P17" s="551">
        <f>'Phụ lục số 1'!AD63</f>
        <v>0</v>
      </c>
      <c r="Q17" s="551">
        <f>'Phụ lục số 1'!AE63</f>
        <v>0</v>
      </c>
      <c r="R17" s="551">
        <f t="shared" si="12"/>
        <v>0</v>
      </c>
      <c r="S17" s="551">
        <f>'Phụ lục số 1'!AG63</f>
        <v>0</v>
      </c>
      <c r="T17" s="551">
        <f>'Phụ lục số 1'!AH63</f>
        <v>0</v>
      </c>
      <c r="U17" s="551">
        <f t="shared" si="13"/>
        <v>0</v>
      </c>
      <c r="V17" s="551">
        <f>'Phụ lục số 1'!AJ63</f>
        <v>0</v>
      </c>
      <c r="W17" s="551">
        <f>'Phụ lục số 1'!AK63</f>
        <v>0</v>
      </c>
      <c r="X17" s="551">
        <f t="shared" si="7"/>
        <v>157296</v>
      </c>
      <c r="Y17" s="551">
        <f t="shared" si="8"/>
        <v>157296</v>
      </c>
      <c r="Z17" s="551">
        <f t="shared" si="9"/>
        <v>0</v>
      </c>
      <c r="AA17" s="551">
        <f>AB17+AC17</f>
        <v>0</v>
      </c>
      <c r="AB17" s="551"/>
      <c r="AC17" s="551"/>
      <c r="AD17" s="551"/>
      <c r="AE17" s="551"/>
      <c r="AF17" s="551"/>
      <c r="AG17" s="551"/>
      <c r="AH17" s="551"/>
      <c r="AI17" s="551"/>
      <c r="AJ17" s="551"/>
      <c r="AK17" s="551"/>
      <c r="AL17" s="551"/>
      <c r="AM17" s="551"/>
      <c r="AN17" s="551"/>
      <c r="AO17" s="551"/>
      <c r="AP17" s="551"/>
      <c r="AQ17" s="551"/>
      <c r="AR17" s="551"/>
    </row>
    <row r="18" spans="1:44" s="43" customFormat="1" x14ac:dyDescent="0.25">
      <c r="A18" s="674" t="s">
        <v>422</v>
      </c>
      <c r="B18" s="98" t="s">
        <v>511</v>
      </c>
      <c r="C18" s="551">
        <f t="shared" ref="C18:Q18" si="14">SUM(C19,C35:C37)</f>
        <v>17989800</v>
      </c>
      <c r="D18" s="551">
        <f>SUM(D19,D35:D37)</f>
        <v>10930506</v>
      </c>
      <c r="E18" s="551">
        <f t="shared" si="14"/>
        <v>7059294</v>
      </c>
      <c r="F18" s="551">
        <f t="shared" si="14"/>
        <v>17791460</v>
      </c>
      <c r="G18" s="551">
        <f t="shared" si="14"/>
        <v>10861801</v>
      </c>
      <c r="H18" s="551">
        <f t="shared" si="14"/>
        <v>6929659</v>
      </c>
      <c r="I18" s="551">
        <f t="shared" si="14"/>
        <v>18661694</v>
      </c>
      <c r="J18" s="551">
        <f t="shared" si="14"/>
        <v>11208685</v>
      </c>
      <c r="K18" s="551">
        <f t="shared" si="14"/>
        <v>7453009</v>
      </c>
      <c r="L18" s="551">
        <f t="shared" si="14"/>
        <v>19724245</v>
      </c>
      <c r="M18" s="551">
        <f>SUM(M19,M35:M37)</f>
        <v>11694651</v>
      </c>
      <c r="N18" s="551">
        <f>SUM(N19,N35:N37)</f>
        <v>8029594</v>
      </c>
      <c r="O18" s="551">
        <f t="shared" si="14"/>
        <v>20638804</v>
      </c>
      <c r="P18" s="551">
        <f t="shared" si="14"/>
        <v>12182555</v>
      </c>
      <c r="Q18" s="551">
        <f t="shared" si="14"/>
        <v>8456249</v>
      </c>
      <c r="R18" s="551">
        <f t="shared" ref="R18:W18" si="15">SUM(R19,R35:R37)</f>
        <v>21582994</v>
      </c>
      <c r="S18" s="551">
        <f t="shared" si="15"/>
        <v>12665245</v>
      </c>
      <c r="T18" s="551">
        <f t="shared" si="15"/>
        <v>8917749</v>
      </c>
      <c r="U18" s="551">
        <f t="shared" si="15"/>
        <v>22634554</v>
      </c>
      <c r="V18" s="551">
        <f t="shared" si="15"/>
        <v>13216805</v>
      </c>
      <c r="W18" s="551">
        <f t="shared" si="15"/>
        <v>9417749</v>
      </c>
      <c r="X18" s="551">
        <f t="shared" si="7"/>
        <v>59024743</v>
      </c>
      <c r="Y18" s="551">
        <f t="shared" si="8"/>
        <v>35085891</v>
      </c>
      <c r="Z18" s="551">
        <f t="shared" si="9"/>
        <v>23938852</v>
      </c>
      <c r="AA18" s="551">
        <f>SUM(AB18:AC18)</f>
        <v>-344171</v>
      </c>
      <c r="AB18" s="551">
        <f>INT(AB13/2)</f>
        <v>-154353</v>
      </c>
      <c r="AC18" s="551">
        <f>INT(AC13/2)</f>
        <v>-189818</v>
      </c>
      <c r="AD18" s="551">
        <f>SUM(AE18:AF18)</f>
        <v>-214131</v>
      </c>
      <c r="AE18" s="551">
        <f>INT(AE13/2)</f>
        <v>-73568</v>
      </c>
      <c r="AF18" s="551">
        <f>INT(AF13/2)</f>
        <v>-140563</v>
      </c>
      <c r="AG18" s="551">
        <f>SUM(AH18:AI18)</f>
        <v>235280</v>
      </c>
      <c r="AH18" s="551">
        <f>INT(AH13/2)</f>
        <v>120435</v>
      </c>
      <c r="AI18" s="551">
        <f>INT(AI13/2)</f>
        <v>114845</v>
      </c>
      <c r="AJ18" s="551">
        <f>SUM(AK18:AL18)</f>
        <v>234500</v>
      </c>
      <c r="AK18" s="551">
        <f>INT(AK13/2)</f>
        <v>111000</v>
      </c>
      <c r="AL18" s="551">
        <f>INT(AL13/2)</f>
        <v>123500</v>
      </c>
      <c r="AM18" s="551">
        <f>SUM(AN18:AO18)</f>
        <v>258500</v>
      </c>
      <c r="AN18" s="551">
        <f>INT(AN13/2)</f>
        <v>118500</v>
      </c>
      <c r="AO18" s="551">
        <f>INT(AO13/2)</f>
        <v>140000</v>
      </c>
      <c r="AP18" s="551">
        <f>SUM(AQ18:AR18)</f>
        <v>289250</v>
      </c>
      <c r="AQ18" s="551">
        <f>INT(AQ13/2)</f>
        <v>129250</v>
      </c>
      <c r="AR18" s="551">
        <f>INT(AR13/2)</f>
        <v>160000</v>
      </c>
    </row>
    <row r="19" spans="1:44" s="43" customFormat="1" x14ac:dyDescent="0.25">
      <c r="A19" s="674"/>
      <c r="B19" s="98" t="s">
        <v>676</v>
      </c>
      <c r="C19" s="551">
        <f>SUM(C20,C25,C30:C34)</f>
        <v>12181277</v>
      </c>
      <c r="D19" s="551">
        <f t="shared" ref="D19:Q19" si="16">SUM(D20,D25,D30:D34)</f>
        <v>5121983</v>
      </c>
      <c r="E19" s="551">
        <f t="shared" si="16"/>
        <v>7059294</v>
      </c>
      <c r="F19" s="551">
        <f t="shared" si="16"/>
        <v>11982937</v>
      </c>
      <c r="G19" s="551">
        <f t="shared" si="16"/>
        <v>5053278</v>
      </c>
      <c r="H19" s="551">
        <f t="shared" si="16"/>
        <v>6929659</v>
      </c>
      <c r="I19" s="551">
        <f t="shared" si="16"/>
        <v>12692115</v>
      </c>
      <c r="J19" s="551">
        <f t="shared" si="16"/>
        <v>5239106</v>
      </c>
      <c r="K19" s="551">
        <f t="shared" si="16"/>
        <v>7453009</v>
      </c>
      <c r="L19" s="551">
        <f t="shared" si="16"/>
        <v>13491594</v>
      </c>
      <c r="M19" s="551">
        <f>SUM(M20,M25,M30:M34)</f>
        <v>5462000</v>
      </c>
      <c r="N19" s="551">
        <f>SUM(N20,N25,N30:N34)</f>
        <v>8029594</v>
      </c>
      <c r="O19" s="551">
        <f t="shared" si="16"/>
        <v>14233249</v>
      </c>
      <c r="P19" s="551">
        <f t="shared" si="16"/>
        <v>5777000</v>
      </c>
      <c r="Q19" s="551">
        <f t="shared" si="16"/>
        <v>8456249</v>
      </c>
      <c r="R19" s="551">
        <f t="shared" ref="R19:W19" si="17">SUM(R20,R25,R30:R34)</f>
        <v>14860439</v>
      </c>
      <c r="S19" s="551">
        <f t="shared" si="17"/>
        <v>5942690</v>
      </c>
      <c r="T19" s="551">
        <f t="shared" si="17"/>
        <v>8917749</v>
      </c>
      <c r="U19" s="551">
        <f t="shared" si="17"/>
        <v>15536999</v>
      </c>
      <c r="V19" s="551">
        <f t="shared" si="17"/>
        <v>6119250</v>
      </c>
      <c r="W19" s="551">
        <f t="shared" si="17"/>
        <v>9417749</v>
      </c>
      <c r="X19" s="551">
        <f t="shared" si="7"/>
        <v>40416958</v>
      </c>
      <c r="Y19" s="551">
        <f t="shared" si="8"/>
        <v>16478106</v>
      </c>
      <c r="Z19" s="551">
        <f t="shared" si="9"/>
        <v>23938852</v>
      </c>
      <c r="AA19" s="551"/>
      <c r="AB19" s="551"/>
      <c r="AC19" s="551"/>
      <c r="AD19" s="551"/>
      <c r="AE19" s="551"/>
      <c r="AF19" s="551"/>
      <c r="AG19" s="551"/>
      <c r="AH19" s="551"/>
      <c r="AI19" s="551"/>
      <c r="AJ19" s="551"/>
      <c r="AK19" s="551"/>
      <c r="AL19" s="551"/>
      <c r="AM19" s="551"/>
      <c r="AN19" s="551"/>
      <c r="AO19" s="551"/>
      <c r="AP19" s="551"/>
      <c r="AQ19" s="551"/>
      <c r="AR19" s="551"/>
    </row>
    <row r="20" spans="1:44" s="43" customFormat="1" x14ac:dyDescent="0.25">
      <c r="A20" s="1176"/>
      <c r="B20" s="98" t="s">
        <v>1551</v>
      </c>
      <c r="C20" s="551">
        <f>SUM(C21:C24)</f>
        <v>3191485</v>
      </c>
      <c r="D20" s="551">
        <f t="shared" ref="D20:Q20" si="18">SUM(D21:D24)</f>
        <v>2186239</v>
      </c>
      <c r="E20" s="551">
        <f t="shared" si="18"/>
        <v>1005246</v>
      </c>
      <c r="F20" s="551">
        <f t="shared" si="18"/>
        <v>3182962</v>
      </c>
      <c r="G20" s="551">
        <f>SUM(G21:G24)</f>
        <v>2117534</v>
      </c>
      <c r="H20" s="551">
        <f t="shared" si="18"/>
        <v>1065428</v>
      </c>
      <c r="I20" s="551">
        <f t="shared" si="18"/>
        <v>3381485</v>
      </c>
      <c r="J20" s="551">
        <f t="shared" si="18"/>
        <v>2226239</v>
      </c>
      <c r="K20" s="551">
        <f t="shared" si="18"/>
        <v>1155246</v>
      </c>
      <c r="L20" s="551">
        <f t="shared" si="18"/>
        <v>3545000</v>
      </c>
      <c r="M20" s="551">
        <f>SUM(M21:M24)</f>
        <v>2306000</v>
      </c>
      <c r="N20" s="551">
        <f>SUM(N21:N24)</f>
        <v>1239000</v>
      </c>
      <c r="O20" s="551">
        <f t="shared" si="18"/>
        <v>3656000</v>
      </c>
      <c r="P20" s="551">
        <f t="shared" si="18"/>
        <v>2383000</v>
      </c>
      <c r="Q20" s="551">
        <f t="shared" si="18"/>
        <v>1273000</v>
      </c>
      <c r="R20" s="551">
        <f t="shared" ref="R20:W20" si="19">SUM(R21:R24)</f>
        <v>3719190</v>
      </c>
      <c r="S20" s="551">
        <f t="shared" si="19"/>
        <v>2410190</v>
      </c>
      <c r="T20" s="551">
        <f t="shared" si="19"/>
        <v>1309000</v>
      </c>
      <c r="U20" s="551">
        <f t="shared" si="19"/>
        <v>3787000</v>
      </c>
      <c r="V20" s="551">
        <f t="shared" si="19"/>
        <v>2439000</v>
      </c>
      <c r="W20" s="551">
        <f t="shared" si="19"/>
        <v>1348000</v>
      </c>
      <c r="X20" s="551">
        <f t="shared" si="7"/>
        <v>10582485</v>
      </c>
      <c r="Y20" s="551">
        <f t="shared" si="8"/>
        <v>6915239</v>
      </c>
      <c r="Z20" s="551">
        <f t="shared" si="9"/>
        <v>3667246</v>
      </c>
      <c r="AA20" s="820"/>
      <c r="AB20" s="551"/>
      <c r="AC20" s="551"/>
      <c r="AD20" s="551"/>
      <c r="AE20" s="551"/>
      <c r="AF20" s="551"/>
      <c r="AG20" s="551"/>
      <c r="AH20" s="551"/>
      <c r="AI20" s="551"/>
      <c r="AJ20" s="551"/>
      <c r="AK20" s="551"/>
      <c r="AL20" s="551"/>
      <c r="AM20" s="551"/>
      <c r="AN20" s="551"/>
      <c r="AO20" s="551"/>
      <c r="AP20" s="551"/>
      <c r="AQ20" s="551"/>
      <c r="AR20" s="551"/>
    </row>
    <row r="21" spans="1:44" s="43" customFormat="1" x14ac:dyDescent="0.25">
      <c r="A21" s="231"/>
      <c r="B21" s="218" t="s">
        <v>680</v>
      </c>
      <c r="C21" s="542">
        <f t="shared" ref="C21:C37" si="20">SUM(D21:E21)</f>
        <v>1131485</v>
      </c>
      <c r="D21" s="542">
        <f>'Phụ lục số 2'!D14</f>
        <v>626239</v>
      </c>
      <c r="E21" s="542">
        <f>'Phụ lục số 2'!E14</f>
        <v>505246</v>
      </c>
      <c r="F21" s="542">
        <f t="shared" ref="F21:F37" si="21">SUM(G21:H21)</f>
        <v>1131485</v>
      </c>
      <c r="G21" s="542">
        <f>'Phụ lục số 2'!I14</f>
        <v>626239</v>
      </c>
      <c r="H21" s="542">
        <f>'Phụ lục số 2'!J14</f>
        <v>505246</v>
      </c>
      <c r="I21" s="542">
        <f t="shared" ref="I21:I37" si="22">SUM(J21:K21)</f>
        <v>1131485</v>
      </c>
      <c r="J21" s="542">
        <f>'Phụ lục số 2'!N14</f>
        <v>626239</v>
      </c>
      <c r="K21" s="542">
        <f>'Phụ lục số 2'!O14</f>
        <v>505246</v>
      </c>
      <c r="L21" s="542">
        <f t="shared" ref="L21:L29" si="23">SUM(M21:N21)</f>
        <v>1195000</v>
      </c>
      <c r="M21" s="542">
        <f>'Phụ lục số 2'!S14</f>
        <v>656000</v>
      </c>
      <c r="N21" s="542">
        <f>'Phụ lục số 2'!T14</f>
        <v>539000</v>
      </c>
      <c r="O21" s="542">
        <f t="shared" ref="O21:O29" si="24">SUM(P21:Q21)</f>
        <v>1256000</v>
      </c>
      <c r="P21" s="542">
        <f>'Phụ lục số 2'!X14</f>
        <v>683000</v>
      </c>
      <c r="Q21" s="542">
        <f>'Phụ lục số 2'!Y14</f>
        <v>573000</v>
      </c>
      <c r="R21" s="542">
        <f t="shared" ref="R21:R29" si="25">SUM(S21:T21)</f>
        <v>1319190</v>
      </c>
      <c r="S21" s="542">
        <f>'Phụ lục số 2'!AC14</f>
        <v>710190</v>
      </c>
      <c r="T21" s="542">
        <f>'Phụ lục số 2'!AD14</f>
        <v>609000</v>
      </c>
      <c r="U21" s="542">
        <f t="shared" ref="U21:U29" si="26">SUM(V21:W21)</f>
        <v>1387000</v>
      </c>
      <c r="V21" s="542">
        <f>'Phụ lục số 2'!AH14</f>
        <v>739000</v>
      </c>
      <c r="W21" s="542">
        <f>'Phụ lục số 2'!AI14</f>
        <v>648000</v>
      </c>
      <c r="X21" s="542">
        <f t="shared" si="7"/>
        <v>3582485</v>
      </c>
      <c r="Y21" s="542">
        <f t="shared" si="8"/>
        <v>1965239</v>
      </c>
      <c r="Z21" s="542">
        <f t="shared" si="9"/>
        <v>1617246</v>
      </c>
      <c r="AA21" s="542"/>
      <c r="AB21" s="542"/>
      <c r="AC21" s="542"/>
      <c r="AD21" s="551"/>
      <c r="AE21" s="551"/>
      <c r="AF21" s="551"/>
      <c r="AG21" s="551"/>
      <c r="AH21" s="551"/>
      <c r="AI21" s="551"/>
      <c r="AJ21" s="551"/>
      <c r="AK21" s="551"/>
      <c r="AL21" s="551"/>
      <c r="AM21" s="551"/>
      <c r="AN21" s="551"/>
      <c r="AO21" s="551"/>
      <c r="AP21" s="551"/>
      <c r="AQ21" s="551"/>
      <c r="AR21" s="551"/>
    </row>
    <row r="22" spans="1:44" s="43" customFormat="1" x14ac:dyDescent="0.25">
      <c r="A22" s="231"/>
      <c r="B22" s="218" t="s">
        <v>681</v>
      </c>
      <c r="C22" s="542">
        <f t="shared" si="20"/>
        <v>600000</v>
      </c>
      <c r="D22" s="542">
        <f>D9</f>
        <v>100000</v>
      </c>
      <c r="E22" s="542">
        <f>E9</f>
        <v>500000</v>
      </c>
      <c r="F22" s="542">
        <f t="shared" si="21"/>
        <v>560182</v>
      </c>
      <c r="G22" s="542">
        <f>'Phụ lục số 2'!I15</f>
        <v>0</v>
      </c>
      <c r="H22" s="542">
        <f>'Phụ lục số 2'!J15</f>
        <v>560182</v>
      </c>
      <c r="I22" s="542">
        <f t="shared" si="22"/>
        <v>750000</v>
      </c>
      <c r="J22" s="542">
        <f>'Phụ lục số 2'!N15</f>
        <v>100000</v>
      </c>
      <c r="K22" s="542">
        <f>'Phụ lục số 2'!O15</f>
        <v>650000</v>
      </c>
      <c r="L22" s="542">
        <f t="shared" si="23"/>
        <v>800000</v>
      </c>
      <c r="M22" s="542">
        <f>'Phụ lục số 2'!S15</f>
        <v>100000</v>
      </c>
      <c r="N22" s="542">
        <f>'Phụ lục số 2'!T15</f>
        <v>700000</v>
      </c>
      <c r="O22" s="542">
        <f t="shared" si="24"/>
        <v>800000</v>
      </c>
      <c r="P22" s="542">
        <f>'Phụ lục số 2'!X15</f>
        <v>100000</v>
      </c>
      <c r="Q22" s="542">
        <f>'Phụ lục số 2'!Y15</f>
        <v>700000</v>
      </c>
      <c r="R22" s="542">
        <f t="shared" si="25"/>
        <v>800000</v>
      </c>
      <c r="S22" s="542">
        <f>'Phụ lục số 2'!AC15</f>
        <v>100000</v>
      </c>
      <c r="T22" s="542">
        <f>'Phụ lục số 2'!AD15</f>
        <v>700000</v>
      </c>
      <c r="U22" s="542">
        <f t="shared" si="26"/>
        <v>800000</v>
      </c>
      <c r="V22" s="542">
        <f>'Phụ lục số 2'!AH15</f>
        <v>100000</v>
      </c>
      <c r="W22" s="542">
        <f>'Phụ lục số 2'!AI15</f>
        <v>700000</v>
      </c>
      <c r="X22" s="542">
        <f t="shared" si="7"/>
        <v>2350000</v>
      </c>
      <c r="Y22" s="542">
        <f t="shared" si="8"/>
        <v>300000</v>
      </c>
      <c r="Z22" s="542">
        <f t="shared" si="9"/>
        <v>2050000</v>
      </c>
      <c r="AA22" s="542"/>
      <c r="AB22" s="551"/>
      <c r="AC22" s="551"/>
      <c r="AD22" s="551"/>
      <c r="AE22" s="551"/>
      <c r="AF22" s="551"/>
      <c r="AG22" s="551"/>
      <c r="AH22" s="551"/>
      <c r="AI22" s="551"/>
      <c r="AJ22" s="551"/>
      <c r="AK22" s="551"/>
      <c r="AL22" s="551"/>
      <c r="AM22" s="551"/>
      <c r="AN22" s="551"/>
      <c r="AO22" s="551"/>
      <c r="AP22" s="551"/>
      <c r="AQ22" s="551"/>
      <c r="AR22" s="551"/>
    </row>
    <row r="23" spans="1:44" s="43" customFormat="1" x14ac:dyDescent="0.25">
      <c r="A23" s="231"/>
      <c r="B23" s="208" t="s">
        <v>1557</v>
      </c>
      <c r="C23" s="542">
        <f t="shared" si="20"/>
        <v>1460000</v>
      </c>
      <c r="D23" s="542">
        <f>D10</f>
        <v>1460000</v>
      </c>
      <c r="E23" s="542">
        <f>E10</f>
        <v>0</v>
      </c>
      <c r="F23" s="542">
        <f t="shared" si="21"/>
        <v>1491295</v>
      </c>
      <c r="G23" s="542">
        <f>'Phụ lục số 2'!I16</f>
        <v>1491295</v>
      </c>
      <c r="H23" s="542">
        <f>'Phụ lục số 2'!J16</f>
        <v>0</v>
      </c>
      <c r="I23" s="542">
        <f t="shared" si="22"/>
        <v>1500000</v>
      </c>
      <c r="J23" s="542">
        <f>'Phụ lục số 2'!N16</f>
        <v>1500000</v>
      </c>
      <c r="K23" s="542">
        <f>'Phụ lục số 2'!O16</f>
        <v>0</v>
      </c>
      <c r="L23" s="542">
        <f t="shared" si="23"/>
        <v>1550000</v>
      </c>
      <c r="M23" s="542">
        <f>'Phụ lục số 2'!S16</f>
        <v>1550000</v>
      </c>
      <c r="N23" s="542">
        <f>'Phụ lục số 2'!T16</f>
        <v>0</v>
      </c>
      <c r="O23" s="542">
        <f t="shared" si="24"/>
        <v>1600000</v>
      </c>
      <c r="P23" s="542">
        <f>'Phụ lục số 2'!X16</f>
        <v>1600000</v>
      </c>
      <c r="Q23" s="542">
        <f>'Phụ lục số 2'!Y16</f>
        <v>0</v>
      </c>
      <c r="R23" s="542">
        <f t="shared" si="25"/>
        <v>1600000</v>
      </c>
      <c r="S23" s="542">
        <f>'Phụ lục số 2'!AC16</f>
        <v>1600000</v>
      </c>
      <c r="T23" s="542">
        <f>'Phụ lục số 2'!AD16</f>
        <v>0</v>
      </c>
      <c r="U23" s="542">
        <f t="shared" si="26"/>
        <v>1600000</v>
      </c>
      <c r="V23" s="542">
        <f>'Phụ lục số 2'!AH16</f>
        <v>1600000</v>
      </c>
      <c r="W23" s="542">
        <f>'Phụ lục số 2'!AI16</f>
        <v>0</v>
      </c>
      <c r="X23" s="542">
        <f t="shared" si="7"/>
        <v>4650000</v>
      </c>
      <c r="Y23" s="542">
        <f t="shared" si="8"/>
        <v>4650000</v>
      </c>
      <c r="Z23" s="542">
        <f t="shared" si="9"/>
        <v>0</v>
      </c>
      <c r="AA23" s="551"/>
      <c r="AB23" s="551"/>
      <c r="AC23" s="551"/>
      <c r="AD23" s="551"/>
      <c r="AE23" s="551"/>
      <c r="AF23" s="551"/>
      <c r="AG23" s="551"/>
      <c r="AH23" s="551"/>
      <c r="AI23" s="551"/>
      <c r="AJ23" s="551"/>
      <c r="AK23" s="551"/>
      <c r="AL23" s="551"/>
      <c r="AM23" s="551"/>
      <c r="AN23" s="551"/>
      <c r="AO23" s="551"/>
      <c r="AP23" s="551"/>
      <c r="AQ23" s="551"/>
      <c r="AR23" s="551"/>
    </row>
    <row r="24" spans="1:44" s="43" customFormat="1" hidden="1" x14ac:dyDescent="0.25">
      <c r="A24" s="231"/>
      <c r="B24" s="218" t="s">
        <v>977</v>
      </c>
      <c r="C24" s="542">
        <f t="shared" si="20"/>
        <v>0</v>
      </c>
      <c r="D24" s="542">
        <f>'Phụ lục số 2'!D17</f>
        <v>0</v>
      </c>
      <c r="E24" s="542">
        <f>'Phụ lục số 2'!E17</f>
        <v>0</v>
      </c>
      <c r="F24" s="542">
        <f t="shared" si="21"/>
        <v>0</v>
      </c>
      <c r="G24" s="542">
        <f>'Phụ lục số 2'!I17</f>
        <v>0</v>
      </c>
      <c r="H24" s="542">
        <f>'Phụ lục số 2'!J17</f>
        <v>0</v>
      </c>
      <c r="I24" s="542">
        <f t="shared" si="22"/>
        <v>0</v>
      </c>
      <c r="J24" s="542">
        <f>'Phụ lục số 2'!N17</f>
        <v>0</v>
      </c>
      <c r="K24" s="542">
        <f>'Phụ lục số 2'!O17</f>
        <v>0</v>
      </c>
      <c r="L24" s="542">
        <f t="shared" si="23"/>
        <v>0</v>
      </c>
      <c r="M24" s="542">
        <f>'Phụ lục số 2'!S17</f>
        <v>0</v>
      </c>
      <c r="N24" s="542">
        <f>'Phụ lục số 2'!T17</f>
        <v>0</v>
      </c>
      <c r="O24" s="542">
        <f t="shared" si="24"/>
        <v>0</v>
      </c>
      <c r="P24" s="542">
        <f>'Phụ lục số 2'!X17</f>
        <v>0</v>
      </c>
      <c r="Q24" s="542">
        <f>'Phụ lục số 2'!Y17</f>
        <v>0</v>
      </c>
      <c r="R24" s="542">
        <f t="shared" si="25"/>
        <v>0</v>
      </c>
      <c r="S24" s="542">
        <f>'Phụ lục số 2'!AC17</f>
        <v>0</v>
      </c>
      <c r="T24" s="542">
        <f>'Phụ lục số 2'!AD17</f>
        <v>0</v>
      </c>
      <c r="U24" s="542">
        <f t="shared" si="26"/>
        <v>0</v>
      </c>
      <c r="V24" s="542">
        <f>'Phụ lục số 2'!AH17</f>
        <v>0</v>
      </c>
      <c r="W24" s="542">
        <f>'Phụ lục số 2'!AI17</f>
        <v>0</v>
      </c>
      <c r="X24" s="542">
        <f t="shared" si="7"/>
        <v>0</v>
      </c>
      <c r="Y24" s="542">
        <f t="shared" si="8"/>
        <v>0</v>
      </c>
      <c r="Z24" s="542">
        <f t="shared" si="9"/>
        <v>0</v>
      </c>
      <c r="AA24" s="551"/>
      <c r="AB24" s="551"/>
      <c r="AC24" s="551"/>
      <c r="AD24" s="551"/>
      <c r="AE24" s="551"/>
      <c r="AF24" s="551"/>
      <c r="AG24" s="551"/>
      <c r="AH24" s="551"/>
      <c r="AI24" s="551"/>
      <c r="AJ24" s="551"/>
      <c r="AK24" s="551"/>
      <c r="AL24" s="551"/>
      <c r="AM24" s="551"/>
      <c r="AN24" s="551"/>
      <c r="AO24" s="551"/>
      <c r="AP24" s="551"/>
      <c r="AQ24" s="551"/>
      <c r="AR24" s="551"/>
    </row>
    <row r="25" spans="1:44" s="43" customFormat="1" x14ac:dyDescent="0.25">
      <c r="A25" s="1178"/>
      <c r="B25" s="1179" t="s">
        <v>679</v>
      </c>
      <c r="C25" s="1180">
        <f t="shared" si="20"/>
        <v>8373843</v>
      </c>
      <c r="D25" s="1180">
        <f>'Phụ lục số 2'!D18</f>
        <v>2811706</v>
      </c>
      <c r="E25" s="1180">
        <f>'Phụ lục số 2'!E18</f>
        <v>5562137</v>
      </c>
      <c r="F25" s="1180">
        <f t="shared" si="21"/>
        <v>8607804</v>
      </c>
      <c r="G25" s="1180">
        <f>'Phụ lục số 2'!I18</f>
        <v>2932744</v>
      </c>
      <c r="H25" s="1180">
        <f>'Phụ lục số 2'!J18</f>
        <v>5675060</v>
      </c>
      <c r="I25" s="1180">
        <f t="shared" si="22"/>
        <v>8465821</v>
      </c>
      <c r="J25" s="1180">
        <f>'Phụ lục số 2'!N18</f>
        <v>2887729</v>
      </c>
      <c r="K25" s="1180">
        <f>'Phụ lục số 2'!O18</f>
        <v>5578092</v>
      </c>
      <c r="L25" s="1180">
        <f t="shared" si="23"/>
        <v>8975000</v>
      </c>
      <c r="M25" s="1180">
        <f>'Phụ lục số 2'!S18</f>
        <v>3026000</v>
      </c>
      <c r="N25" s="1180">
        <f>'Phụ lục số 2'!T18</f>
        <v>5949000</v>
      </c>
      <c r="O25" s="1180">
        <f t="shared" si="24"/>
        <v>9473000</v>
      </c>
      <c r="P25" s="1180">
        <f>'Phụ lục số 2'!X18</f>
        <v>3148000</v>
      </c>
      <c r="Q25" s="1180">
        <f>'Phụ lục số 2'!Y18</f>
        <v>6325000</v>
      </c>
      <c r="R25" s="1180">
        <f t="shared" si="25"/>
        <v>10000000</v>
      </c>
      <c r="S25" s="1180">
        <f>'Phụ lục số 2'!AC18</f>
        <v>3274000</v>
      </c>
      <c r="T25" s="1180">
        <f>'Phụ lục số 2'!AD18</f>
        <v>6726000</v>
      </c>
      <c r="U25" s="1180">
        <f t="shared" si="26"/>
        <v>10563000</v>
      </c>
      <c r="V25" s="1180">
        <f>'Phụ lục số 2'!AH18</f>
        <v>3405000</v>
      </c>
      <c r="W25" s="1180">
        <f>'Phụ lục số 2'!AI18</f>
        <v>7158000</v>
      </c>
      <c r="X25" s="1180">
        <f t="shared" si="7"/>
        <v>26913821</v>
      </c>
      <c r="Y25" s="1180">
        <f t="shared" si="8"/>
        <v>9061729</v>
      </c>
      <c r="Z25" s="1180">
        <f t="shared" si="9"/>
        <v>17852092</v>
      </c>
      <c r="AA25" s="820" t="s">
        <v>580</v>
      </c>
      <c r="AB25" s="551"/>
      <c r="AC25" s="551"/>
      <c r="AD25" s="820" t="s">
        <v>580</v>
      </c>
      <c r="AE25" s="551"/>
      <c r="AF25" s="551"/>
      <c r="AG25" s="820" t="s">
        <v>580</v>
      </c>
      <c r="AH25" s="551"/>
      <c r="AI25" s="551"/>
      <c r="AJ25" s="820" t="s">
        <v>580</v>
      </c>
      <c r="AK25" s="551"/>
      <c r="AL25" s="551"/>
      <c r="AM25" s="820" t="s">
        <v>580</v>
      </c>
      <c r="AN25" s="551"/>
      <c r="AO25" s="551"/>
      <c r="AP25" s="820" t="s">
        <v>580</v>
      </c>
      <c r="AQ25" s="551"/>
      <c r="AR25" s="551"/>
    </row>
    <row r="26" spans="1:44" s="43" customFormat="1" x14ac:dyDescent="0.25">
      <c r="A26" s="231"/>
      <c r="B26" s="218" t="s">
        <v>1558</v>
      </c>
      <c r="C26" s="542">
        <f>SUM(D26:E26)</f>
        <v>3653123</v>
      </c>
      <c r="D26" s="542">
        <f>'Phụ lục số 2'!D23</f>
        <v>742661</v>
      </c>
      <c r="E26" s="542">
        <f>'Phụ lục số 2'!E23</f>
        <v>2910462</v>
      </c>
      <c r="F26" s="542">
        <f t="shared" si="21"/>
        <v>3653123</v>
      </c>
      <c r="G26" s="542">
        <f>'Phụ lục số 2'!I23</f>
        <v>742661</v>
      </c>
      <c r="H26" s="542">
        <f>'Phụ lục số 2'!J23</f>
        <v>2910462</v>
      </c>
      <c r="I26" s="542">
        <f t="shared" si="22"/>
        <v>3653191</v>
      </c>
      <c r="J26" s="542">
        <f>'Phụ lục số 2'!N23</f>
        <v>777729</v>
      </c>
      <c r="K26" s="542">
        <f>'Phụ lục số 2'!O23</f>
        <v>2875462</v>
      </c>
      <c r="L26" s="542">
        <f t="shared" si="23"/>
        <v>3882000</v>
      </c>
      <c r="M26" s="542">
        <f>'Phụ lục số 2'!S23</f>
        <v>815000</v>
      </c>
      <c r="N26" s="542">
        <f>'Phụ lục số 2'!T23</f>
        <v>3067000</v>
      </c>
      <c r="O26" s="542">
        <f t="shared" si="24"/>
        <v>4109000</v>
      </c>
      <c r="P26" s="542">
        <f>'Phụ lục số 2'!X23</f>
        <v>848000</v>
      </c>
      <c r="Q26" s="542">
        <f>'Phụ lục số 2'!Y23</f>
        <v>3261000</v>
      </c>
      <c r="R26" s="542">
        <f t="shared" si="25"/>
        <v>4350000</v>
      </c>
      <c r="S26" s="542">
        <f>'Phụ lục số 2'!AC23</f>
        <v>882000</v>
      </c>
      <c r="T26" s="542">
        <f>'Phụ lục số 2'!AD23</f>
        <v>3468000</v>
      </c>
      <c r="U26" s="542">
        <f t="shared" si="26"/>
        <v>4609000</v>
      </c>
      <c r="V26" s="542">
        <f>'Phụ lục số 2'!AH23</f>
        <v>918000</v>
      </c>
      <c r="W26" s="542">
        <f>'Phụ lục số 2'!AI23</f>
        <v>3691000</v>
      </c>
      <c r="X26" s="542">
        <f t="shared" si="7"/>
        <v>11644191</v>
      </c>
      <c r="Y26" s="542">
        <f t="shared" si="8"/>
        <v>2440729</v>
      </c>
      <c r="Z26" s="542">
        <f t="shared" si="9"/>
        <v>9203462</v>
      </c>
      <c r="AA26" s="551">
        <f>AB26+AC26</f>
        <v>-344169</v>
      </c>
      <c r="AB26" s="551">
        <f>AB13-AB18</f>
        <v>-154352</v>
      </c>
      <c r="AC26" s="551">
        <f>AC13-AC18</f>
        <v>-189817</v>
      </c>
      <c r="AD26" s="551">
        <f>AE26+AF26</f>
        <v>-214129</v>
      </c>
      <c r="AE26" s="551">
        <f>AE13-AE18</f>
        <v>-73567</v>
      </c>
      <c r="AF26" s="551">
        <f>AF13-AF18</f>
        <v>-140562</v>
      </c>
      <c r="AG26" s="551">
        <f>AH26+AI26</f>
        <v>235280</v>
      </c>
      <c r="AH26" s="551">
        <f>AH13-AH18</f>
        <v>120435</v>
      </c>
      <c r="AI26" s="551">
        <f>AI13-AI18</f>
        <v>114845</v>
      </c>
      <c r="AJ26" s="551">
        <f>AK26+AL26</f>
        <v>234500</v>
      </c>
      <c r="AK26" s="551">
        <f>AK13-AK18</f>
        <v>111000</v>
      </c>
      <c r="AL26" s="551">
        <f>AL13-AL18</f>
        <v>123500</v>
      </c>
      <c r="AM26" s="551">
        <f>AN26+AO26</f>
        <v>258500</v>
      </c>
      <c r="AN26" s="551">
        <f>AN13-AN18</f>
        <v>118500</v>
      </c>
      <c r="AO26" s="551">
        <f>AO13-AO18</f>
        <v>140000</v>
      </c>
      <c r="AP26" s="551">
        <f>AQ26+AR26</f>
        <v>289250</v>
      </c>
      <c r="AQ26" s="551">
        <f>AQ13-AQ18</f>
        <v>129250</v>
      </c>
      <c r="AR26" s="551">
        <f>AR13-AR18</f>
        <v>160000</v>
      </c>
    </row>
    <row r="27" spans="1:44" s="43" customFormat="1" x14ac:dyDescent="0.25">
      <c r="A27" s="231"/>
      <c r="B27" s="218" t="s">
        <v>492</v>
      </c>
      <c r="C27" s="542">
        <f t="shared" si="20"/>
        <v>31000</v>
      </c>
      <c r="D27" s="542">
        <f>'Phụ lục số 2'!D22</f>
        <v>31000</v>
      </c>
      <c r="E27" s="542">
        <f>'Phụ lục số 2'!E22</f>
        <v>0</v>
      </c>
      <c r="F27" s="542">
        <f t="shared" si="21"/>
        <v>31000</v>
      </c>
      <c r="G27" s="542">
        <f>'Phụ lục số 2'!I22</f>
        <v>31000</v>
      </c>
      <c r="H27" s="542">
        <f>'Phụ lục số 2'!J22</f>
        <v>0</v>
      </c>
      <c r="I27" s="542">
        <f t="shared" si="22"/>
        <v>31000</v>
      </c>
      <c r="J27" s="542">
        <f>'Phụ lục số 2'!N22</f>
        <v>31000</v>
      </c>
      <c r="K27" s="542">
        <f>'Phụ lục số 2'!O22</f>
        <v>0</v>
      </c>
      <c r="L27" s="542">
        <f t="shared" si="23"/>
        <v>32000</v>
      </c>
      <c r="M27" s="542">
        <f>'Phụ lục số 2'!S22</f>
        <v>32000</v>
      </c>
      <c r="N27" s="542">
        <f>'Phụ lục số 2'!T22</f>
        <v>0</v>
      </c>
      <c r="O27" s="542">
        <f t="shared" si="24"/>
        <v>33000</v>
      </c>
      <c r="P27" s="542">
        <f>'Phụ lục số 2'!X22</f>
        <v>33000</v>
      </c>
      <c r="Q27" s="542">
        <f>'Phụ lục số 2'!Y22</f>
        <v>0</v>
      </c>
      <c r="R27" s="542">
        <f t="shared" si="25"/>
        <v>34000</v>
      </c>
      <c r="S27" s="542">
        <f>'Phụ lục số 2'!AC22</f>
        <v>34000</v>
      </c>
      <c r="T27" s="542">
        <f>'Phụ lục số 2'!AD22</f>
        <v>0</v>
      </c>
      <c r="U27" s="542">
        <f t="shared" si="26"/>
        <v>35000</v>
      </c>
      <c r="V27" s="542">
        <f>'Phụ lục số 2'!AH22</f>
        <v>35000</v>
      </c>
      <c r="W27" s="542">
        <f>'Phụ lục số 2'!AI22</f>
        <v>0</v>
      </c>
      <c r="X27" s="542">
        <f t="shared" si="7"/>
        <v>96000</v>
      </c>
      <c r="Y27" s="542">
        <f t="shared" si="8"/>
        <v>96000</v>
      </c>
      <c r="Z27" s="542">
        <f t="shared" si="9"/>
        <v>0</v>
      </c>
      <c r="AA27" s="551"/>
      <c r="AB27" s="551"/>
      <c r="AC27" s="551"/>
      <c r="AD27" s="551"/>
      <c r="AE27" s="551"/>
      <c r="AF27" s="551"/>
      <c r="AG27" s="551"/>
      <c r="AH27" s="551"/>
      <c r="AI27" s="551"/>
      <c r="AJ27" s="551"/>
      <c r="AK27" s="551"/>
      <c r="AL27" s="551"/>
      <c r="AM27" s="551"/>
      <c r="AN27" s="551"/>
      <c r="AO27" s="551"/>
      <c r="AP27" s="551"/>
      <c r="AQ27" s="551"/>
      <c r="AR27" s="551"/>
    </row>
    <row r="28" spans="1:44" s="43" customFormat="1" x14ac:dyDescent="0.25">
      <c r="A28" s="231"/>
      <c r="B28" s="218" t="s">
        <v>320</v>
      </c>
      <c r="C28" s="542">
        <f t="shared" si="20"/>
        <v>143469</v>
      </c>
      <c r="D28" s="542">
        <f>'Phụ lục số 2'!D20</f>
        <v>61999</v>
      </c>
      <c r="E28" s="542">
        <f>'Phụ lục số 2'!E20</f>
        <v>81470</v>
      </c>
      <c r="F28" s="542">
        <f t="shared" si="21"/>
        <v>143469</v>
      </c>
      <c r="G28" s="542">
        <f>'Phụ lục số 2'!I20</f>
        <v>61999</v>
      </c>
      <c r="H28" s="542">
        <f>'Phụ lục số 2'!J20</f>
        <v>81470</v>
      </c>
      <c r="I28" s="542">
        <f t="shared" si="22"/>
        <v>143470</v>
      </c>
      <c r="J28" s="542">
        <f>'Phụ lục số 2'!N20</f>
        <v>62000</v>
      </c>
      <c r="K28" s="542">
        <f>'Phụ lục số 2'!O20</f>
        <v>81470</v>
      </c>
      <c r="L28" s="542">
        <f t="shared" si="23"/>
        <v>152000</v>
      </c>
      <c r="M28" s="542">
        <f>'Phụ lục số 2'!S20</f>
        <v>65000</v>
      </c>
      <c r="N28" s="542">
        <f>'Phụ lục số 2'!T20</f>
        <v>87000</v>
      </c>
      <c r="O28" s="542">
        <f t="shared" si="24"/>
        <v>160000</v>
      </c>
      <c r="P28" s="542">
        <f>'Phụ lục số 2'!X20</f>
        <v>68000</v>
      </c>
      <c r="Q28" s="542">
        <f>'Phụ lục số 2'!Y20</f>
        <v>92000</v>
      </c>
      <c r="R28" s="542">
        <f t="shared" si="25"/>
        <v>169000</v>
      </c>
      <c r="S28" s="542">
        <f>'Phụ lục số 2'!AC20</f>
        <v>71000</v>
      </c>
      <c r="T28" s="542">
        <f>'Phụ lục số 2'!AD20</f>
        <v>98000</v>
      </c>
      <c r="U28" s="542">
        <f t="shared" si="26"/>
        <v>178000</v>
      </c>
      <c r="V28" s="542">
        <f>'Phụ lục số 2'!AH20</f>
        <v>74000</v>
      </c>
      <c r="W28" s="542">
        <f>'Phụ lục số 2'!AI20</f>
        <v>104000</v>
      </c>
      <c r="X28" s="542">
        <f t="shared" si="7"/>
        <v>455470</v>
      </c>
      <c r="Y28" s="542">
        <f t="shared" si="8"/>
        <v>195000</v>
      </c>
      <c r="Z28" s="542">
        <f t="shared" si="9"/>
        <v>260470</v>
      </c>
      <c r="AA28" s="820"/>
      <c r="AB28" s="551"/>
      <c r="AC28" s="551"/>
      <c r="AD28" s="820"/>
      <c r="AE28" s="551"/>
      <c r="AF28" s="551"/>
      <c r="AG28" s="820"/>
      <c r="AH28" s="551"/>
      <c r="AI28" s="551"/>
      <c r="AJ28" s="820"/>
      <c r="AK28" s="551"/>
      <c r="AL28" s="551"/>
      <c r="AM28" s="820"/>
      <c r="AN28" s="551"/>
      <c r="AO28" s="551"/>
      <c r="AP28" s="820"/>
      <c r="AQ28" s="551"/>
      <c r="AR28" s="551"/>
    </row>
    <row r="29" spans="1:44" s="43" customFormat="1" x14ac:dyDescent="0.25">
      <c r="A29" s="231"/>
      <c r="B29" s="218" t="s">
        <v>491</v>
      </c>
      <c r="C29" s="542">
        <f>SUM(D29:E29)</f>
        <v>4546251</v>
      </c>
      <c r="D29" s="542">
        <f>D25-D26-D27-D28</f>
        <v>1976046</v>
      </c>
      <c r="E29" s="542">
        <f>E25-E26-E27-E28</f>
        <v>2570205</v>
      </c>
      <c r="F29" s="542">
        <f t="shared" si="21"/>
        <v>4780212</v>
      </c>
      <c r="G29" s="542">
        <f>G25-G26-G27-G28</f>
        <v>2097084</v>
      </c>
      <c r="H29" s="542">
        <f>H25-H26-H27-H28</f>
        <v>2683128</v>
      </c>
      <c r="I29" s="542">
        <f t="shared" si="22"/>
        <v>4638160</v>
      </c>
      <c r="J29" s="542">
        <f>J25-J26-J27-J28</f>
        <v>2017000</v>
      </c>
      <c r="K29" s="542">
        <f>K25-K26-K27-K28</f>
        <v>2621160</v>
      </c>
      <c r="L29" s="542">
        <f t="shared" si="23"/>
        <v>4909000</v>
      </c>
      <c r="M29" s="542">
        <f>M25-M26-M27-M28</f>
        <v>2114000</v>
      </c>
      <c r="N29" s="542">
        <f>N25-N26-N27-N28</f>
        <v>2795000</v>
      </c>
      <c r="O29" s="542">
        <f t="shared" si="24"/>
        <v>5171000</v>
      </c>
      <c r="P29" s="542">
        <f>P25-P26-P27-P28</f>
        <v>2199000</v>
      </c>
      <c r="Q29" s="542">
        <f>Q25-Q26-Q27-Q28</f>
        <v>2972000</v>
      </c>
      <c r="R29" s="542">
        <f t="shared" si="25"/>
        <v>5447000</v>
      </c>
      <c r="S29" s="542">
        <f>S25-S26-S27-S28</f>
        <v>2287000</v>
      </c>
      <c r="T29" s="542">
        <f>T25-T26-T27-T28</f>
        <v>3160000</v>
      </c>
      <c r="U29" s="542">
        <f t="shared" si="26"/>
        <v>5741000</v>
      </c>
      <c r="V29" s="542">
        <f>V25-V26-V27-V28</f>
        <v>2378000</v>
      </c>
      <c r="W29" s="542">
        <f>W25-W26-W27-W28</f>
        <v>3363000</v>
      </c>
      <c r="X29" s="542">
        <f t="shared" si="7"/>
        <v>14718160</v>
      </c>
      <c r="Y29" s="542">
        <f t="shared" si="8"/>
        <v>6330000</v>
      </c>
      <c r="Z29" s="542">
        <f t="shared" si="9"/>
        <v>8388160</v>
      </c>
      <c r="AA29" s="822">
        <f>(('Phụ lục số 1'!K14/'Phụ lục số 1'!E14)-1)/2+1</f>
        <v>0.92612316740721656</v>
      </c>
      <c r="AB29" s="822">
        <f>(('Phụ lục số 1'!L14/'Phụ lục số 1'!F14)-1)/2+1</f>
        <v>0.94175959762514316</v>
      </c>
      <c r="AC29" s="822">
        <f>(('Phụ lục số 1'!M14/'Phụ lục số 1'!G14)-1)/2+1</f>
        <v>0.9054898465720822</v>
      </c>
      <c r="AD29" s="822">
        <f>(('Phụ lục số 1'!Q14/'Phụ lục số 1'!E14)-1)/2+1</f>
        <v>0.95403653379698206</v>
      </c>
      <c r="AE29" s="822">
        <f>(('Phụ lục số 1'!R14/'Phụ lục số 1'!F14)-1)/2+1</f>
        <v>0.97224145509977311</v>
      </c>
      <c r="AF29" s="822">
        <f>(('Phụ lục số 1'!S14/'Phụ lục số 1'!G14)-1)/2+1</f>
        <v>0.93001391630797114</v>
      </c>
      <c r="AG29" s="822">
        <f>(('Phụ lục số 1'!W14/'Phụ lục số 1'!Q14)-1)/2+1</f>
        <v>1.0556159642968579</v>
      </c>
      <c r="AH29" s="822">
        <f>(('Phụ lục số 1'!X14/'Phụ lục số 1'!R14)-1)/2+1</f>
        <v>1.0481137615705136</v>
      </c>
      <c r="AI29" s="822">
        <f>(('Phụ lục số 1'!Y14/'Phụ lục số 1'!S14)-1)/2+1</f>
        <v>1.0664877757901015</v>
      </c>
      <c r="AJ29" s="822">
        <f>(('Phụ lục số 1'!AC14/'Phụ lục số 1'!W14)-1)/2+1</f>
        <v>1.0498830036162519</v>
      </c>
      <c r="AK29" s="822">
        <f>(('Phụ lục số 1'!AD14/'Phụ lục số 1'!X14)-1)/2+1</f>
        <v>1.0404518950437318</v>
      </c>
      <c r="AL29" s="822">
        <f>(('Phụ lục số 1'!AE14/'Phụ lục số 1'!Y14)-1)/2+1</f>
        <v>1.0631067961165048</v>
      </c>
      <c r="AM29" s="822">
        <f>(('Phụ lục số 1'!AI14/'Phụ lục số 1'!AC14)-1)/2+1</f>
        <v>1.05</v>
      </c>
      <c r="AN29" s="822">
        <f>(('Phụ lục số 1'!AJ14/'Phụ lục số 1'!AD14)-1)/2+1</f>
        <v>1.0399527983816588</v>
      </c>
      <c r="AO29" s="822">
        <f>(('Phụ lục số 1'!AK14/'Phụ lục số 1'!AE14)-1)/2+1</f>
        <v>1.0635208711433757</v>
      </c>
      <c r="AP29" s="822">
        <f>(('Phụ lục số 1'!AO14/'Phụ lục số 1'!AI14)-1)/2+1</f>
        <v>1.0508616142078424</v>
      </c>
      <c r="AQ29" s="822">
        <f>(('Phụ lục số 1'!AP14/'Phụ lục số 1'!AJ14)-1)/2+1</f>
        <v>1.0403527942553856</v>
      </c>
      <c r="AR29" s="822">
        <f>(('Phụ lục số 1'!AQ14/'Phụ lục số 1'!AK14)-1)/2+1</f>
        <v>1.0644122383252816</v>
      </c>
    </row>
    <row r="30" spans="1:44" s="43" customFormat="1" hidden="1" x14ac:dyDescent="0.25">
      <c r="A30" s="1274"/>
      <c r="B30" s="26" t="s">
        <v>1559</v>
      </c>
      <c r="C30" s="551">
        <f>SUM(D30:E30)</f>
        <v>0</v>
      </c>
      <c r="D30" s="551">
        <f>'Phụ lục số 2'!D34</f>
        <v>0</v>
      </c>
      <c r="E30" s="551">
        <f>'Phụ lục số 2'!E34</f>
        <v>0</v>
      </c>
      <c r="F30" s="551">
        <f>SUM(G30:H30)</f>
        <v>0</v>
      </c>
      <c r="G30" s="551">
        <f>'Phụ lục số 2'!I34</f>
        <v>0</v>
      </c>
      <c r="H30" s="551">
        <f>'Phụ lục số 2'!J34</f>
        <v>0</v>
      </c>
      <c r="I30" s="551">
        <f>SUM(J30:K30)</f>
        <v>0</v>
      </c>
      <c r="J30" s="551">
        <f>'Phụ lục số 2'!N34</f>
        <v>0</v>
      </c>
      <c r="K30" s="551">
        <f>'Phụ lục số 2'!O34</f>
        <v>0</v>
      </c>
      <c r="L30" s="551">
        <f>SUM(M30:N30)</f>
        <v>0</v>
      </c>
      <c r="M30" s="551">
        <f>'Phụ lục số 2'!S34</f>
        <v>0</v>
      </c>
      <c r="N30" s="551">
        <f>'Phụ lục số 2'!T34</f>
        <v>0</v>
      </c>
      <c r="O30" s="551">
        <f>SUM(P30:Q30)</f>
        <v>0</v>
      </c>
      <c r="P30" s="551">
        <f>'Phụ lục số 2'!X34</f>
        <v>0</v>
      </c>
      <c r="Q30" s="551">
        <f>'Phụ lục số 2'!Y34</f>
        <v>0</v>
      </c>
      <c r="R30" s="551">
        <f>SUM(S30:T30)</f>
        <v>0</v>
      </c>
      <c r="S30" s="551">
        <f>'Phụ lục số 2'!AC34</f>
        <v>0</v>
      </c>
      <c r="T30" s="551">
        <f>'Phụ lục số 2'!AD34</f>
        <v>0</v>
      </c>
      <c r="U30" s="551">
        <f>SUM(V30:W30)</f>
        <v>0</v>
      </c>
      <c r="V30" s="551">
        <f>'Phụ lục số 2'!AH34</f>
        <v>0</v>
      </c>
      <c r="W30" s="551">
        <f>'Phụ lục số 2'!AI34</f>
        <v>0</v>
      </c>
      <c r="X30" s="551">
        <f t="shared" si="7"/>
        <v>0</v>
      </c>
      <c r="Y30" s="551">
        <f t="shared" si="8"/>
        <v>0</v>
      </c>
      <c r="Z30" s="551">
        <f t="shared" si="9"/>
        <v>0</v>
      </c>
      <c r="AA30" s="551">
        <f>F7-C7</f>
        <v>-688340</v>
      </c>
      <c r="AB30" s="551">
        <f>G7-D7</f>
        <v>-308705</v>
      </c>
      <c r="AC30" s="551">
        <f>H7-E7</f>
        <v>-379635</v>
      </c>
      <c r="AD30" s="551">
        <f>I7-C7</f>
        <v>320838</v>
      </c>
      <c r="AE30" s="551">
        <f>J7-D7</f>
        <v>77123</v>
      </c>
      <c r="AF30" s="551">
        <f>K7-E7</f>
        <v>243715</v>
      </c>
      <c r="AG30" s="551">
        <f>L7-C7</f>
        <v>1020317</v>
      </c>
      <c r="AH30" s="551">
        <f>M7-D7</f>
        <v>250017</v>
      </c>
      <c r="AI30" s="551">
        <f>N7-E7</f>
        <v>770300</v>
      </c>
      <c r="AJ30" s="551">
        <f>O7-C7</f>
        <v>1711972</v>
      </c>
      <c r="AK30" s="551">
        <f>P7-D7</f>
        <v>515017</v>
      </c>
      <c r="AL30" s="551">
        <f>Q7-E7</f>
        <v>1196955</v>
      </c>
      <c r="AM30" s="551">
        <f>R7-C7</f>
        <v>2339162</v>
      </c>
      <c r="AN30" s="551">
        <f>S7-D7</f>
        <v>680707</v>
      </c>
      <c r="AO30" s="551">
        <f>T7-E7</f>
        <v>1658455</v>
      </c>
      <c r="AP30" s="551">
        <f>U7-C7</f>
        <v>3015722</v>
      </c>
      <c r="AQ30" s="551">
        <f>V7-D7</f>
        <v>857267</v>
      </c>
      <c r="AR30" s="551">
        <f>W7-E7</f>
        <v>2158455</v>
      </c>
    </row>
    <row r="31" spans="1:44" s="43" customFormat="1" x14ac:dyDescent="0.25">
      <c r="A31" s="1176"/>
      <c r="B31" s="282" t="s">
        <v>1578</v>
      </c>
      <c r="C31" s="551">
        <f>SUM(D31:E31)</f>
        <v>378989</v>
      </c>
      <c r="D31" s="551">
        <f>'Phụ lục số 2'!D35</f>
        <v>0</v>
      </c>
      <c r="E31" s="551">
        <f>'Phụ lục số 2'!E35</f>
        <v>378989</v>
      </c>
      <c r="F31" s="551">
        <f>SUM(G31:H31)</f>
        <v>189171</v>
      </c>
      <c r="G31" s="551">
        <f>'Phụ lục số 2'!I35</f>
        <v>0</v>
      </c>
      <c r="H31" s="551">
        <f>'Phụ lục số 2'!J35</f>
        <v>189171</v>
      </c>
      <c r="I31" s="551">
        <f>SUM(J31:K31)</f>
        <v>606749</v>
      </c>
      <c r="J31" s="551">
        <f>'Phụ lục số 2'!N35</f>
        <v>0</v>
      </c>
      <c r="K31" s="551">
        <f>'Phụ lục số 2'!O35</f>
        <v>606749</v>
      </c>
      <c r="L31" s="551">
        <f>SUM(M31:N31)</f>
        <v>721594</v>
      </c>
      <c r="M31" s="551">
        <f>'Phụ lục số 2'!S35</f>
        <v>0</v>
      </c>
      <c r="N31" s="551">
        <f>'Phụ lục số 2'!T35</f>
        <v>721594</v>
      </c>
      <c r="O31" s="551">
        <f>SUM(P31:Q31)</f>
        <v>841249</v>
      </c>
      <c r="P31" s="551">
        <f>'Phụ lục số 2'!X35</f>
        <v>111000</v>
      </c>
      <c r="Q31" s="551">
        <f>'Phụ lục số 2'!Y35</f>
        <v>730249</v>
      </c>
      <c r="R31" s="551">
        <f>SUM(S31:T31)</f>
        <v>865249</v>
      </c>
      <c r="S31" s="551">
        <f>'Phụ lục số 2'!AC35</f>
        <v>118500</v>
      </c>
      <c r="T31" s="551">
        <f>'Phụ lục số 2'!AD35</f>
        <v>746749</v>
      </c>
      <c r="U31" s="551">
        <f>SUM(V31:W31)</f>
        <v>895999</v>
      </c>
      <c r="V31" s="551">
        <f>'Phụ lục số 2'!AH35</f>
        <v>129250</v>
      </c>
      <c r="W31" s="551">
        <f>'Phụ lục số 2'!AI35</f>
        <v>766749</v>
      </c>
      <c r="X31" s="551">
        <f t="shared" si="7"/>
        <v>2169592</v>
      </c>
      <c r="Y31" s="551">
        <f t="shared" si="8"/>
        <v>111000</v>
      </c>
      <c r="Z31" s="551">
        <f t="shared" si="9"/>
        <v>2058592</v>
      </c>
      <c r="AA31" s="551"/>
      <c r="AB31" s="551"/>
      <c r="AC31" s="551"/>
      <c r="AD31" s="551"/>
      <c r="AE31" s="551"/>
      <c r="AF31" s="551"/>
      <c r="AG31" s="551"/>
      <c r="AH31" s="551"/>
      <c r="AI31" s="551"/>
      <c r="AJ31" s="551"/>
      <c r="AK31" s="551"/>
      <c r="AL31" s="551"/>
      <c r="AM31" s="551"/>
      <c r="AN31" s="551"/>
      <c r="AO31" s="551"/>
      <c r="AP31" s="551"/>
      <c r="AQ31" s="551"/>
      <c r="AR31" s="551"/>
    </row>
    <row r="32" spans="1:44" s="43" customFormat="1" x14ac:dyDescent="0.25">
      <c r="A32" s="1176"/>
      <c r="B32" s="98" t="s">
        <v>1579</v>
      </c>
      <c r="C32" s="551">
        <f t="shared" si="20"/>
        <v>2000</v>
      </c>
      <c r="D32" s="551">
        <f>'Phụ lục số 2'!D32</f>
        <v>2000</v>
      </c>
      <c r="E32" s="551">
        <f>'Phụ lục số 2'!E32</f>
        <v>0</v>
      </c>
      <c r="F32" s="551">
        <f t="shared" si="21"/>
        <v>2000</v>
      </c>
      <c r="G32" s="551">
        <f>'Phụ lục số 2'!I32</f>
        <v>2000</v>
      </c>
      <c r="H32" s="551">
        <f>'Phụ lục số 2'!J32</f>
        <v>0</v>
      </c>
      <c r="I32" s="551">
        <f t="shared" si="22"/>
        <v>2000</v>
      </c>
      <c r="J32" s="551">
        <f>'Phụ lục số 2'!N32</f>
        <v>2000</v>
      </c>
      <c r="K32" s="551">
        <f>'Phụ lục số 2'!O32</f>
        <v>0</v>
      </c>
      <c r="L32" s="551">
        <f t="shared" ref="L32:L37" si="27">SUM(M32:N32)</f>
        <v>2000</v>
      </c>
      <c r="M32" s="551">
        <f>'Phụ lục số 2'!S32</f>
        <v>2000</v>
      </c>
      <c r="N32" s="551">
        <f>'Phụ lục số 2'!T32</f>
        <v>0</v>
      </c>
      <c r="O32" s="551">
        <f t="shared" ref="O32:O37" si="28">SUM(P32:Q32)</f>
        <v>2000</v>
      </c>
      <c r="P32" s="551">
        <f>'Phụ lục số 2'!X32</f>
        <v>2000</v>
      </c>
      <c r="Q32" s="551">
        <f>'Phụ lục số 2'!Y32</f>
        <v>0</v>
      </c>
      <c r="R32" s="551">
        <f t="shared" ref="R32:R37" si="29">SUM(S32:T32)</f>
        <v>2000</v>
      </c>
      <c r="S32" s="551">
        <f>'Phụ lục số 2'!AC32</f>
        <v>2000</v>
      </c>
      <c r="T32" s="551">
        <f>'Phụ lục số 2'!AD32</f>
        <v>0</v>
      </c>
      <c r="U32" s="551">
        <f t="shared" ref="U32:U37" si="30">SUM(V32:W32)</f>
        <v>2000</v>
      </c>
      <c r="V32" s="551">
        <f>'Phụ lục số 2'!AH32</f>
        <v>2000</v>
      </c>
      <c r="W32" s="551">
        <f>'Phụ lục số 2'!AI32</f>
        <v>0</v>
      </c>
      <c r="X32" s="551">
        <f t="shared" si="7"/>
        <v>6000</v>
      </c>
      <c r="Y32" s="551">
        <f t="shared" si="8"/>
        <v>6000</v>
      </c>
      <c r="Z32" s="551">
        <f t="shared" si="9"/>
        <v>0</v>
      </c>
      <c r="AA32" s="551"/>
      <c r="AB32" s="551"/>
      <c r="AC32" s="551"/>
      <c r="AD32" s="551"/>
      <c r="AE32" s="551"/>
      <c r="AF32" s="551"/>
      <c r="AG32" s="551"/>
      <c r="AH32" s="551"/>
      <c r="AI32" s="551"/>
      <c r="AJ32" s="551"/>
      <c r="AK32" s="551"/>
      <c r="AL32" s="551"/>
      <c r="AM32" s="551"/>
      <c r="AN32" s="551"/>
      <c r="AO32" s="551"/>
      <c r="AP32" s="551"/>
      <c r="AQ32" s="551"/>
      <c r="AR32" s="551"/>
    </row>
    <row r="33" spans="1:44" s="43" customFormat="1" x14ac:dyDescent="0.25">
      <c r="A33" s="1177"/>
      <c r="B33" s="98" t="s">
        <v>1580</v>
      </c>
      <c r="C33" s="551">
        <f t="shared" si="20"/>
        <v>233960</v>
      </c>
      <c r="D33" s="551">
        <f>'Phụ lục số 2'!D33</f>
        <v>121038</v>
      </c>
      <c r="E33" s="551">
        <f>'Phụ lục số 2'!E33</f>
        <v>112922</v>
      </c>
      <c r="F33" s="551">
        <f t="shared" si="21"/>
        <v>0</v>
      </c>
      <c r="G33" s="551">
        <f>'Phụ lục số 2'!I33</f>
        <v>0</v>
      </c>
      <c r="H33" s="551">
        <f>'Phụ lục số 2'!J33</f>
        <v>0</v>
      </c>
      <c r="I33" s="551">
        <f t="shared" si="22"/>
        <v>233960</v>
      </c>
      <c r="J33" s="551">
        <f>'Phụ lục số 2'!N33</f>
        <v>121038</v>
      </c>
      <c r="K33" s="551">
        <f>'Phụ lục số 2'!O33</f>
        <v>112922</v>
      </c>
      <c r="L33" s="551">
        <f t="shared" si="27"/>
        <v>247000</v>
      </c>
      <c r="M33" s="551">
        <f>'Phụ lục số 2'!S33</f>
        <v>127000</v>
      </c>
      <c r="N33" s="551">
        <f>'Phụ lục số 2'!T33</f>
        <v>120000</v>
      </c>
      <c r="O33" s="551">
        <f t="shared" si="28"/>
        <v>260000</v>
      </c>
      <c r="P33" s="551">
        <f>'Phụ lục số 2'!X33</f>
        <v>132000</v>
      </c>
      <c r="Q33" s="551">
        <f>'Phụ lục số 2'!Y33</f>
        <v>128000</v>
      </c>
      <c r="R33" s="551">
        <f t="shared" si="29"/>
        <v>273000</v>
      </c>
      <c r="S33" s="551">
        <f>'Phụ lục số 2'!AC33</f>
        <v>137000</v>
      </c>
      <c r="T33" s="551">
        <f>'Phụ lục số 2'!AD33</f>
        <v>136000</v>
      </c>
      <c r="U33" s="551">
        <f t="shared" si="30"/>
        <v>288000</v>
      </c>
      <c r="V33" s="551">
        <f>'Phụ lục số 2'!AH33</f>
        <v>143000</v>
      </c>
      <c r="W33" s="551">
        <f>'Phụ lục số 2'!AI33</f>
        <v>145000</v>
      </c>
      <c r="X33" s="551">
        <f t="shared" si="7"/>
        <v>740960</v>
      </c>
      <c r="Y33" s="551">
        <f t="shared" si="8"/>
        <v>380038</v>
      </c>
      <c r="Z33" s="551">
        <f t="shared" si="9"/>
        <v>360922</v>
      </c>
      <c r="AA33" s="551"/>
      <c r="AB33" s="551"/>
      <c r="AC33" s="551"/>
      <c r="AD33" s="551"/>
      <c r="AE33" s="551"/>
      <c r="AF33" s="551"/>
      <c r="AG33" s="551"/>
      <c r="AH33" s="551"/>
      <c r="AI33" s="551"/>
      <c r="AJ33" s="551"/>
      <c r="AK33" s="551"/>
      <c r="AL33" s="551"/>
      <c r="AM33" s="551"/>
      <c r="AN33" s="551"/>
      <c r="AO33" s="551"/>
      <c r="AP33" s="551"/>
      <c r="AQ33" s="551"/>
      <c r="AR33" s="551"/>
    </row>
    <row r="34" spans="1:44" s="43" customFormat="1" x14ac:dyDescent="0.25">
      <c r="A34" s="1177"/>
      <c r="B34" s="98" t="s">
        <v>1581</v>
      </c>
      <c r="C34" s="551">
        <f t="shared" si="20"/>
        <v>1000</v>
      </c>
      <c r="D34" s="551">
        <f>'Phụ lục số 2'!D36</f>
        <v>1000</v>
      </c>
      <c r="E34" s="551">
        <f>'Phụ lục số 2'!E36</f>
        <v>0</v>
      </c>
      <c r="F34" s="551">
        <f t="shared" si="21"/>
        <v>1000</v>
      </c>
      <c r="G34" s="551">
        <f>'Phụ lục số 2'!I36</f>
        <v>1000</v>
      </c>
      <c r="H34" s="551">
        <f>'Phụ lục số 2'!J36</f>
        <v>0</v>
      </c>
      <c r="I34" s="551">
        <f t="shared" si="22"/>
        <v>2100</v>
      </c>
      <c r="J34" s="551">
        <f>'Phụ lục số 2'!N36</f>
        <v>2100</v>
      </c>
      <c r="K34" s="551">
        <f>'Phụ lục số 2'!O36</f>
        <v>0</v>
      </c>
      <c r="L34" s="551">
        <f t="shared" si="27"/>
        <v>1000</v>
      </c>
      <c r="M34" s="551">
        <f>'Phụ lục số 2'!S36</f>
        <v>1000</v>
      </c>
      <c r="N34" s="551">
        <f>'Phụ lục số 2'!T36</f>
        <v>0</v>
      </c>
      <c r="O34" s="551">
        <f t="shared" si="28"/>
        <v>1000</v>
      </c>
      <c r="P34" s="551">
        <f>'Phụ lục số 2'!X36</f>
        <v>1000</v>
      </c>
      <c r="Q34" s="551">
        <f>'Phụ lục số 2'!Y36</f>
        <v>0</v>
      </c>
      <c r="R34" s="551">
        <f t="shared" si="29"/>
        <v>1000</v>
      </c>
      <c r="S34" s="551">
        <f>'Phụ lục số 2'!AC36</f>
        <v>1000</v>
      </c>
      <c r="T34" s="551">
        <f>'Phụ lục số 2'!AD36</f>
        <v>0</v>
      </c>
      <c r="U34" s="551">
        <f t="shared" si="30"/>
        <v>1000</v>
      </c>
      <c r="V34" s="551">
        <f>'Phụ lục số 2'!AH36</f>
        <v>1000</v>
      </c>
      <c r="W34" s="551">
        <f>'Phụ lục số 2'!AI36</f>
        <v>0</v>
      </c>
      <c r="X34" s="551">
        <f t="shared" si="7"/>
        <v>4100</v>
      </c>
      <c r="Y34" s="551">
        <f t="shared" si="8"/>
        <v>4100</v>
      </c>
      <c r="Z34" s="551">
        <f t="shared" si="9"/>
        <v>0</v>
      </c>
      <c r="AA34" s="551"/>
      <c r="AB34" s="551"/>
      <c r="AC34" s="551"/>
      <c r="AD34" s="551"/>
      <c r="AE34" s="551"/>
      <c r="AF34" s="551"/>
      <c r="AG34" s="551"/>
      <c r="AH34" s="551"/>
      <c r="AI34" s="551"/>
      <c r="AJ34" s="551"/>
      <c r="AK34" s="551"/>
      <c r="AL34" s="551"/>
      <c r="AM34" s="551"/>
      <c r="AN34" s="551"/>
      <c r="AO34" s="551"/>
      <c r="AP34" s="551"/>
      <c r="AQ34" s="551"/>
      <c r="AR34" s="551"/>
    </row>
    <row r="35" spans="1:44" s="43" customFormat="1" x14ac:dyDescent="0.25">
      <c r="A35" s="674"/>
      <c r="B35" s="98" t="s">
        <v>677</v>
      </c>
      <c r="C35" s="551">
        <f t="shared" si="20"/>
        <v>1474513</v>
      </c>
      <c r="D35" s="551">
        <f>'Phụ lục số 2'!D37</f>
        <v>1474513</v>
      </c>
      <c r="E35" s="551">
        <f>'Phụ lục số 2'!E37</f>
        <v>0</v>
      </c>
      <c r="F35" s="551">
        <f t="shared" si="21"/>
        <v>1474513</v>
      </c>
      <c r="G35" s="551">
        <f>'Phụ lục số 2'!I37</f>
        <v>1474513</v>
      </c>
      <c r="H35" s="551">
        <f>'Phụ lục số 2'!J37</f>
        <v>0</v>
      </c>
      <c r="I35" s="551">
        <f t="shared" si="22"/>
        <v>1370794</v>
      </c>
      <c r="J35" s="551">
        <f>'Phụ lục số 2'!N37</f>
        <v>1370794</v>
      </c>
      <c r="K35" s="551">
        <f>'Phụ lục số 2'!O37</f>
        <v>0</v>
      </c>
      <c r="L35" s="551">
        <f t="shared" si="27"/>
        <v>1598970</v>
      </c>
      <c r="M35" s="551">
        <f>'Phụ lục số 2'!S37</f>
        <v>1598970</v>
      </c>
      <c r="N35" s="551">
        <f>'Phụ lục số 2'!T37</f>
        <v>0</v>
      </c>
      <c r="O35" s="551">
        <f t="shared" si="28"/>
        <v>1867970</v>
      </c>
      <c r="P35" s="551">
        <f>'Phụ lục số 2'!X37</f>
        <v>1867970</v>
      </c>
      <c r="Q35" s="551">
        <f>'Phụ lục số 2'!Y37</f>
        <v>0</v>
      </c>
      <c r="R35" s="551">
        <f t="shared" si="29"/>
        <v>2184970</v>
      </c>
      <c r="S35" s="551">
        <f>'Phụ lục số 2'!AC37</f>
        <v>2184970</v>
      </c>
      <c r="T35" s="551">
        <f>'Phụ lục số 2'!AD37</f>
        <v>0</v>
      </c>
      <c r="U35" s="551">
        <f t="shared" si="30"/>
        <v>2559970</v>
      </c>
      <c r="V35" s="551">
        <f>'Phụ lục số 2'!AH37</f>
        <v>2559970</v>
      </c>
      <c r="W35" s="551">
        <f>'Phụ lục số 2'!AI37</f>
        <v>0</v>
      </c>
      <c r="X35" s="551">
        <f t="shared" si="7"/>
        <v>4837734</v>
      </c>
      <c r="Y35" s="551">
        <f t="shared" si="8"/>
        <v>4837734</v>
      </c>
      <c r="Z35" s="551">
        <f t="shared" si="9"/>
        <v>0</v>
      </c>
      <c r="AA35" s="551"/>
      <c r="AB35" s="551"/>
      <c r="AC35" s="551"/>
      <c r="AD35" s="551"/>
      <c r="AE35" s="551"/>
      <c r="AF35" s="551"/>
      <c r="AG35" s="551"/>
      <c r="AH35" s="551"/>
      <c r="AI35" s="551"/>
      <c r="AJ35" s="551"/>
      <c r="AK35" s="551"/>
      <c r="AL35" s="551"/>
      <c r="AM35" s="551"/>
      <c r="AN35" s="551"/>
      <c r="AO35" s="551"/>
      <c r="AP35" s="551"/>
      <c r="AQ35" s="551"/>
      <c r="AR35" s="551"/>
    </row>
    <row r="36" spans="1:44" s="43" customFormat="1" ht="31.5" x14ac:dyDescent="0.25">
      <c r="A36" s="674"/>
      <c r="B36" s="823" t="s">
        <v>923</v>
      </c>
      <c r="C36" s="551">
        <f t="shared" si="20"/>
        <v>30900</v>
      </c>
      <c r="D36" s="551">
        <f>'Phụ lục số 2'!D41</f>
        <v>30900</v>
      </c>
      <c r="E36" s="551">
        <f>'Phụ lục số 2'!E41</f>
        <v>0</v>
      </c>
      <c r="F36" s="551">
        <f t="shared" si="21"/>
        <v>30900</v>
      </c>
      <c r="G36" s="551">
        <f>'Phụ lục số 2'!I41</f>
        <v>30900</v>
      </c>
      <c r="H36" s="551">
        <f>'Phụ lục số 2'!J41</f>
        <v>0</v>
      </c>
      <c r="I36" s="551">
        <f>SUM(J36:K36)</f>
        <v>61200</v>
      </c>
      <c r="J36" s="551">
        <f>'Phụ lục số 2'!N41</f>
        <v>61200</v>
      </c>
      <c r="K36" s="551">
        <f>'Phụ lục số 2'!O41</f>
        <v>0</v>
      </c>
      <c r="L36" s="551">
        <f t="shared" si="27"/>
        <v>96096</v>
      </c>
      <c r="M36" s="551">
        <f>'Phụ lục số 2'!S41</f>
        <v>96096</v>
      </c>
      <c r="N36" s="551">
        <f>'Phụ lục số 2'!T41</f>
        <v>0</v>
      </c>
      <c r="O36" s="551">
        <f t="shared" si="28"/>
        <v>0</v>
      </c>
      <c r="P36" s="551">
        <f>'Phụ lục số 2'!X41</f>
        <v>0</v>
      </c>
      <c r="Q36" s="551">
        <f>'Phụ lục số 2'!Y41</f>
        <v>0</v>
      </c>
      <c r="R36" s="551">
        <f t="shared" si="29"/>
        <v>0</v>
      </c>
      <c r="S36" s="551">
        <f>'Phụ lục số 2'!AC41</f>
        <v>0</v>
      </c>
      <c r="T36" s="551">
        <f>'Phụ lục số 2'!AD41</f>
        <v>0</v>
      </c>
      <c r="U36" s="551">
        <f t="shared" si="30"/>
        <v>0</v>
      </c>
      <c r="V36" s="551">
        <f>'Phụ lục số 2'!AH41</f>
        <v>0</v>
      </c>
      <c r="W36" s="551">
        <f>'Phụ lục số 2'!AI41</f>
        <v>0</v>
      </c>
      <c r="X36" s="551">
        <f t="shared" si="7"/>
        <v>157296</v>
      </c>
      <c r="Y36" s="551">
        <f t="shared" si="8"/>
        <v>157296</v>
      </c>
      <c r="Z36" s="551">
        <f t="shared" si="9"/>
        <v>0</v>
      </c>
      <c r="AA36" s="551"/>
      <c r="AB36" s="551"/>
      <c r="AC36" s="551"/>
      <c r="AD36" s="551"/>
      <c r="AE36" s="551"/>
      <c r="AF36" s="551"/>
      <c r="AG36" s="551"/>
      <c r="AH36" s="551"/>
      <c r="AI36" s="551"/>
      <c r="AJ36" s="551"/>
      <c r="AK36" s="551"/>
      <c r="AL36" s="551"/>
      <c r="AM36" s="551"/>
      <c r="AN36" s="551"/>
      <c r="AO36" s="551"/>
      <c r="AP36" s="551"/>
      <c r="AQ36" s="551"/>
      <c r="AR36" s="551"/>
    </row>
    <row r="37" spans="1:44" s="44" customFormat="1" x14ac:dyDescent="0.25">
      <c r="A37" s="674"/>
      <c r="B37" s="98" t="s">
        <v>678</v>
      </c>
      <c r="C37" s="551">
        <f t="shared" si="20"/>
        <v>4303110</v>
      </c>
      <c r="D37" s="551">
        <f>E12</f>
        <v>4303110</v>
      </c>
      <c r="E37" s="551"/>
      <c r="F37" s="551">
        <f t="shared" si="21"/>
        <v>4303110</v>
      </c>
      <c r="G37" s="551">
        <f>H12</f>
        <v>4303110</v>
      </c>
      <c r="H37" s="551"/>
      <c r="I37" s="551">
        <f t="shared" si="22"/>
        <v>4537585</v>
      </c>
      <c r="J37" s="551">
        <f>K12</f>
        <v>4537585</v>
      </c>
      <c r="K37" s="551"/>
      <c r="L37" s="551">
        <f t="shared" si="27"/>
        <v>4537585</v>
      </c>
      <c r="M37" s="551">
        <f>N12</f>
        <v>4537585</v>
      </c>
      <c r="N37" s="551"/>
      <c r="O37" s="551">
        <f t="shared" si="28"/>
        <v>4537585</v>
      </c>
      <c r="P37" s="551">
        <f>Q12</f>
        <v>4537585</v>
      </c>
      <c r="Q37" s="551"/>
      <c r="R37" s="551">
        <f t="shared" si="29"/>
        <v>4537585</v>
      </c>
      <c r="S37" s="551">
        <f>T12</f>
        <v>4537585</v>
      </c>
      <c r="T37" s="551"/>
      <c r="U37" s="551">
        <f t="shared" si="30"/>
        <v>4537585</v>
      </c>
      <c r="V37" s="551">
        <f>W12</f>
        <v>4537585</v>
      </c>
      <c r="W37" s="551"/>
      <c r="X37" s="551">
        <f t="shared" si="7"/>
        <v>13612755</v>
      </c>
      <c r="Y37" s="551">
        <f t="shared" si="8"/>
        <v>13612755</v>
      </c>
      <c r="Z37" s="551">
        <f t="shared" si="9"/>
        <v>0</v>
      </c>
      <c r="AA37" s="551"/>
      <c r="AB37" s="551"/>
      <c r="AC37" s="551"/>
      <c r="AD37" s="551"/>
      <c r="AE37" s="551"/>
      <c r="AF37" s="551"/>
      <c r="AG37" s="551"/>
      <c r="AH37" s="551"/>
      <c r="AI37" s="551"/>
      <c r="AJ37" s="551"/>
      <c r="AK37" s="551"/>
      <c r="AL37" s="551"/>
      <c r="AM37" s="551"/>
      <c r="AN37" s="551"/>
      <c r="AO37" s="551"/>
      <c r="AP37" s="551"/>
      <c r="AQ37" s="551"/>
      <c r="AR37" s="551"/>
    </row>
    <row r="38" spans="1:44" x14ac:dyDescent="0.25">
      <c r="A38" s="674" t="s">
        <v>426</v>
      </c>
      <c r="B38" s="1275" t="s">
        <v>493</v>
      </c>
      <c r="C38" s="824">
        <f>C5-C18</f>
        <v>0</v>
      </c>
      <c r="D38" s="824">
        <f>D5-D18</f>
        <v>0</v>
      </c>
      <c r="E38" s="824">
        <f>E5-E18</f>
        <v>0</v>
      </c>
      <c r="F38" s="824">
        <f>G38+H38</f>
        <v>0</v>
      </c>
      <c r="G38" s="824">
        <f t="shared" ref="G38:Q38" si="31">G5-G18</f>
        <v>0</v>
      </c>
      <c r="H38" s="824">
        <f t="shared" si="31"/>
        <v>0</v>
      </c>
      <c r="I38" s="824">
        <f t="shared" si="31"/>
        <v>0</v>
      </c>
      <c r="J38" s="824">
        <f>J5-J18</f>
        <v>0</v>
      </c>
      <c r="K38" s="824">
        <f>K5-K18</f>
        <v>0</v>
      </c>
      <c r="L38" s="824">
        <f>L5-L18</f>
        <v>0</v>
      </c>
      <c r="M38" s="824">
        <f>M5-M18</f>
        <v>0</v>
      </c>
      <c r="N38" s="824">
        <f>N5-N18</f>
        <v>0</v>
      </c>
      <c r="O38" s="824">
        <f t="shared" si="31"/>
        <v>0</v>
      </c>
      <c r="P38" s="824">
        <f>P5-P18</f>
        <v>0</v>
      </c>
      <c r="Q38" s="824">
        <f t="shared" si="31"/>
        <v>0</v>
      </c>
      <c r="R38" s="824">
        <f t="shared" ref="R38:W38" si="32">R5-R18</f>
        <v>0</v>
      </c>
      <c r="S38" s="824">
        <f>S5-S18</f>
        <v>0</v>
      </c>
      <c r="T38" s="824">
        <f t="shared" si="32"/>
        <v>0</v>
      </c>
      <c r="U38" s="824">
        <f t="shared" si="32"/>
        <v>0</v>
      </c>
      <c r="V38" s="824">
        <f t="shared" si="32"/>
        <v>0</v>
      </c>
      <c r="W38" s="824">
        <f t="shared" si="32"/>
        <v>0</v>
      </c>
      <c r="X38" s="824">
        <f t="shared" si="7"/>
        <v>0</v>
      </c>
      <c r="Y38" s="824">
        <f t="shared" si="8"/>
        <v>0</v>
      </c>
      <c r="Z38" s="824">
        <f t="shared" si="9"/>
        <v>0</v>
      </c>
      <c r="AA38" s="824"/>
      <c r="AB38" s="824"/>
      <c r="AC38" s="824"/>
      <c r="AD38" s="824"/>
      <c r="AE38" s="824"/>
      <c r="AF38" s="824"/>
      <c r="AG38" s="824"/>
      <c r="AH38" s="824"/>
      <c r="AI38" s="824"/>
      <c r="AJ38" s="824"/>
      <c r="AK38" s="824"/>
      <c r="AL38" s="824"/>
      <c r="AM38" s="824"/>
      <c r="AN38" s="824"/>
      <c r="AO38" s="824"/>
      <c r="AP38" s="824"/>
      <c r="AQ38" s="824"/>
      <c r="AR38" s="824"/>
    </row>
    <row r="39" spans="1:44" x14ac:dyDescent="0.25">
      <c r="I39" s="581"/>
      <c r="L39" s="581"/>
      <c r="O39" s="581"/>
      <c r="R39" s="581"/>
      <c r="U39" s="581"/>
    </row>
    <row r="40" spans="1:44" hidden="1" x14ac:dyDescent="0.25">
      <c r="C40" s="581">
        <f>C5-'[4]Phụ lục số 3-thu bs'!$I$6</f>
        <v>1536190</v>
      </c>
      <c r="D40" s="42">
        <f>D38*1000</f>
        <v>0</v>
      </c>
      <c r="E40" s="42">
        <f>E38*1000</f>
        <v>0</v>
      </c>
      <c r="G40" s="42">
        <f>G38*1000000</f>
        <v>0</v>
      </c>
      <c r="H40" s="42">
        <f>H38*1000000</f>
        <v>0</v>
      </c>
      <c r="J40" s="699">
        <f>J38*1000000</f>
        <v>0</v>
      </c>
      <c r="K40" s="699">
        <f>K38*1000000</f>
        <v>0</v>
      </c>
      <c r="L40" s="699"/>
      <c r="M40" s="699">
        <f>M38*1000000</f>
        <v>0</v>
      </c>
      <c r="N40" s="699">
        <f>N38*1000000</f>
        <v>0</v>
      </c>
      <c r="O40" s="699"/>
      <c r="P40" s="699">
        <f>P38*1000000</f>
        <v>0</v>
      </c>
      <c r="Q40" s="699">
        <f>Q38*1000000</f>
        <v>0</v>
      </c>
      <c r="R40" s="699"/>
      <c r="S40" s="699">
        <f>S38*1000000</f>
        <v>0</v>
      </c>
      <c r="T40" s="699">
        <f>T38*1000000</f>
        <v>0</v>
      </c>
      <c r="U40" s="699"/>
      <c r="V40" s="699">
        <f>V38*1000000</f>
        <v>0</v>
      </c>
      <c r="W40" s="699">
        <f>W38*1000000</f>
        <v>0</v>
      </c>
      <c r="X40" s="699"/>
      <c r="Y40" s="699">
        <f>Y38*1000000</f>
        <v>0</v>
      </c>
      <c r="Z40" s="699">
        <f>Z38*1000000</f>
        <v>0</v>
      </c>
    </row>
    <row r="41" spans="1:44" x14ac:dyDescent="0.25">
      <c r="C41" s="1272">
        <f t="shared" ref="C41:H41" si="33">+C38*1000000</f>
        <v>0</v>
      </c>
      <c r="D41" s="1272">
        <f t="shared" si="33"/>
        <v>0</v>
      </c>
      <c r="E41" s="1272">
        <f t="shared" si="33"/>
        <v>0</v>
      </c>
      <c r="F41" s="1272">
        <f t="shared" si="33"/>
        <v>0</v>
      </c>
      <c r="G41" s="1272">
        <f t="shared" si="33"/>
        <v>0</v>
      </c>
      <c r="H41" s="1272">
        <f t="shared" si="33"/>
        <v>0</v>
      </c>
      <c r="I41" s="1272">
        <f t="shared" ref="I41:Z41" si="34">+I38*1000000</f>
        <v>0</v>
      </c>
      <c r="J41" s="1272">
        <f t="shared" si="34"/>
        <v>0</v>
      </c>
      <c r="K41" s="1272">
        <f t="shared" si="34"/>
        <v>0</v>
      </c>
      <c r="L41" s="1272">
        <f t="shared" si="34"/>
        <v>0</v>
      </c>
      <c r="M41" s="1272">
        <f t="shared" si="34"/>
        <v>0</v>
      </c>
      <c r="N41" s="1272">
        <f t="shared" si="34"/>
        <v>0</v>
      </c>
      <c r="O41" s="1272">
        <f t="shared" si="34"/>
        <v>0</v>
      </c>
      <c r="P41" s="1272">
        <f t="shared" si="34"/>
        <v>0</v>
      </c>
      <c r="Q41" s="1272">
        <f t="shared" si="34"/>
        <v>0</v>
      </c>
      <c r="R41" s="1272">
        <f t="shared" si="34"/>
        <v>0</v>
      </c>
      <c r="S41" s="1272">
        <f t="shared" si="34"/>
        <v>0</v>
      </c>
      <c r="T41" s="1272">
        <f t="shared" si="34"/>
        <v>0</v>
      </c>
      <c r="U41" s="1272">
        <f t="shared" si="34"/>
        <v>0</v>
      </c>
      <c r="V41" s="1272">
        <f t="shared" si="34"/>
        <v>0</v>
      </c>
      <c r="W41" s="1272">
        <f t="shared" si="34"/>
        <v>0</v>
      </c>
      <c r="X41" s="1272">
        <f t="shared" si="34"/>
        <v>0</v>
      </c>
      <c r="Y41" s="1272">
        <f t="shared" si="34"/>
        <v>0</v>
      </c>
      <c r="Z41" s="1272">
        <f t="shared" si="34"/>
        <v>0</v>
      </c>
      <c r="AD41" s="1175"/>
    </row>
    <row r="42" spans="1:44" x14ac:dyDescent="0.25">
      <c r="C42" s="581">
        <f>C6-C19</f>
        <v>0</v>
      </c>
    </row>
    <row r="43" spans="1:44" x14ac:dyDescent="0.25">
      <c r="D43" s="42">
        <v>3858379</v>
      </c>
      <c r="E43" s="42">
        <f>2070635+108051</f>
        <v>2178686</v>
      </c>
    </row>
    <row r="44" spans="1:44" x14ac:dyDescent="0.25">
      <c r="D44" s="581">
        <f>+D8-D43</f>
        <v>351886</v>
      </c>
      <c r="E44" s="581">
        <f>+E8-E43</f>
        <v>329749</v>
      </c>
      <c r="F44" s="581"/>
    </row>
    <row r="45" spans="1:44" x14ac:dyDescent="0.25">
      <c r="D45" s="1175">
        <f>+D44/D8</f>
        <v>8.3578112066580126E-2</v>
      </c>
      <c r="E45" s="1175">
        <f>+E44/E8</f>
        <v>0.13145606722916878</v>
      </c>
    </row>
  </sheetData>
  <sheetProtection selectLockedCells="1" selectUnlockedCells="1"/>
  <sortState ref="A9:AC10">
    <sortCondition descending="1" ref="B28"/>
  </sortState>
  <customSheetViews>
    <customSheetView guid="{88621519-296E-4458-B04E-813E881018FE}" scale="89" showGridLines="0" fitToPage="1" hiddenRows="1" topLeftCell="B1">
      <pane xSplit="4" ySplit="8" topLeftCell="F30" activePane="bottomRight" state="frozen"/>
      <selection pane="bottomRight" activeCell="F34" sqref="F34"/>
      <pageMargins left="0" right="0" top="0.19685039370078741" bottom="0.19685039370078741" header="0" footer="0"/>
      <printOptions horizontalCentered="1"/>
      <pageSetup paperSize="9" scale="88" orientation="landscape" r:id="rId1"/>
      <headerFooter>
        <oddHeader>&amp;R&amp;A</oddHeader>
      </headerFooter>
    </customSheetView>
  </customSheetViews>
  <mergeCells count="18">
    <mergeCell ref="U3:W3"/>
    <mergeCell ref="X3:Z3"/>
    <mergeCell ref="AM3:AO3"/>
    <mergeCell ref="AP3:AR3"/>
    <mergeCell ref="AG3:AI3"/>
    <mergeCell ref="AJ3:AL3"/>
    <mergeCell ref="A1:Q1"/>
    <mergeCell ref="AA3:AC3"/>
    <mergeCell ref="AD3:AF3"/>
    <mergeCell ref="I2:K2"/>
    <mergeCell ref="A3:A4"/>
    <mergeCell ref="B3:B4"/>
    <mergeCell ref="C3:E3"/>
    <mergeCell ref="F3:H3"/>
    <mergeCell ref="I3:K3"/>
    <mergeCell ref="L3:N3"/>
    <mergeCell ref="O3:Q3"/>
    <mergeCell ref="R3:T3"/>
  </mergeCells>
  <printOptions horizontalCentered="1"/>
  <pageMargins left="0" right="0" top="0.19685039370078741" bottom="0.19685039370078741" header="0" footer="0"/>
  <pageSetup paperSize="9" scale="92" orientation="landscape" r:id="rId2"/>
  <headerFooter>
    <oddHeader>&amp;R&amp;A</oddHeader>
  </headerFooter>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R42"/>
  <sheetViews>
    <sheetView showGridLines="0" topLeftCell="B1" zoomScale="89" zoomScaleNormal="89" workbookViewId="0">
      <pane xSplit="4" ySplit="8" topLeftCell="Z9" activePane="bottomRight" state="frozen"/>
      <selection activeCell="D13" sqref="D13"/>
      <selection pane="topRight" activeCell="D13" sqref="D13"/>
      <selection pane="bottomLeft" activeCell="D13" sqref="D13"/>
      <selection pane="bottomRight" activeCell="D13" sqref="D13"/>
    </sheetView>
  </sheetViews>
  <sheetFormatPr defaultRowHeight="16.5" x14ac:dyDescent="0.25"/>
  <cols>
    <col min="1" max="1" width="4.25" style="45" customWidth="1"/>
    <col min="2" max="2" width="33.25" style="42" customWidth="1"/>
    <col min="3" max="26" width="10.625" style="42" customWidth="1"/>
    <col min="27" max="27" width="17.5" style="42" customWidth="1"/>
    <col min="28" max="28" width="16.375" style="42" customWidth="1"/>
    <col min="29" max="29" width="13.875" style="42" customWidth="1"/>
    <col min="30" max="30" width="16.625" style="42" customWidth="1"/>
    <col min="31" max="31" width="17" style="42" customWidth="1"/>
    <col min="32" max="32" width="16.75" style="42" customWidth="1"/>
    <col min="33" max="33" width="29.75" style="42" customWidth="1"/>
    <col min="34" max="34" width="12.375" style="42" customWidth="1"/>
    <col min="35" max="35" width="11" style="42" customWidth="1"/>
    <col min="36" max="36" width="40.875" style="42" bestFit="1" customWidth="1"/>
    <col min="37" max="38" width="9" style="42"/>
    <col min="39" max="39" width="41.125" style="42" bestFit="1" customWidth="1"/>
    <col min="40" max="41" width="9" style="42"/>
    <col min="42" max="42" width="41.125" style="42" bestFit="1" customWidth="1"/>
    <col min="43" max="16384" width="9" style="42"/>
  </cols>
  <sheetData>
    <row r="1" spans="1:44" ht="34.5" customHeight="1" x14ac:dyDescent="0.25">
      <c r="A1" s="1368" t="s">
        <v>1651</v>
      </c>
      <c r="B1" s="1368"/>
      <c r="C1" s="1368"/>
      <c r="D1" s="1368"/>
      <c r="E1" s="1368"/>
      <c r="F1" s="1368"/>
      <c r="G1" s="1368"/>
      <c r="H1" s="1368"/>
      <c r="I1" s="1368"/>
      <c r="J1" s="1368"/>
      <c r="K1" s="1368"/>
      <c r="L1" s="1368"/>
      <c r="M1" s="1368"/>
      <c r="N1" s="1368"/>
      <c r="O1" s="1368"/>
      <c r="P1" s="1368"/>
      <c r="Q1" s="1368"/>
      <c r="R1" s="670"/>
      <c r="S1" s="670"/>
      <c r="T1" s="670"/>
      <c r="U1" s="670"/>
      <c r="V1" s="670"/>
      <c r="W1" s="670"/>
      <c r="X1" s="670"/>
      <c r="Y1" s="670"/>
      <c r="Z1" s="670"/>
      <c r="AA1" s="209"/>
      <c r="AB1" s="209"/>
      <c r="AC1" s="209"/>
      <c r="AD1" s="209"/>
      <c r="AE1" s="209"/>
      <c r="AF1" s="209"/>
      <c r="AI1" s="1265"/>
      <c r="AQ1" s="1265"/>
    </row>
    <row r="2" spans="1:44" x14ac:dyDescent="0.25">
      <c r="A2" s="667"/>
      <c r="B2" s="667"/>
      <c r="C2" s="667"/>
      <c r="D2" s="667"/>
      <c r="E2" s="667"/>
      <c r="F2" s="667"/>
      <c r="G2" s="209"/>
      <c r="H2" s="210"/>
      <c r="I2" s="1458" t="s">
        <v>489</v>
      </c>
      <c r="J2" s="1458"/>
      <c r="K2" s="1458"/>
      <c r="L2" s="283"/>
      <c r="M2" s="283"/>
      <c r="N2" s="658"/>
      <c r="O2" s="283"/>
      <c r="P2" s="283"/>
      <c r="Q2" s="283"/>
      <c r="R2" s="283"/>
      <c r="S2" s="283"/>
      <c r="T2" s="283"/>
      <c r="U2" s="283"/>
      <c r="V2" s="283"/>
      <c r="W2" s="283"/>
      <c r="X2" s="283"/>
      <c r="Y2" s="283"/>
      <c r="Z2" s="283"/>
      <c r="AA2" s="209"/>
      <c r="AB2" s="209"/>
      <c r="AC2" s="209"/>
      <c r="AD2" s="209"/>
      <c r="AE2" s="209"/>
      <c r="AF2" s="209"/>
    </row>
    <row r="3" spans="1:44" s="43" customFormat="1" ht="17.25" customHeight="1" x14ac:dyDescent="0.25">
      <c r="A3" s="1459" t="s">
        <v>453</v>
      </c>
      <c r="B3" s="1459" t="s">
        <v>454</v>
      </c>
      <c r="C3" s="1461" t="s">
        <v>959</v>
      </c>
      <c r="D3" s="1461"/>
      <c r="E3" s="1461"/>
      <c r="F3" s="1421" t="s">
        <v>1390</v>
      </c>
      <c r="G3" s="1457"/>
      <c r="H3" s="1422"/>
      <c r="I3" s="1421" t="s">
        <v>1391</v>
      </c>
      <c r="J3" s="1457"/>
      <c r="K3" s="1422"/>
      <c r="L3" s="1421" t="s">
        <v>958</v>
      </c>
      <c r="M3" s="1457"/>
      <c r="N3" s="1422"/>
      <c r="O3" s="1421" t="s">
        <v>981</v>
      </c>
      <c r="P3" s="1457"/>
      <c r="Q3" s="1422"/>
      <c r="R3" s="1421" t="s">
        <v>982</v>
      </c>
      <c r="S3" s="1457"/>
      <c r="T3" s="1422"/>
      <c r="U3" s="1421" t="s">
        <v>983</v>
      </c>
      <c r="V3" s="1457"/>
      <c r="W3" s="1422"/>
      <c r="X3" s="1421" t="s">
        <v>1392</v>
      </c>
      <c r="Y3" s="1457"/>
      <c r="Z3" s="1422"/>
      <c r="AA3" s="1421" t="s">
        <v>1393</v>
      </c>
      <c r="AB3" s="1457"/>
      <c r="AC3" s="1422"/>
      <c r="AD3" s="1421" t="s">
        <v>1394</v>
      </c>
      <c r="AE3" s="1457"/>
      <c r="AF3" s="1422"/>
      <c r="AG3" s="1421" t="s">
        <v>1633</v>
      </c>
      <c r="AH3" s="1457"/>
      <c r="AI3" s="1422"/>
      <c r="AJ3" s="1421" t="s">
        <v>1634</v>
      </c>
      <c r="AK3" s="1457"/>
      <c r="AL3" s="1422"/>
      <c r="AM3" s="1421" t="s">
        <v>1635</v>
      </c>
      <c r="AN3" s="1457"/>
      <c r="AO3" s="1422"/>
      <c r="AP3" s="1421" t="s">
        <v>1636</v>
      </c>
      <c r="AQ3" s="1457"/>
      <c r="AR3" s="1422"/>
    </row>
    <row r="4" spans="1:44" s="43" customFormat="1" x14ac:dyDescent="0.25">
      <c r="A4" s="1460"/>
      <c r="B4" s="1460"/>
      <c r="C4" s="671" t="s">
        <v>455</v>
      </c>
      <c r="D4" s="46" t="s">
        <v>497</v>
      </c>
      <c r="E4" s="46" t="s">
        <v>498</v>
      </c>
      <c r="F4" s="671" t="s">
        <v>455</v>
      </c>
      <c r="G4" s="46" t="s">
        <v>497</v>
      </c>
      <c r="H4" s="46" t="s">
        <v>498</v>
      </c>
      <c r="I4" s="671" t="s">
        <v>455</v>
      </c>
      <c r="J4" s="46" t="s">
        <v>497</v>
      </c>
      <c r="K4" s="46" t="s">
        <v>498</v>
      </c>
      <c r="L4" s="671" t="s">
        <v>455</v>
      </c>
      <c r="M4" s="46" t="s">
        <v>497</v>
      </c>
      <c r="N4" s="46" t="s">
        <v>498</v>
      </c>
      <c r="O4" s="671" t="s">
        <v>455</v>
      </c>
      <c r="P4" s="46" t="s">
        <v>497</v>
      </c>
      <c r="Q4" s="46" t="s">
        <v>498</v>
      </c>
      <c r="R4" s="671" t="s">
        <v>455</v>
      </c>
      <c r="S4" s="46" t="s">
        <v>497</v>
      </c>
      <c r="T4" s="46" t="s">
        <v>498</v>
      </c>
      <c r="U4" s="671" t="s">
        <v>455</v>
      </c>
      <c r="V4" s="46" t="s">
        <v>497</v>
      </c>
      <c r="W4" s="46" t="s">
        <v>498</v>
      </c>
      <c r="X4" s="671" t="s">
        <v>455</v>
      </c>
      <c r="Y4" s="46" t="s">
        <v>497</v>
      </c>
      <c r="Z4" s="46" t="s">
        <v>498</v>
      </c>
      <c r="AA4" s="671" t="s">
        <v>455</v>
      </c>
      <c r="AB4" s="672" t="s">
        <v>456</v>
      </c>
      <c r="AC4" s="672" t="s">
        <v>457</v>
      </c>
      <c r="AD4" s="671" t="s">
        <v>455</v>
      </c>
      <c r="AE4" s="672" t="s">
        <v>456</v>
      </c>
      <c r="AF4" s="672" t="s">
        <v>457</v>
      </c>
      <c r="AG4" s="671" t="s">
        <v>455</v>
      </c>
      <c r="AH4" s="672" t="s">
        <v>456</v>
      </c>
      <c r="AI4" s="672" t="s">
        <v>457</v>
      </c>
      <c r="AJ4" s="671" t="s">
        <v>455</v>
      </c>
      <c r="AK4" s="672" t="s">
        <v>456</v>
      </c>
      <c r="AL4" s="672" t="s">
        <v>457</v>
      </c>
      <c r="AM4" s="671" t="s">
        <v>455</v>
      </c>
      <c r="AN4" s="672" t="s">
        <v>456</v>
      </c>
      <c r="AO4" s="672" t="s">
        <v>457</v>
      </c>
      <c r="AP4" s="671" t="s">
        <v>455</v>
      </c>
      <c r="AQ4" s="672" t="s">
        <v>456</v>
      </c>
      <c r="AR4" s="672" t="s">
        <v>457</v>
      </c>
    </row>
    <row r="5" spans="1:44" s="43" customFormat="1" x14ac:dyDescent="0.25">
      <c r="A5" s="674" t="s">
        <v>407</v>
      </c>
      <c r="B5" s="817" t="s">
        <v>490</v>
      </c>
      <c r="C5" s="818">
        <f t="shared" ref="C5:W5" si="0">SUM(C8,C12,C16,C17)</f>
        <v>13686690</v>
      </c>
      <c r="D5" s="818">
        <f>SUM(D8,D12,D16,D17)</f>
        <v>10930506</v>
      </c>
      <c r="E5" s="818">
        <f t="shared" si="0"/>
        <v>2756184</v>
      </c>
      <c r="F5" s="818">
        <f t="shared" si="0"/>
        <v>13488350</v>
      </c>
      <c r="G5" s="818">
        <f t="shared" si="0"/>
        <v>10861801</v>
      </c>
      <c r="H5" s="818">
        <f t="shared" si="0"/>
        <v>2626549</v>
      </c>
      <c r="I5" s="818">
        <f t="shared" si="0"/>
        <v>14124109</v>
      </c>
      <c r="J5" s="818">
        <f>SUM(J8,J12,J16,J17)</f>
        <v>11208685</v>
      </c>
      <c r="K5" s="818">
        <f>SUM(K8,K12,K16,K17)</f>
        <v>2915424</v>
      </c>
      <c r="L5" s="818">
        <f t="shared" si="0"/>
        <v>15186660</v>
      </c>
      <c r="M5" s="818">
        <f t="shared" si="0"/>
        <v>11694651</v>
      </c>
      <c r="N5" s="818">
        <f t="shared" si="0"/>
        <v>3492009</v>
      </c>
      <c r="O5" s="818">
        <f t="shared" si="0"/>
        <v>16101219</v>
      </c>
      <c r="P5" s="818">
        <f t="shared" si="0"/>
        <v>12182555</v>
      </c>
      <c r="Q5" s="818">
        <f t="shared" si="0"/>
        <v>3918664</v>
      </c>
      <c r="R5" s="818">
        <f t="shared" si="0"/>
        <v>17045409</v>
      </c>
      <c r="S5" s="818">
        <f t="shared" si="0"/>
        <v>12665245</v>
      </c>
      <c r="T5" s="818">
        <f t="shared" si="0"/>
        <v>4380164</v>
      </c>
      <c r="U5" s="818">
        <f t="shared" si="0"/>
        <v>18096969</v>
      </c>
      <c r="V5" s="818">
        <f t="shared" si="0"/>
        <v>13216805</v>
      </c>
      <c r="W5" s="818">
        <f t="shared" si="0"/>
        <v>4880164</v>
      </c>
      <c r="X5" s="818">
        <f>I5+L5+O5</f>
        <v>45411988</v>
      </c>
      <c r="Y5" s="818">
        <f>J5+M5+P5</f>
        <v>35085891</v>
      </c>
      <c r="Z5" s="818">
        <f>K5+N5+Q5</f>
        <v>10326097</v>
      </c>
      <c r="AA5" s="819" t="s">
        <v>960</v>
      </c>
      <c r="AB5" s="818"/>
      <c r="AC5" s="818"/>
      <c r="AD5" s="819" t="s">
        <v>961</v>
      </c>
      <c r="AE5" s="818"/>
      <c r="AF5" s="818"/>
      <c r="AG5" s="819" t="s">
        <v>631</v>
      </c>
      <c r="AH5" s="818"/>
      <c r="AI5" s="818"/>
      <c r="AJ5" s="819" t="s">
        <v>631</v>
      </c>
      <c r="AK5" s="818"/>
      <c r="AL5" s="818"/>
      <c r="AM5" s="819" t="s">
        <v>631</v>
      </c>
      <c r="AN5" s="818"/>
      <c r="AO5" s="818"/>
      <c r="AP5" s="819" t="s">
        <v>631</v>
      </c>
      <c r="AQ5" s="818"/>
      <c r="AR5" s="818"/>
    </row>
    <row r="6" spans="1:44" s="43" customFormat="1" x14ac:dyDescent="0.25">
      <c r="A6" s="674"/>
      <c r="B6" s="98" t="s">
        <v>682</v>
      </c>
      <c r="C6" s="551">
        <f>SUM(C8,D13,D15,C16)</f>
        <v>12181277</v>
      </c>
      <c r="D6" s="551">
        <f>D8+D13+D15+D16-D38</f>
        <v>5121983</v>
      </c>
      <c r="E6" s="551">
        <f>C6-D6</f>
        <v>7059294</v>
      </c>
      <c r="F6" s="551">
        <f>SUM(F8,G13,G15,F16)</f>
        <v>11982937</v>
      </c>
      <c r="G6" s="551">
        <f>G8+G13+G15+G16-G38</f>
        <v>5053278</v>
      </c>
      <c r="H6" s="551">
        <f>F6-G6</f>
        <v>6929659</v>
      </c>
      <c r="I6" s="551">
        <f>SUM(I8,J13,J15,I16)</f>
        <v>12692115</v>
      </c>
      <c r="J6" s="551">
        <f>J8+J13+J15+J16-J38</f>
        <v>5239106</v>
      </c>
      <c r="K6" s="551">
        <f>I6-J6</f>
        <v>7453009</v>
      </c>
      <c r="L6" s="551">
        <f>SUM(L8,M13,M15,L16)</f>
        <v>13491594</v>
      </c>
      <c r="M6" s="551">
        <f>M8+M13+M15+M16-M38</f>
        <v>5462000</v>
      </c>
      <c r="N6" s="551">
        <f>L6-M6</f>
        <v>8029594</v>
      </c>
      <c r="O6" s="551">
        <f>SUM(O8,P13,P15,O16)</f>
        <v>14233249</v>
      </c>
      <c r="P6" s="551">
        <f>P8+P13+P15+P16-P38</f>
        <v>5777000</v>
      </c>
      <c r="Q6" s="551">
        <f>O6-P6</f>
        <v>8456249</v>
      </c>
      <c r="R6" s="551">
        <f>SUM(R8,S13,S15,R16)</f>
        <v>14860439</v>
      </c>
      <c r="S6" s="551">
        <f>S8+S13+S15+S16-S38</f>
        <v>5942690</v>
      </c>
      <c r="T6" s="551">
        <f>R6-S6</f>
        <v>8917749</v>
      </c>
      <c r="U6" s="551">
        <f>SUM(U8,V13,V15,U16)</f>
        <v>15536999</v>
      </c>
      <c r="V6" s="551">
        <f>V8+V13+V15+V16-V38</f>
        <v>6119250</v>
      </c>
      <c r="W6" s="551">
        <f>U6-V6</f>
        <v>9417749</v>
      </c>
      <c r="X6" s="551">
        <f>SUM(X8,Y13,Y15,X16)</f>
        <v>40416958</v>
      </c>
      <c r="Y6" s="551">
        <f>Y8+Y13+Y15+Y16-Y38</f>
        <v>16478106</v>
      </c>
      <c r="Z6" s="551">
        <f>X6-Y6</f>
        <v>23938852</v>
      </c>
      <c r="AA6" s="820"/>
      <c r="AB6" s="551"/>
      <c r="AC6" s="551"/>
      <c r="AD6" s="820"/>
      <c r="AE6" s="551"/>
      <c r="AF6" s="551"/>
      <c r="AG6" s="820"/>
      <c r="AH6" s="551"/>
      <c r="AI6" s="551"/>
      <c r="AJ6" s="820"/>
      <c r="AK6" s="551"/>
      <c r="AL6" s="551"/>
      <c r="AM6" s="820"/>
      <c r="AN6" s="551"/>
      <c r="AO6" s="551"/>
      <c r="AP6" s="820"/>
      <c r="AQ6" s="551"/>
      <c r="AR6" s="551"/>
    </row>
    <row r="7" spans="1:44" s="43" customFormat="1" x14ac:dyDescent="0.25">
      <c r="A7" s="1210"/>
      <c r="B7" s="1212" t="s">
        <v>1492</v>
      </c>
      <c r="C7" s="1213">
        <f>+D7+E7</f>
        <v>10121277</v>
      </c>
      <c r="D7" s="1213">
        <f>D6-D9-D10</f>
        <v>3561983</v>
      </c>
      <c r="E7" s="1213">
        <f>E6-E9-E10</f>
        <v>6559294</v>
      </c>
      <c r="F7" s="1213">
        <f>+G7+H7</f>
        <v>9432937</v>
      </c>
      <c r="G7" s="1213">
        <f>G6-G9-G10</f>
        <v>3253278</v>
      </c>
      <c r="H7" s="1213">
        <f>H6-H9-H10</f>
        <v>6179659</v>
      </c>
      <c r="I7" s="1213">
        <f>+J7+K7</f>
        <v>10442115</v>
      </c>
      <c r="J7" s="1213">
        <f>J6-J9-J10</f>
        <v>3639106</v>
      </c>
      <c r="K7" s="1213">
        <f>K6-K9-K10</f>
        <v>6803009</v>
      </c>
      <c r="L7" s="1213">
        <f>+M7+N7</f>
        <v>11141594</v>
      </c>
      <c r="M7" s="1213">
        <f>M6-M9-M10</f>
        <v>3812000</v>
      </c>
      <c r="N7" s="1213">
        <f>N6-N9-N10</f>
        <v>7329594</v>
      </c>
      <c r="O7" s="1213">
        <f>+P7+Q7</f>
        <v>11833249</v>
      </c>
      <c r="P7" s="1213">
        <f>P6-P9-P10</f>
        <v>4077000</v>
      </c>
      <c r="Q7" s="1213">
        <f>Q6-Q9-Q10</f>
        <v>7756249</v>
      </c>
      <c r="R7" s="1213">
        <f>+S7+T7</f>
        <v>12460439</v>
      </c>
      <c r="S7" s="1213">
        <f>S6-S9-S10</f>
        <v>4242690</v>
      </c>
      <c r="T7" s="1213">
        <f>T6-T9-T10</f>
        <v>8217749</v>
      </c>
      <c r="U7" s="1213">
        <f>+V7+W7</f>
        <v>13136999</v>
      </c>
      <c r="V7" s="1213">
        <f>V6-V9-V10</f>
        <v>4419250</v>
      </c>
      <c r="W7" s="1213">
        <f>W6-W9-W10</f>
        <v>8717749</v>
      </c>
      <c r="X7" s="1213">
        <f>+Y7+Z7</f>
        <v>33416958</v>
      </c>
      <c r="Y7" s="1213">
        <f>Y6-Y9-Y10</f>
        <v>11528106</v>
      </c>
      <c r="Z7" s="1213">
        <f>Z6-Z9-Z10</f>
        <v>21888852</v>
      </c>
      <c r="AA7" s="820"/>
      <c r="AB7" s="551"/>
      <c r="AC7" s="551"/>
      <c r="AD7" s="820"/>
      <c r="AE7" s="551"/>
      <c r="AF7" s="551"/>
      <c r="AG7" s="820"/>
      <c r="AH7" s="551"/>
      <c r="AI7" s="551"/>
      <c r="AJ7" s="820"/>
      <c r="AK7" s="551"/>
      <c r="AL7" s="551"/>
      <c r="AM7" s="820"/>
      <c r="AN7" s="551"/>
      <c r="AO7" s="551"/>
      <c r="AP7" s="820"/>
      <c r="AQ7" s="551"/>
      <c r="AR7" s="551"/>
    </row>
    <row r="8" spans="1:44" s="43" customFormat="1" x14ac:dyDescent="0.25">
      <c r="A8" s="1176"/>
      <c r="B8" s="98" t="s">
        <v>675</v>
      </c>
      <c r="C8" s="551">
        <f t="shared" ref="C8:C17" si="1">SUM(D8:E8)</f>
        <v>6718700</v>
      </c>
      <c r="D8" s="551">
        <f>'Phụ lục số 1'!F12</f>
        <v>4210265</v>
      </c>
      <c r="E8" s="551">
        <f>'Phụ lục số 1'!G12</f>
        <v>2508435</v>
      </c>
      <c r="F8" s="551">
        <f t="shared" ref="F8:F17" si="2">SUM(G8:H8)</f>
        <v>6520360</v>
      </c>
      <c r="G8" s="551">
        <f>'Phụ lục số 1'!L12</f>
        <v>4141560</v>
      </c>
      <c r="H8" s="551">
        <f>'Phụ lục số 1'!M12</f>
        <v>2378800</v>
      </c>
      <c r="I8" s="551">
        <f t="shared" ref="I8:I17" si="3">SUM(J8:K8)</f>
        <v>6480440</v>
      </c>
      <c r="J8" s="551">
        <f>'Phụ lục số 1'!R12</f>
        <v>4103130</v>
      </c>
      <c r="K8" s="551">
        <f>'Phụ lục số 1'!S12</f>
        <v>2377310</v>
      </c>
      <c r="L8" s="551">
        <f t="shared" ref="L8:L17" si="4">SUM(M8:N8)</f>
        <v>7051000</v>
      </c>
      <c r="M8" s="551">
        <f>'Phụ lục số 1'!X12</f>
        <v>4394000</v>
      </c>
      <c r="N8" s="551">
        <f>'Phụ lục số 1'!Y12</f>
        <v>2657000</v>
      </c>
      <c r="O8" s="551">
        <f t="shared" ref="O8:O17" si="5">SUM(P8:Q8)</f>
        <v>7570000</v>
      </c>
      <c r="P8" s="551">
        <f>'Phụ lục số 1'!AD12</f>
        <v>4666000</v>
      </c>
      <c r="Q8" s="551">
        <f>'Phụ lục số 1'!AE12</f>
        <v>2904000</v>
      </c>
      <c r="R8" s="551">
        <f>SUM(S8:T8)</f>
        <v>8087000</v>
      </c>
      <c r="S8" s="551">
        <f>'Phụ lục số 1'!AJ12</f>
        <v>4903000</v>
      </c>
      <c r="T8" s="551">
        <f>'Phụ lục số 1'!AK12</f>
        <v>3184000</v>
      </c>
      <c r="U8" s="551">
        <f>SUM(V8:W8)</f>
        <v>8665500</v>
      </c>
      <c r="V8" s="551">
        <f>'Phụ lục số 1'!AP12</f>
        <v>5161500</v>
      </c>
      <c r="W8" s="551">
        <f>'Phụ lục số 1'!AQ12</f>
        <v>3504000</v>
      </c>
      <c r="X8" s="551">
        <f t="shared" ref="X8:X38" si="6">I8+L8+O8</f>
        <v>21101440</v>
      </c>
      <c r="Y8" s="551">
        <f t="shared" ref="Y8:Y38" si="7">J8+M8+P8</f>
        <v>13163130</v>
      </c>
      <c r="Z8" s="551">
        <f t="shared" ref="Z8:Z38" si="8">K8+N8+Q8</f>
        <v>7938310</v>
      </c>
      <c r="AA8" s="551">
        <f>SUM(AB8:AC8)</f>
        <v>-198340</v>
      </c>
      <c r="AB8" s="551">
        <f>G8-$D$8</f>
        <v>-68705</v>
      </c>
      <c r="AC8" s="551">
        <f>H8-$E$8</f>
        <v>-129635</v>
      </c>
      <c r="AD8" s="551">
        <f>SUM(AE8:AF8)</f>
        <v>-238260</v>
      </c>
      <c r="AE8" s="551">
        <f>J8-$D$8</f>
        <v>-107135</v>
      </c>
      <c r="AF8" s="551">
        <f>K8-$E$8</f>
        <v>-131125</v>
      </c>
      <c r="AG8" s="551">
        <f>SUM(AH8:AI8)</f>
        <v>332300</v>
      </c>
      <c r="AH8" s="551">
        <f>M8-$D$8</f>
        <v>183735</v>
      </c>
      <c r="AI8" s="551">
        <f>N8-$E$8</f>
        <v>148565</v>
      </c>
      <c r="AJ8" s="551">
        <f>SUM(AK8:AL8)</f>
        <v>851300</v>
      </c>
      <c r="AK8" s="551">
        <f>P8-$D$8</f>
        <v>455735</v>
      </c>
      <c r="AL8" s="551">
        <f>Q8-$E$8</f>
        <v>395565</v>
      </c>
      <c r="AM8" s="551">
        <f>SUM(AN8:AO8)</f>
        <v>1368300</v>
      </c>
      <c r="AN8" s="551">
        <f>S8-$D$8</f>
        <v>692735</v>
      </c>
      <c r="AO8" s="551">
        <f>T8-$E$8</f>
        <v>675565</v>
      </c>
      <c r="AP8" s="551">
        <f>SUM(AQ8:AR8)</f>
        <v>1946800</v>
      </c>
      <c r="AQ8" s="551">
        <f>V8-$D$8</f>
        <v>951235</v>
      </c>
      <c r="AR8" s="551">
        <f>W8-$E$8</f>
        <v>995565</v>
      </c>
    </row>
    <row r="9" spans="1:44" s="43" customFormat="1" x14ac:dyDescent="0.25">
      <c r="A9" s="231"/>
      <c r="B9" s="218" t="s">
        <v>645</v>
      </c>
      <c r="C9" s="542">
        <f t="shared" si="1"/>
        <v>600000</v>
      </c>
      <c r="D9" s="542">
        <f>'Phụ lục số 1'!F44</f>
        <v>100000</v>
      </c>
      <c r="E9" s="542">
        <f>'Phụ lục số 1'!G44</f>
        <v>500000</v>
      </c>
      <c r="F9" s="542">
        <f t="shared" si="2"/>
        <v>750000</v>
      </c>
      <c r="G9" s="542">
        <f>'Phụ lục số 1'!L44</f>
        <v>0</v>
      </c>
      <c r="H9" s="542">
        <f>'Phụ lục số 1'!M44</f>
        <v>750000</v>
      </c>
      <c r="I9" s="542">
        <f t="shared" si="3"/>
        <v>750000</v>
      </c>
      <c r="J9" s="542">
        <f>'Phụ lục số 1'!R44</f>
        <v>100000</v>
      </c>
      <c r="K9" s="542">
        <f>'Phụ lục số 1'!S44</f>
        <v>650000</v>
      </c>
      <c r="L9" s="542">
        <f t="shared" si="4"/>
        <v>800000</v>
      </c>
      <c r="M9" s="542">
        <f>'Phụ lục số 1'!X44</f>
        <v>100000</v>
      </c>
      <c r="N9" s="542">
        <f>'Phụ lục số 1'!Y44</f>
        <v>700000</v>
      </c>
      <c r="O9" s="542">
        <f t="shared" si="5"/>
        <v>800000</v>
      </c>
      <c r="P9" s="542">
        <f>'Phụ lục số 1'!AD44</f>
        <v>100000</v>
      </c>
      <c r="Q9" s="542">
        <f>'Phụ lục số 1'!AE44</f>
        <v>700000</v>
      </c>
      <c r="R9" s="542">
        <f>SUM(S9:T9)</f>
        <v>800000</v>
      </c>
      <c r="S9" s="542">
        <f>'Phụ lục số 1'!AJ44</f>
        <v>100000</v>
      </c>
      <c r="T9" s="542">
        <f>'Phụ lục số 1'!AK44</f>
        <v>700000</v>
      </c>
      <c r="U9" s="542">
        <f>SUM(V9:W9)</f>
        <v>800000</v>
      </c>
      <c r="V9" s="542">
        <f>'Phụ lục số 1'!AP44</f>
        <v>100000</v>
      </c>
      <c r="W9" s="542">
        <f>'Phụ lục số 1'!AQ44</f>
        <v>700000</v>
      </c>
      <c r="X9" s="542">
        <f t="shared" si="6"/>
        <v>2350000</v>
      </c>
      <c r="Y9" s="542">
        <f t="shared" si="7"/>
        <v>300000</v>
      </c>
      <c r="Z9" s="542">
        <f t="shared" si="8"/>
        <v>2050000</v>
      </c>
      <c r="AA9" s="820" t="s">
        <v>634</v>
      </c>
      <c r="AB9" s="551"/>
      <c r="AC9" s="551"/>
      <c r="AD9" s="820" t="s">
        <v>634</v>
      </c>
      <c r="AE9" s="551"/>
      <c r="AF9" s="551"/>
      <c r="AG9" s="820" t="s">
        <v>634</v>
      </c>
      <c r="AH9" s="551"/>
      <c r="AI9" s="551"/>
      <c r="AJ9" s="820" t="s">
        <v>634</v>
      </c>
      <c r="AK9" s="551"/>
      <c r="AL9" s="551"/>
      <c r="AM9" s="820" t="s">
        <v>634</v>
      </c>
      <c r="AN9" s="551"/>
      <c r="AO9" s="551"/>
      <c r="AP9" s="820" t="s">
        <v>634</v>
      </c>
      <c r="AQ9" s="551"/>
      <c r="AR9" s="551"/>
    </row>
    <row r="10" spans="1:44" s="43" customFormat="1" x14ac:dyDescent="0.25">
      <c r="A10" s="231"/>
      <c r="B10" s="218" t="s">
        <v>644</v>
      </c>
      <c r="C10" s="542">
        <f>SUM(D10:E10)</f>
        <v>1460000</v>
      </c>
      <c r="D10" s="542">
        <f>'Phụ lục số 1'!F51</f>
        <v>1460000</v>
      </c>
      <c r="E10" s="542">
        <f>'Phụ lục số 1'!G51</f>
        <v>0</v>
      </c>
      <c r="F10" s="542">
        <f>SUM(G10:H10)</f>
        <v>1800000</v>
      </c>
      <c r="G10" s="542">
        <f>'Phụ lục số 1'!L51</f>
        <v>1800000</v>
      </c>
      <c r="H10" s="542">
        <f>'Phụ lục số 1'!M51</f>
        <v>0</v>
      </c>
      <c r="I10" s="542">
        <f>SUM(J10:K10)</f>
        <v>1500000</v>
      </c>
      <c r="J10" s="542">
        <f>'Phụ lục số 1'!R51</f>
        <v>1500000</v>
      </c>
      <c r="K10" s="542">
        <f>'Phụ lục số 1'!S51</f>
        <v>0</v>
      </c>
      <c r="L10" s="542">
        <f>SUM(M10:N10)</f>
        <v>1550000</v>
      </c>
      <c r="M10" s="542">
        <f>'Phụ lục số 1'!X51</f>
        <v>1550000</v>
      </c>
      <c r="N10" s="542">
        <f>'Phụ lục số 1'!V51</f>
        <v>0</v>
      </c>
      <c r="O10" s="542">
        <f>SUM(P10:Q10)</f>
        <v>1600000</v>
      </c>
      <c r="P10" s="542">
        <f>'Phụ lục số 1'!AD51</f>
        <v>1600000</v>
      </c>
      <c r="Q10" s="542">
        <f>'Phụ lục số 1'!AE51</f>
        <v>0</v>
      </c>
      <c r="R10" s="542">
        <f>SUM(S10:T10)</f>
        <v>1600000</v>
      </c>
      <c r="S10" s="542">
        <f>'Phụ lục số 1'!AJ51</f>
        <v>1600000</v>
      </c>
      <c r="T10" s="542">
        <f>'Phụ lục số 1'!AH51</f>
        <v>0</v>
      </c>
      <c r="U10" s="542">
        <f>SUM(V10:W10)</f>
        <v>1600000</v>
      </c>
      <c r="V10" s="542">
        <f>'Phụ lục số 1'!AP51</f>
        <v>1600000</v>
      </c>
      <c r="W10" s="542">
        <f>'Phụ lục số 1'!AQ51</f>
        <v>0</v>
      </c>
      <c r="X10" s="542">
        <f t="shared" si="6"/>
        <v>4650000</v>
      </c>
      <c r="Y10" s="542">
        <f t="shared" si="7"/>
        <v>4650000</v>
      </c>
      <c r="Z10" s="542">
        <f t="shared" si="8"/>
        <v>0</v>
      </c>
      <c r="AA10" s="551">
        <f>SUM(AB10:AC10)</f>
        <v>490000</v>
      </c>
      <c r="AB10" s="551">
        <f>(G9+G10)-($D$9+$D$10)</f>
        <v>240000</v>
      </c>
      <c r="AC10" s="551">
        <f>(H9+H10)-($E$9+$E$10)</f>
        <v>250000</v>
      </c>
      <c r="AD10" s="551">
        <f>SUM(AE10:AF10)</f>
        <v>190000</v>
      </c>
      <c r="AE10" s="551">
        <f>(J9+J10)-($D$9+$D$10)</f>
        <v>40000</v>
      </c>
      <c r="AF10" s="551">
        <f>(K9+K10)-($E$9+$E$10)</f>
        <v>150000</v>
      </c>
      <c r="AG10" s="551">
        <f>SUM(AH10:AI10)</f>
        <v>290000</v>
      </c>
      <c r="AH10" s="551">
        <f>(M9+M10)-($D$9+$D$10)</f>
        <v>90000</v>
      </c>
      <c r="AI10" s="551">
        <f>(N9+N10)-($E$9+$E$10)</f>
        <v>200000</v>
      </c>
      <c r="AJ10" s="551">
        <f>SUM(AK10:AL10)</f>
        <v>340000</v>
      </c>
      <c r="AK10" s="551">
        <f>(P9+P10)-($D$9+$D$10)</f>
        <v>140000</v>
      </c>
      <c r="AL10" s="551">
        <f>(Q9+Q10)-($E$9+$E$10)</f>
        <v>200000</v>
      </c>
      <c r="AM10" s="551">
        <f>SUM(AN10:AO10)</f>
        <v>340000</v>
      </c>
      <c r="AN10" s="551">
        <f>(S9+S10)-($D$9+$D$10)</f>
        <v>140000</v>
      </c>
      <c r="AO10" s="551">
        <f>(T9+T10)-($E$9+$E$10)</f>
        <v>200000</v>
      </c>
      <c r="AP10" s="551">
        <f>SUM(AQ10:AR10)</f>
        <v>340000</v>
      </c>
      <c r="AQ10" s="551">
        <f>(V9+V10)-($D$9+$D$10)</f>
        <v>140000</v>
      </c>
      <c r="AR10" s="551">
        <f>(W9+W10)-($E$9+$E$10)</f>
        <v>200000</v>
      </c>
    </row>
    <row r="11" spans="1:44" s="43" customFormat="1" x14ac:dyDescent="0.25">
      <c r="A11" s="231"/>
      <c r="B11" s="218" t="s">
        <v>643</v>
      </c>
      <c r="C11" s="542">
        <f t="shared" si="1"/>
        <v>4658700</v>
      </c>
      <c r="D11" s="542">
        <f>D8-D9-D10</f>
        <v>2650265</v>
      </c>
      <c r="E11" s="542">
        <f t="shared" ref="E11:W11" si="9">E8-E9-E10</f>
        <v>2008435</v>
      </c>
      <c r="F11" s="542">
        <f t="shared" si="9"/>
        <v>3970360</v>
      </c>
      <c r="G11" s="542">
        <f t="shared" si="9"/>
        <v>2341560</v>
      </c>
      <c r="H11" s="542">
        <f t="shared" si="9"/>
        <v>1628800</v>
      </c>
      <c r="I11" s="542">
        <f t="shared" si="9"/>
        <v>4230440</v>
      </c>
      <c r="J11" s="542">
        <f t="shared" si="9"/>
        <v>2503130</v>
      </c>
      <c r="K11" s="542">
        <f t="shared" si="9"/>
        <v>1727310</v>
      </c>
      <c r="L11" s="542">
        <f t="shared" si="9"/>
        <v>4701000</v>
      </c>
      <c r="M11" s="542">
        <f t="shared" si="9"/>
        <v>2744000</v>
      </c>
      <c r="N11" s="542">
        <f t="shared" si="9"/>
        <v>1957000</v>
      </c>
      <c r="O11" s="542">
        <f t="shared" si="9"/>
        <v>5170000</v>
      </c>
      <c r="P11" s="542">
        <f t="shared" si="9"/>
        <v>2966000</v>
      </c>
      <c r="Q11" s="542">
        <f t="shared" si="9"/>
        <v>2204000</v>
      </c>
      <c r="R11" s="542">
        <f t="shared" si="9"/>
        <v>5687000</v>
      </c>
      <c r="S11" s="542">
        <f t="shared" si="9"/>
        <v>3203000</v>
      </c>
      <c r="T11" s="542">
        <f t="shared" si="9"/>
        <v>2484000</v>
      </c>
      <c r="U11" s="542">
        <f t="shared" si="9"/>
        <v>6265500</v>
      </c>
      <c r="V11" s="542">
        <f t="shared" si="9"/>
        <v>3461500</v>
      </c>
      <c r="W11" s="542">
        <f t="shared" si="9"/>
        <v>2804000</v>
      </c>
      <c r="X11" s="542">
        <f t="shared" si="6"/>
        <v>14101440</v>
      </c>
      <c r="Y11" s="542">
        <f t="shared" si="7"/>
        <v>8213130</v>
      </c>
      <c r="Z11" s="542">
        <f t="shared" si="8"/>
        <v>5888310</v>
      </c>
      <c r="AA11" s="551"/>
      <c r="AB11" s="551"/>
      <c r="AC11" s="551"/>
      <c r="AD11" s="551"/>
      <c r="AE11" s="551"/>
      <c r="AF11" s="551"/>
      <c r="AG11" s="551"/>
      <c r="AH11" s="551"/>
      <c r="AI11" s="551"/>
      <c r="AJ11" s="551"/>
      <c r="AK11" s="551"/>
      <c r="AL11" s="551"/>
      <c r="AM11" s="551"/>
      <c r="AN11" s="551"/>
      <c r="AO11" s="551"/>
      <c r="AP11" s="551"/>
      <c r="AQ11" s="551"/>
      <c r="AR11" s="551"/>
    </row>
    <row r="12" spans="1:44" s="43" customFormat="1" x14ac:dyDescent="0.25">
      <c r="A12" s="1176"/>
      <c r="B12" s="98" t="s">
        <v>674</v>
      </c>
      <c r="C12" s="551">
        <f t="shared" si="1"/>
        <v>6518796</v>
      </c>
      <c r="D12" s="551">
        <f>'Phụ lục số 1'!F55</f>
        <v>6518796</v>
      </c>
      <c r="E12" s="551"/>
      <c r="F12" s="551">
        <f t="shared" si="2"/>
        <v>6518796</v>
      </c>
      <c r="G12" s="551">
        <f>G13+G14</f>
        <v>6518796</v>
      </c>
      <c r="H12" s="551"/>
      <c r="I12" s="551">
        <f>SUM(J12:K12)</f>
        <v>6765596</v>
      </c>
      <c r="J12" s="551">
        <f>J13+J14</f>
        <v>6765596</v>
      </c>
      <c r="K12" s="551"/>
      <c r="L12" s="551">
        <f>SUM(M12:N12)</f>
        <v>6791578</v>
      </c>
      <c r="M12" s="551">
        <f>M13+M14</f>
        <v>6791578</v>
      </c>
      <c r="N12" s="551"/>
      <c r="O12" s="551">
        <f>SUM(P12:Q12)</f>
        <v>7060578</v>
      </c>
      <c r="P12" s="551">
        <f>P13+P14</f>
        <v>7060578</v>
      </c>
      <c r="Q12" s="551"/>
      <c r="R12" s="551">
        <f t="shared" ref="R12:R17" si="10">SUM(S12:T12)</f>
        <v>7377578</v>
      </c>
      <c r="S12" s="551">
        <f>S13+S14</f>
        <v>7377578</v>
      </c>
      <c r="T12" s="551"/>
      <c r="U12" s="551">
        <f t="shared" ref="U12:U17" si="11">SUM(V12:W12)</f>
        <v>7752578</v>
      </c>
      <c r="V12" s="551">
        <f>V13+V14</f>
        <v>7752578</v>
      </c>
      <c r="W12" s="551"/>
      <c r="X12" s="551">
        <f t="shared" si="6"/>
        <v>20617752</v>
      </c>
      <c r="Y12" s="551">
        <f t="shared" si="7"/>
        <v>20617752</v>
      </c>
      <c r="Z12" s="551">
        <f t="shared" si="8"/>
        <v>0</v>
      </c>
      <c r="AA12" s="820" t="s">
        <v>635</v>
      </c>
      <c r="AB12" s="551"/>
      <c r="AC12" s="551"/>
      <c r="AD12" s="820" t="s">
        <v>635</v>
      </c>
      <c r="AE12" s="551"/>
      <c r="AF12" s="551"/>
      <c r="AG12" s="820" t="s">
        <v>635</v>
      </c>
      <c r="AH12" s="551"/>
      <c r="AI12" s="551"/>
      <c r="AJ12" s="820" t="s">
        <v>635</v>
      </c>
      <c r="AK12" s="551"/>
      <c r="AL12" s="551"/>
      <c r="AM12" s="820" t="s">
        <v>635</v>
      </c>
      <c r="AN12" s="551"/>
      <c r="AO12" s="551"/>
      <c r="AP12" s="820" t="s">
        <v>635</v>
      </c>
      <c r="AQ12" s="551"/>
      <c r="AR12" s="551"/>
    </row>
    <row r="13" spans="1:44" s="43" customFormat="1" x14ac:dyDescent="0.25">
      <c r="A13" s="231"/>
      <c r="B13" s="218" t="s">
        <v>671</v>
      </c>
      <c r="C13" s="542">
        <f t="shared" si="1"/>
        <v>4883126</v>
      </c>
      <c r="D13" s="542">
        <f>'Phụ lục số 1'!F56</f>
        <v>4883126</v>
      </c>
      <c r="E13" s="542"/>
      <c r="F13" s="542">
        <f t="shared" si="2"/>
        <v>4883126</v>
      </c>
      <c r="G13" s="542">
        <f>$D$13</f>
        <v>4883126</v>
      </c>
      <c r="H13" s="542"/>
      <c r="I13" s="542">
        <f t="shared" si="3"/>
        <v>4883126</v>
      </c>
      <c r="J13" s="542">
        <f>'Phụ lục số 1'!N56</f>
        <v>4883126</v>
      </c>
      <c r="K13" s="542"/>
      <c r="L13" s="542">
        <f t="shared" si="4"/>
        <v>4883126</v>
      </c>
      <c r="M13" s="542">
        <f>$J$13</f>
        <v>4883126</v>
      </c>
      <c r="N13" s="542"/>
      <c r="O13" s="542">
        <f t="shared" si="5"/>
        <v>4883126</v>
      </c>
      <c r="P13" s="542">
        <f>$J$13</f>
        <v>4883126</v>
      </c>
      <c r="Q13" s="542"/>
      <c r="R13" s="542">
        <f t="shared" si="10"/>
        <v>4883126</v>
      </c>
      <c r="S13" s="542">
        <f>$J$13</f>
        <v>4883126</v>
      </c>
      <c r="T13" s="542"/>
      <c r="U13" s="542">
        <f t="shared" si="11"/>
        <v>4883126</v>
      </c>
      <c r="V13" s="542">
        <f>$J$13</f>
        <v>4883126</v>
      </c>
      <c r="W13" s="542"/>
      <c r="X13" s="542">
        <f t="shared" si="6"/>
        <v>14649378</v>
      </c>
      <c r="Y13" s="542">
        <f t="shared" si="7"/>
        <v>14649378</v>
      </c>
      <c r="Z13" s="542">
        <f t="shared" si="8"/>
        <v>0</v>
      </c>
      <c r="AA13" s="551">
        <f>SUM(AB13:AC13)</f>
        <v>-688340</v>
      </c>
      <c r="AB13" s="551">
        <f>AB8-AB10</f>
        <v>-308705</v>
      </c>
      <c r="AC13" s="551">
        <f>AC8-AC10</f>
        <v>-379635</v>
      </c>
      <c r="AD13" s="551">
        <f>SUM(AE13:AF13)</f>
        <v>-428260</v>
      </c>
      <c r="AE13" s="551">
        <f>AE8-AE10</f>
        <v>-147135</v>
      </c>
      <c r="AF13" s="551">
        <f>AF8-AF10</f>
        <v>-281125</v>
      </c>
      <c r="AG13" s="551">
        <f>SUM(AH13:AI13)</f>
        <v>42300</v>
      </c>
      <c r="AH13" s="551">
        <f>AH8-AH10</f>
        <v>93735</v>
      </c>
      <c r="AI13" s="551">
        <f>AI8-AI10</f>
        <v>-51435</v>
      </c>
      <c r="AJ13" s="551">
        <f>SUM(AK13:AL13)</f>
        <v>511300</v>
      </c>
      <c r="AK13" s="551">
        <f>AK8-AK10</f>
        <v>315735</v>
      </c>
      <c r="AL13" s="551">
        <f>AL8-AL10</f>
        <v>195565</v>
      </c>
      <c r="AM13" s="551">
        <f>SUM(AN13:AO13)</f>
        <v>1028300</v>
      </c>
      <c r="AN13" s="551">
        <f>AN8-AN10</f>
        <v>552735</v>
      </c>
      <c r="AO13" s="551">
        <f>AO8-AO10</f>
        <v>475565</v>
      </c>
      <c r="AP13" s="551">
        <f>SUM(AQ13:AR13)</f>
        <v>1606800</v>
      </c>
      <c r="AQ13" s="551">
        <f>AQ8-AQ10</f>
        <v>811235</v>
      </c>
      <c r="AR13" s="551">
        <f>AR8-AR10</f>
        <v>795565</v>
      </c>
    </row>
    <row r="14" spans="1:44" s="43" customFormat="1" x14ac:dyDescent="0.25">
      <c r="A14" s="231"/>
      <c r="B14" s="218" t="s">
        <v>672</v>
      </c>
      <c r="C14" s="542">
        <f t="shared" si="1"/>
        <v>1635670</v>
      </c>
      <c r="D14" s="542">
        <f>'Phụ lục số 1'!F57</f>
        <v>1635670</v>
      </c>
      <c r="E14" s="542"/>
      <c r="F14" s="542">
        <f t="shared" si="2"/>
        <v>1635670</v>
      </c>
      <c r="G14" s="542">
        <f>'Phụ lục số 1'!L57</f>
        <v>1635670</v>
      </c>
      <c r="H14" s="542"/>
      <c r="I14" s="542">
        <f t="shared" si="3"/>
        <v>1882470</v>
      </c>
      <c r="J14" s="542">
        <f>'Phụ lục số 1'!R57</f>
        <v>1882470</v>
      </c>
      <c r="K14" s="542"/>
      <c r="L14" s="542">
        <f t="shared" si="4"/>
        <v>1908452</v>
      </c>
      <c r="M14" s="542">
        <f>'Phụ lục số 1'!X57</f>
        <v>1908452</v>
      </c>
      <c r="N14" s="542"/>
      <c r="O14" s="542">
        <f t="shared" si="5"/>
        <v>2177452</v>
      </c>
      <c r="P14" s="542">
        <f>'Phụ lục số 1'!AD57</f>
        <v>2177452</v>
      </c>
      <c r="Q14" s="542"/>
      <c r="R14" s="542">
        <f t="shared" si="10"/>
        <v>2494452</v>
      </c>
      <c r="S14" s="542">
        <f>'Phụ lục số 1'!AJ57</f>
        <v>2494452</v>
      </c>
      <c r="T14" s="542"/>
      <c r="U14" s="542">
        <f t="shared" si="11"/>
        <v>2869452</v>
      </c>
      <c r="V14" s="542">
        <f>'Phụ lục số 1'!AP57</f>
        <v>2869452</v>
      </c>
      <c r="W14" s="542"/>
      <c r="X14" s="542">
        <f t="shared" si="6"/>
        <v>5968374</v>
      </c>
      <c r="Y14" s="542">
        <f t="shared" si="7"/>
        <v>5968374</v>
      </c>
      <c r="Z14" s="542">
        <f t="shared" si="8"/>
        <v>0</v>
      </c>
      <c r="AA14" s="820"/>
      <c r="AB14" s="551"/>
      <c r="AC14" s="551"/>
      <c r="AD14" s="820"/>
      <c r="AE14" s="551"/>
      <c r="AF14" s="551"/>
      <c r="AG14" s="820"/>
      <c r="AH14" s="551"/>
      <c r="AI14" s="551"/>
      <c r="AJ14" s="820"/>
      <c r="AK14" s="551"/>
      <c r="AL14" s="551"/>
      <c r="AM14" s="820"/>
      <c r="AN14" s="551"/>
      <c r="AO14" s="551"/>
      <c r="AP14" s="820"/>
      <c r="AQ14" s="551"/>
      <c r="AR14" s="551"/>
    </row>
    <row r="15" spans="1:44" s="43" customFormat="1" ht="25.5" x14ac:dyDescent="0.25">
      <c r="A15" s="231"/>
      <c r="B15" s="821" t="s">
        <v>717</v>
      </c>
      <c r="C15" s="542">
        <f t="shared" si="1"/>
        <v>161157</v>
      </c>
      <c r="D15" s="542">
        <f>'Phụ lục số 1'!C61+('Phụ lục số 1'!C60-'Phụ lục số 2'!C40)</f>
        <v>161157</v>
      </c>
      <c r="E15" s="542"/>
      <c r="F15" s="542">
        <f t="shared" si="2"/>
        <v>161157</v>
      </c>
      <c r="G15" s="542">
        <f>'Phụ lục số 1'!H61+('Phụ lục số 1'!H60-'Phụ lục số 2'!F40)</f>
        <v>161157</v>
      </c>
      <c r="H15" s="542"/>
      <c r="I15" s="542">
        <f t="shared" si="3"/>
        <v>511676</v>
      </c>
      <c r="J15" s="542">
        <f>'Phụ lục số 1'!N61+('Phụ lục số 1'!N60-'Phụ lục số 2'!K40)</f>
        <v>511676</v>
      </c>
      <c r="K15" s="542"/>
      <c r="L15" s="542">
        <f t="shared" si="4"/>
        <v>309482</v>
      </c>
      <c r="M15" s="542">
        <f>'Phụ lục số 1'!T61+('Phụ lục số 1'!T60-'Phụ lục số 2'!P40)</f>
        <v>309482</v>
      </c>
      <c r="N15" s="542"/>
      <c r="O15" s="542">
        <f t="shared" si="5"/>
        <v>309482</v>
      </c>
      <c r="P15" s="542">
        <f>'Phụ lục số 1'!Z61+('Phụ lục số 1'!Z60-'Phụ lục số 2'!P40)</f>
        <v>309482</v>
      </c>
      <c r="Q15" s="542"/>
      <c r="R15" s="542">
        <f t="shared" si="10"/>
        <v>309482</v>
      </c>
      <c r="S15" s="542">
        <f>'Phụ lục số 1'!AF61+('Phụ lục số 1'!AF60-'Phụ lục số 2'!U40)</f>
        <v>309482</v>
      </c>
      <c r="T15" s="542"/>
      <c r="U15" s="542">
        <f t="shared" si="11"/>
        <v>309482</v>
      </c>
      <c r="V15" s="542">
        <f>'Phụ lục số 1'!AL61+('Phụ lục số 1'!AL60-'Phụ lục số 2'!AE40)</f>
        <v>309482</v>
      </c>
      <c r="W15" s="542"/>
      <c r="X15" s="542">
        <f t="shared" si="6"/>
        <v>1130640</v>
      </c>
      <c r="Y15" s="542">
        <f t="shared" si="7"/>
        <v>1130640</v>
      </c>
      <c r="Z15" s="542">
        <f t="shared" si="8"/>
        <v>0</v>
      </c>
      <c r="AA15" s="820"/>
      <c r="AB15" s="551"/>
      <c r="AC15" s="551"/>
      <c r="AD15" s="820"/>
      <c r="AE15" s="551"/>
      <c r="AF15" s="551"/>
      <c r="AG15" s="820"/>
      <c r="AH15" s="551"/>
      <c r="AI15" s="551"/>
      <c r="AJ15" s="820"/>
      <c r="AK15" s="551"/>
      <c r="AL15" s="551"/>
      <c r="AM15" s="820"/>
      <c r="AN15" s="551"/>
      <c r="AO15" s="551"/>
      <c r="AP15" s="820"/>
      <c r="AQ15" s="551"/>
      <c r="AR15" s="551"/>
    </row>
    <row r="16" spans="1:44" s="43" customFormat="1" x14ac:dyDescent="0.25">
      <c r="A16" s="1176"/>
      <c r="B16" s="98" t="s">
        <v>673</v>
      </c>
      <c r="C16" s="551">
        <f t="shared" si="1"/>
        <v>418294</v>
      </c>
      <c r="D16" s="551">
        <f>'Phụ lục số 1'!F62</f>
        <v>170545</v>
      </c>
      <c r="E16" s="551">
        <f>'Phụ lục số 1'!G62</f>
        <v>247749</v>
      </c>
      <c r="F16" s="551">
        <f t="shared" si="2"/>
        <v>418294</v>
      </c>
      <c r="G16" s="551">
        <f>'Phụ lục số 1'!L62</f>
        <v>170545</v>
      </c>
      <c r="H16" s="551">
        <f>'Phụ lục số 1'!M62</f>
        <v>247749</v>
      </c>
      <c r="I16" s="551">
        <f t="shared" si="3"/>
        <v>816873</v>
      </c>
      <c r="J16" s="551">
        <f>'Phụ lục số 1'!R62</f>
        <v>278759</v>
      </c>
      <c r="K16" s="551">
        <f>'Phụ lục số 1'!S62</f>
        <v>538114</v>
      </c>
      <c r="L16" s="551">
        <f t="shared" si="4"/>
        <v>1247986</v>
      </c>
      <c r="M16" s="551">
        <f>'Phụ lục số 1'!X62</f>
        <v>412977</v>
      </c>
      <c r="N16" s="551">
        <f>'Phụ lục số 1'!Y62</f>
        <v>835009</v>
      </c>
      <c r="O16" s="551">
        <f t="shared" si="5"/>
        <v>1470641</v>
      </c>
      <c r="P16" s="551">
        <f>'Phụ lục số 1'!AD62</f>
        <v>455977</v>
      </c>
      <c r="Q16" s="551">
        <f>'Phụ lục số 1'!AE62</f>
        <v>1014664</v>
      </c>
      <c r="R16" s="551">
        <f t="shared" si="10"/>
        <v>1580831</v>
      </c>
      <c r="S16" s="551">
        <f>'Phụ lục số 1'!AJ62</f>
        <v>384667</v>
      </c>
      <c r="T16" s="551">
        <f>'Phụ lục số 1'!AK62</f>
        <v>1196164</v>
      </c>
      <c r="U16" s="551">
        <f t="shared" si="11"/>
        <v>1678891</v>
      </c>
      <c r="V16" s="551">
        <f>'Phụ lục số 1'!AP62</f>
        <v>302727</v>
      </c>
      <c r="W16" s="551">
        <f>'Phụ lục số 1'!AQ62</f>
        <v>1376164</v>
      </c>
      <c r="X16" s="551">
        <f t="shared" si="6"/>
        <v>3535500</v>
      </c>
      <c r="Y16" s="551">
        <f t="shared" si="7"/>
        <v>1147713</v>
      </c>
      <c r="Z16" s="551">
        <f t="shared" si="8"/>
        <v>2387787</v>
      </c>
      <c r="AA16" s="820" t="s">
        <v>494</v>
      </c>
      <c r="AB16" s="551"/>
      <c r="AC16" s="551"/>
      <c r="AD16" s="820" t="s">
        <v>494</v>
      </c>
      <c r="AE16" s="551"/>
      <c r="AF16" s="551"/>
      <c r="AG16" s="820" t="s">
        <v>494</v>
      </c>
      <c r="AH16" s="551"/>
      <c r="AI16" s="551"/>
      <c r="AJ16" s="820" t="s">
        <v>494</v>
      </c>
      <c r="AK16" s="551"/>
      <c r="AL16" s="551"/>
      <c r="AM16" s="820" t="s">
        <v>494</v>
      </c>
      <c r="AN16" s="551"/>
      <c r="AO16" s="551"/>
      <c r="AP16" s="820" t="s">
        <v>494</v>
      </c>
      <c r="AQ16" s="551"/>
      <c r="AR16" s="551"/>
    </row>
    <row r="17" spans="1:44" s="43" customFormat="1" x14ac:dyDescent="0.25">
      <c r="A17" s="1176"/>
      <c r="B17" s="98" t="s">
        <v>922</v>
      </c>
      <c r="C17" s="551">
        <f t="shared" si="1"/>
        <v>30900</v>
      </c>
      <c r="D17" s="551">
        <f>'Phụ lục số 1'!F63</f>
        <v>30900</v>
      </c>
      <c r="E17" s="551">
        <f>'Phụ lục số 1'!G63</f>
        <v>0</v>
      </c>
      <c r="F17" s="551">
        <f t="shared" si="2"/>
        <v>30900</v>
      </c>
      <c r="G17" s="551">
        <f>'Phụ lục số 1'!L63</f>
        <v>30900</v>
      </c>
      <c r="H17" s="551">
        <f>'Phụ lục số 1'!M63</f>
        <v>0</v>
      </c>
      <c r="I17" s="551">
        <f t="shared" si="3"/>
        <v>61200</v>
      </c>
      <c r="J17" s="551">
        <f>'Phụ lục số 1'!R63</f>
        <v>61200</v>
      </c>
      <c r="K17" s="551">
        <f>'Phụ lục số 1'!S63</f>
        <v>0</v>
      </c>
      <c r="L17" s="551">
        <f t="shared" si="4"/>
        <v>96096</v>
      </c>
      <c r="M17" s="551">
        <f>'Phụ lục số 1'!X63</f>
        <v>96096</v>
      </c>
      <c r="N17" s="551">
        <f>'Phụ lục số 1'!Y63</f>
        <v>0</v>
      </c>
      <c r="O17" s="551">
        <f t="shared" si="5"/>
        <v>0</v>
      </c>
      <c r="P17" s="551">
        <f>'Phụ lục số 1'!AD63</f>
        <v>0</v>
      </c>
      <c r="Q17" s="551">
        <f>'Phụ lục số 1'!AE63</f>
        <v>0</v>
      </c>
      <c r="R17" s="551">
        <f t="shared" si="10"/>
        <v>0</v>
      </c>
      <c r="S17" s="551">
        <f>'Phụ lục số 1'!AG63</f>
        <v>0</v>
      </c>
      <c r="T17" s="551">
        <f>'Phụ lục số 1'!AH63</f>
        <v>0</v>
      </c>
      <c r="U17" s="551">
        <f t="shared" si="11"/>
        <v>0</v>
      </c>
      <c r="V17" s="551">
        <f>'Phụ lục số 1'!AJ63</f>
        <v>0</v>
      </c>
      <c r="W17" s="551">
        <f>'Phụ lục số 1'!AK63</f>
        <v>0</v>
      </c>
      <c r="X17" s="551">
        <f t="shared" si="6"/>
        <v>157296</v>
      </c>
      <c r="Y17" s="551">
        <f t="shared" si="7"/>
        <v>157296</v>
      </c>
      <c r="Z17" s="551">
        <f t="shared" si="8"/>
        <v>0</v>
      </c>
      <c r="AA17" s="551">
        <f>AB17+AC17</f>
        <v>0</v>
      </c>
      <c r="AB17" s="551"/>
      <c r="AC17" s="551"/>
      <c r="AD17" s="551"/>
      <c r="AE17" s="551"/>
      <c r="AF17" s="551"/>
      <c r="AG17" s="551"/>
      <c r="AH17" s="551"/>
      <c r="AI17" s="551"/>
      <c r="AJ17" s="551"/>
      <c r="AK17" s="551"/>
      <c r="AL17" s="551"/>
      <c r="AM17" s="551"/>
      <c r="AN17" s="551"/>
      <c r="AO17" s="551"/>
      <c r="AP17" s="551"/>
      <c r="AQ17" s="551"/>
      <c r="AR17" s="551"/>
    </row>
    <row r="18" spans="1:44" s="43" customFormat="1" x14ac:dyDescent="0.25">
      <c r="A18" s="674" t="s">
        <v>422</v>
      </c>
      <c r="B18" s="98" t="s">
        <v>511</v>
      </c>
      <c r="C18" s="551">
        <f t="shared" ref="C18:W18" si="12">SUM(C19,C35:C37)</f>
        <v>13686690</v>
      </c>
      <c r="D18" s="551">
        <f>SUM(D19,D35:D37)</f>
        <v>6627396</v>
      </c>
      <c r="E18" s="551">
        <f t="shared" si="12"/>
        <v>7059294</v>
      </c>
      <c r="F18" s="551">
        <f t="shared" si="12"/>
        <v>13488350</v>
      </c>
      <c r="G18" s="551">
        <f t="shared" si="12"/>
        <v>6558691</v>
      </c>
      <c r="H18" s="551">
        <f t="shared" si="12"/>
        <v>6929659</v>
      </c>
      <c r="I18" s="551">
        <f t="shared" si="12"/>
        <v>14124109</v>
      </c>
      <c r="J18" s="551">
        <f t="shared" si="12"/>
        <v>6671100</v>
      </c>
      <c r="K18" s="551">
        <f t="shared" si="12"/>
        <v>7453009</v>
      </c>
      <c r="L18" s="551">
        <f t="shared" si="12"/>
        <v>15186660</v>
      </c>
      <c r="M18" s="551">
        <f t="shared" si="12"/>
        <v>7157066</v>
      </c>
      <c r="N18" s="551">
        <f t="shared" si="12"/>
        <v>8029594</v>
      </c>
      <c r="O18" s="551">
        <f t="shared" si="12"/>
        <v>16101219</v>
      </c>
      <c r="P18" s="551">
        <f t="shared" si="12"/>
        <v>7644970</v>
      </c>
      <c r="Q18" s="551">
        <f t="shared" si="12"/>
        <v>8456249</v>
      </c>
      <c r="R18" s="551">
        <f t="shared" si="12"/>
        <v>17045409</v>
      </c>
      <c r="S18" s="551">
        <f t="shared" si="12"/>
        <v>8127660</v>
      </c>
      <c r="T18" s="551">
        <f t="shared" si="12"/>
        <v>8917749</v>
      </c>
      <c r="U18" s="551">
        <f t="shared" si="12"/>
        <v>18096969</v>
      </c>
      <c r="V18" s="551">
        <f t="shared" si="12"/>
        <v>8679220</v>
      </c>
      <c r="W18" s="551">
        <f t="shared" si="12"/>
        <v>9417749</v>
      </c>
      <c r="X18" s="551">
        <f t="shared" si="6"/>
        <v>45411988</v>
      </c>
      <c r="Y18" s="551">
        <f t="shared" si="7"/>
        <v>21473136</v>
      </c>
      <c r="Z18" s="551">
        <f t="shared" si="8"/>
        <v>23938852</v>
      </c>
      <c r="AA18" s="551">
        <f>SUM(AB18:AC18)</f>
        <v>-344171</v>
      </c>
      <c r="AB18" s="551">
        <f>INT(AB13/2)</f>
        <v>-154353</v>
      </c>
      <c r="AC18" s="551">
        <f>INT(AC13/2)</f>
        <v>-189818</v>
      </c>
      <c r="AD18" s="551">
        <f>SUM(AE18:AF18)</f>
        <v>-214131</v>
      </c>
      <c r="AE18" s="551">
        <f>INT(AE13/2)</f>
        <v>-73568</v>
      </c>
      <c r="AF18" s="551">
        <f>INT(AF13/2)</f>
        <v>-140563</v>
      </c>
      <c r="AG18" s="551">
        <f>SUM(AH18:AI18)</f>
        <v>21149</v>
      </c>
      <c r="AH18" s="551">
        <f>INT(AH13/2)</f>
        <v>46867</v>
      </c>
      <c r="AI18" s="551">
        <f>INT(AI13/2)</f>
        <v>-25718</v>
      </c>
      <c r="AJ18" s="551">
        <f>SUM(AK18:AL18)</f>
        <v>255649</v>
      </c>
      <c r="AK18" s="551">
        <f>INT(AK13/2)</f>
        <v>157867</v>
      </c>
      <c r="AL18" s="551">
        <f>INT(AL13/2)</f>
        <v>97782</v>
      </c>
      <c r="AM18" s="551">
        <f>SUM(AN18:AO18)</f>
        <v>514149</v>
      </c>
      <c r="AN18" s="551">
        <f>INT(AN13/2)</f>
        <v>276367</v>
      </c>
      <c r="AO18" s="551">
        <f>INT(AO13/2)</f>
        <v>237782</v>
      </c>
      <c r="AP18" s="551">
        <f>SUM(AQ18:AR18)</f>
        <v>803399</v>
      </c>
      <c r="AQ18" s="551">
        <f>INT(AQ13/2)</f>
        <v>405617</v>
      </c>
      <c r="AR18" s="551">
        <f>INT(AR13/2)</f>
        <v>397782</v>
      </c>
    </row>
    <row r="19" spans="1:44" s="43" customFormat="1" x14ac:dyDescent="0.25">
      <c r="A19" s="674"/>
      <c r="B19" s="98" t="s">
        <v>676</v>
      </c>
      <c r="C19" s="551">
        <f>SUM(C20,C25,C30:C34)</f>
        <v>12181277</v>
      </c>
      <c r="D19" s="551">
        <f t="shared" ref="D19:W19" si="13">SUM(D20,D25,D30:D34)</f>
        <v>5121983</v>
      </c>
      <c r="E19" s="551">
        <f t="shared" si="13"/>
        <v>7059294</v>
      </c>
      <c r="F19" s="551">
        <f t="shared" si="13"/>
        <v>11982937</v>
      </c>
      <c r="G19" s="551">
        <f t="shared" si="13"/>
        <v>5053278</v>
      </c>
      <c r="H19" s="551">
        <f t="shared" si="13"/>
        <v>6929659</v>
      </c>
      <c r="I19" s="551">
        <f t="shared" si="13"/>
        <v>12692115</v>
      </c>
      <c r="J19" s="551">
        <f t="shared" si="13"/>
        <v>5239106</v>
      </c>
      <c r="K19" s="551">
        <f t="shared" si="13"/>
        <v>7453009</v>
      </c>
      <c r="L19" s="551">
        <f t="shared" si="13"/>
        <v>13491594</v>
      </c>
      <c r="M19" s="551">
        <f t="shared" si="13"/>
        <v>5462000</v>
      </c>
      <c r="N19" s="551">
        <f t="shared" si="13"/>
        <v>8029594</v>
      </c>
      <c r="O19" s="551">
        <f t="shared" si="13"/>
        <v>14233249</v>
      </c>
      <c r="P19" s="551">
        <f t="shared" si="13"/>
        <v>5777000</v>
      </c>
      <c r="Q19" s="551">
        <f t="shared" si="13"/>
        <v>8456249</v>
      </c>
      <c r="R19" s="551">
        <f t="shared" si="13"/>
        <v>14860439</v>
      </c>
      <c r="S19" s="551">
        <f t="shared" si="13"/>
        <v>5942690</v>
      </c>
      <c r="T19" s="551">
        <f t="shared" si="13"/>
        <v>8917749</v>
      </c>
      <c r="U19" s="551">
        <f t="shared" si="13"/>
        <v>15536999</v>
      </c>
      <c r="V19" s="551">
        <f t="shared" si="13"/>
        <v>6119250</v>
      </c>
      <c r="W19" s="551">
        <f t="shared" si="13"/>
        <v>9417749</v>
      </c>
      <c r="X19" s="551">
        <f t="shared" si="6"/>
        <v>40416958</v>
      </c>
      <c r="Y19" s="551">
        <f t="shared" si="7"/>
        <v>16478106</v>
      </c>
      <c r="Z19" s="551">
        <f t="shared" si="8"/>
        <v>23938852</v>
      </c>
      <c r="AA19" s="551"/>
      <c r="AB19" s="551"/>
      <c r="AC19" s="551"/>
      <c r="AD19" s="551"/>
      <c r="AE19" s="551"/>
      <c r="AF19" s="551"/>
      <c r="AG19" s="551"/>
      <c r="AH19" s="551"/>
      <c r="AI19" s="551"/>
      <c r="AJ19" s="551"/>
      <c r="AK19" s="551"/>
      <c r="AL19" s="551"/>
      <c r="AM19" s="551"/>
      <c r="AN19" s="551"/>
      <c r="AO19" s="551"/>
      <c r="AP19" s="551"/>
      <c r="AQ19" s="551"/>
      <c r="AR19" s="551"/>
    </row>
    <row r="20" spans="1:44" s="43" customFormat="1" x14ac:dyDescent="0.25">
      <c r="A20" s="1176"/>
      <c r="B20" s="98" t="s">
        <v>1551</v>
      </c>
      <c r="C20" s="551">
        <f>SUM(C21:C24)</f>
        <v>3191485</v>
      </c>
      <c r="D20" s="551">
        <f t="shared" ref="D20:W20" si="14">SUM(D21:D24)</f>
        <v>2186239</v>
      </c>
      <c r="E20" s="551">
        <f t="shared" si="14"/>
        <v>1005246</v>
      </c>
      <c r="F20" s="551">
        <f t="shared" si="14"/>
        <v>3182962</v>
      </c>
      <c r="G20" s="551">
        <f>SUM(G21:G24)</f>
        <v>2117534</v>
      </c>
      <c r="H20" s="551">
        <f t="shared" si="14"/>
        <v>1065428</v>
      </c>
      <c r="I20" s="551">
        <f t="shared" si="14"/>
        <v>3381485</v>
      </c>
      <c r="J20" s="551">
        <f t="shared" si="14"/>
        <v>2226239</v>
      </c>
      <c r="K20" s="551">
        <f t="shared" si="14"/>
        <v>1155246</v>
      </c>
      <c r="L20" s="551">
        <f t="shared" si="14"/>
        <v>3545000</v>
      </c>
      <c r="M20" s="551">
        <f t="shared" si="14"/>
        <v>2306000</v>
      </c>
      <c r="N20" s="551">
        <f t="shared" si="14"/>
        <v>1239000</v>
      </c>
      <c r="O20" s="551">
        <f t="shared" si="14"/>
        <v>3656000</v>
      </c>
      <c r="P20" s="551">
        <f t="shared" si="14"/>
        <v>2383000</v>
      </c>
      <c r="Q20" s="551">
        <f t="shared" si="14"/>
        <v>1273000</v>
      </c>
      <c r="R20" s="551">
        <f t="shared" si="14"/>
        <v>3719190</v>
      </c>
      <c r="S20" s="551">
        <f t="shared" si="14"/>
        <v>2410190</v>
      </c>
      <c r="T20" s="551">
        <f t="shared" si="14"/>
        <v>1309000</v>
      </c>
      <c r="U20" s="551">
        <f t="shared" si="14"/>
        <v>3787000</v>
      </c>
      <c r="V20" s="551">
        <f t="shared" si="14"/>
        <v>2439000</v>
      </c>
      <c r="W20" s="551">
        <f t="shared" si="14"/>
        <v>1348000</v>
      </c>
      <c r="X20" s="551">
        <f t="shared" si="6"/>
        <v>10582485</v>
      </c>
      <c r="Y20" s="551">
        <f t="shared" si="7"/>
        <v>6915239</v>
      </c>
      <c r="Z20" s="551">
        <f t="shared" si="8"/>
        <v>3667246</v>
      </c>
      <c r="AA20" s="820"/>
      <c r="AB20" s="551"/>
      <c r="AC20" s="551"/>
      <c r="AD20" s="551"/>
      <c r="AE20" s="551"/>
      <c r="AF20" s="551"/>
      <c r="AG20" s="551"/>
      <c r="AH20" s="551"/>
      <c r="AI20" s="551"/>
      <c r="AJ20" s="551"/>
      <c r="AK20" s="551"/>
      <c r="AL20" s="551"/>
      <c r="AM20" s="551"/>
      <c r="AN20" s="551"/>
      <c r="AO20" s="551"/>
      <c r="AP20" s="551"/>
      <c r="AQ20" s="551"/>
      <c r="AR20" s="551"/>
    </row>
    <row r="21" spans="1:44" s="43" customFormat="1" x14ac:dyDescent="0.25">
      <c r="A21" s="231"/>
      <c r="B21" s="218" t="s">
        <v>680</v>
      </c>
      <c r="C21" s="542">
        <f t="shared" ref="C21:C37" si="15">SUM(D21:E21)</f>
        <v>1131485</v>
      </c>
      <c r="D21" s="542">
        <f>'Phụ lục số 2'!D14</f>
        <v>626239</v>
      </c>
      <c r="E21" s="542">
        <f>'Phụ lục số 2'!E14</f>
        <v>505246</v>
      </c>
      <c r="F21" s="542">
        <f t="shared" ref="F21:F37" si="16">SUM(G21:H21)</f>
        <v>1131485</v>
      </c>
      <c r="G21" s="542">
        <f>'Phụ lục số 2'!I14</f>
        <v>626239</v>
      </c>
      <c r="H21" s="542">
        <f>'Phụ lục số 2'!J14</f>
        <v>505246</v>
      </c>
      <c r="I21" s="542">
        <f t="shared" ref="I21:I37" si="17">SUM(J21:K21)</f>
        <v>1131485</v>
      </c>
      <c r="J21" s="542">
        <f>'Phụ lục số 2'!N14</f>
        <v>626239</v>
      </c>
      <c r="K21" s="542">
        <f>'Phụ lục số 2'!O14</f>
        <v>505246</v>
      </c>
      <c r="L21" s="542">
        <f t="shared" ref="L21:L29" si="18">SUM(M21:N21)</f>
        <v>1195000</v>
      </c>
      <c r="M21" s="542">
        <f>'Phụ lục số 2'!S14</f>
        <v>656000</v>
      </c>
      <c r="N21" s="542">
        <f>'Phụ lục số 2'!T14</f>
        <v>539000</v>
      </c>
      <c r="O21" s="542">
        <f t="shared" ref="O21:O29" si="19">SUM(P21:Q21)</f>
        <v>1256000</v>
      </c>
      <c r="P21" s="542">
        <f>'Phụ lục số 2'!X14</f>
        <v>683000</v>
      </c>
      <c r="Q21" s="542">
        <f>'Phụ lục số 2'!Y14</f>
        <v>573000</v>
      </c>
      <c r="R21" s="542">
        <f t="shared" ref="R21:R29" si="20">SUM(S21:T21)</f>
        <v>1319190</v>
      </c>
      <c r="S21" s="542">
        <f>'Phụ lục số 2'!AC14</f>
        <v>710190</v>
      </c>
      <c r="T21" s="542">
        <f>'Phụ lục số 2'!AD14</f>
        <v>609000</v>
      </c>
      <c r="U21" s="542">
        <f t="shared" ref="U21:U29" si="21">SUM(V21:W21)</f>
        <v>1387000</v>
      </c>
      <c r="V21" s="542">
        <f>'Phụ lục số 2'!AH14</f>
        <v>739000</v>
      </c>
      <c r="W21" s="542">
        <f>'Phụ lục số 2'!AI14</f>
        <v>648000</v>
      </c>
      <c r="X21" s="542">
        <f t="shared" si="6"/>
        <v>3582485</v>
      </c>
      <c r="Y21" s="542">
        <f t="shared" si="7"/>
        <v>1965239</v>
      </c>
      <c r="Z21" s="542">
        <f t="shared" si="8"/>
        <v>1617246</v>
      </c>
      <c r="AA21" s="542"/>
      <c r="AB21" s="542"/>
      <c r="AC21" s="542"/>
      <c r="AD21" s="551"/>
      <c r="AE21" s="551"/>
      <c r="AF21" s="551"/>
      <c r="AG21" s="551"/>
      <c r="AH21" s="551"/>
      <c r="AI21" s="551"/>
      <c r="AJ21" s="551"/>
      <c r="AK21" s="551"/>
      <c r="AL21" s="551"/>
      <c r="AM21" s="551"/>
      <c r="AN21" s="551"/>
      <c r="AO21" s="551"/>
      <c r="AP21" s="551"/>
      <c r="AQ21" s="551"/>
      <c r="AR21" s="551"/>
    </row>
    <row r="22" spans="1:44" s="43" customFormat="1" x14ac:dyDescent="0.25">
      <c r="A22" s="231"/>
      <c r="B22" s="218" t="s">
        <v>681</v>
      </c>
      <c r="C22" s="542">
        <f t="shared" si="15"/>
        <v>600000</v>
      </c>
      <c r="D22" s="542">
        <f>D9</f>
        <v>100000</v>
      </c>
      <c r="E22" s="542">
        <f>E9</f>
        <v>500000</v>
      </c>
      <c r="F22" s="542">
        <f t="shared" si="16"/>
        <v>560182</v>
      </c>
      <c r="G22" s="542">
        <f>'Phụ lục số 2'!I15</f>
        <v>0</v>
      </c>
      <c r="H22" s="542">
        <f>'Phụ lục số 2'!J15</f>
        <v>560182</v>
      </c>
      <c r="I22" s="542">
        <f t="shared" si="17"/>
        <v>750000</v>
      </c>
      <c r="J22" s="542">
        <f>'Phụ lục số 2'!N15</f>
        <v>100000</v>
      </c>
      <c r="K22" s="542">
        <f>'Phụ lục số 2'!O15</f>
        <v>650000</v>
      </c>
      <c r="L22" s="542">
        <f t="shared" si="18"/>
        <v>800000</v>
      </c>
      <c r="M22" s="542">
        <f>'Phụ lục số 2'!S15</f>
        <v>100000</v>
      </c>
      <c r="N22" s="542">
        <f>'Phụ lục số 2'!T15</f>
        <v>700000</v>
      </c>
      <c r="O22" s="542">
        <f t="shared" si="19"/>
        <v>800000</v>
      </c>
      <c r="P22" s="542">
        <f>'Phụ lục số 2'!X15</f>
        <v>100000</v>
      </c>
      <c r="Q22" s="542">
        <f>'Phụ lục số 2'!Y15</f>
        <v>700000</v>
      </c>
      <c r="R22" s="542">
        <f t="shared" si="20"/>
        <v>800000</v>
      </c>
      <c r="S22" s="542">
        <f>'Phụ lục số 2'!AC15</f>
        <v>100000</v>
      </c>
      <c r="T22" s="542">
        <f>'Phụ lục số 2'!AD15</f>
        <v>700000</v>
      </c>
      <c r="U22" s="542">
        <f t="shared" si="21"/>
        <v>800000</v>
      </c>
      <c r="V22" s="542">
        <f>'Phụ lục số 2'!AH15</f>
        <v>100000</v>
      </c>
      <c r="W22" s="542">
        <f>'Phụ lục số 2'!AI15</f>
        <v>700000</v>
      </c>
      <c r="X22" s="542">
        <f t="shared" si="6"/>
        <v>2350000</v>
      </c>
      <c r="Y22" s="542">
        <f t="shared" si="7"/>
        <v>300000</v>
      </c>
      <c r="Z22" s="542">
        <f t="shared" si="8"/>
        <v>2050000</v>
      </c>
      <c r="AA22" s="542"/>
      <c r="AB22" s="551"/>
      <c r="AC22" s="551"/>
      <c r="AD22" s="551"/>
      <c r="AE22" s="551"/>
      <c r="AF22" s="551"/>
      <c r="AG22" s="551"/>
      <c r="AH22" s="551"/>
      <c r="AI22" s="551"/>
      <c r="AJ22" s="551"/>
      <c r="AK22" s="551"/>
      <c r="AL22" s="551"/>
      <c r="AM22" s="551"/>
      <c r="AN22" s="551"/>
      <c r="AO22" s="551"/>
      <c r="AP22" s="551"/>
      <c r="AQ22" s="551"/>
      <c r="AR22" s="551"/>
    </row>
    <row r="23" spans="1:44" s="43" customFormat="1" x14ac:dyDescent="0.25">
      <c r="A23" s="231"/>
      <c r="B23" s="208" t="s">
        <v>1557</v>
      </c>
      <c r="C23" s="542">
        <f t="shared" si="15"/>
        <v>1460000</v>
      </c>
      <c r="D23" s="542">
        <f>D10</f>
        <v>1460000</v>
      </c>
      <c r="E23" s="542">
        <f>E10</f>
        <v>0</v>
      </c>
      <c r="F23" s="542">
        <f t="shared" si="16"/>
        <v>1491295</v>
      </c>
      <c r="G23" s="542">
        <f>'Phụ lục số 2'!I16</f>
        <v>1491295</v>
      </c>
      <c r="H23" s="542">
        <f>'Phụ lục số 2'!J16</f>
        <v>0</v>
      </c>
      <c r="I23" s="542">
        <f t="shared" si="17"/>
        <v>1500000</v>
      </c>
      <c r="J23" s="542">
        <f>'Phụ lục số 2'!N16</f>
        <v>1500000</v>
      </c>
      <c r="K23" s="542">
        <f>'Phụ lục số 2'!O16</f>
        <v>0</v>
      </c>
      <c r="L23" s="542">
        <f t="shared" si="18"/>
        <v>1550000</v>
      </c>
      <c r="M23" s="542">
        <f>'Phụ lục số 2'!S16</f>
        <v>1550000</v>
      </c>
      <c r="N23" s="542">
        <f>'Phụ lục số 2'!T16</f>
        <v>0</v>
      </c>
      <c r="O23" s="542">
        <f t="shared" si="19"/>
        <v>1600000</v>
      </c>
      <c r="P23" s="542">
        <f>'Phụ lục số 2'!X16</f>
        <v>1600000</v>
      </c>
      <c r="Q23" s="542">
        <f>'Phụ lục số 2'!Y16</f>
        <v>0</v>
      </c>
      <c r="R23" s="542">
        <f t="shared" si="20"/>
        <v>1600000</v>
      </c>
      <c r="S23" s="542">
        <f>'Phụ lục số 2'!AC16</f>
        <v>1600000</v>
      </c>
      <c r="T23" s="542">
        <f>'Phụ lục số 2'!AD16</f>
        <v>0</v>
      </c>
      <c r="U23" s="542">
        <f t="shared" si="21"/>
        <v>1600000</v>
      </c>
      <c r="V23" s="542">
        <f>'Phụ lục số 2'!AH16</f>
        <v>1600000</v>
      </c>
      <c r="W23" s="542">
        <f>'Phụ lục số 2'!AI16</f>
        <v>0</v>
      </c>
      <c r="X23" s="542">
        <f t="shared" si="6"/>
        <v>4650000</v>
      </c>
      <c r="Y23" s="542">
        <f t="shared" si="7"/>
        <v>4650000</v>
      </c>
      <c r="Z23" s="542">
        <f t="shared" si="8"/>
        <v>0</v>
      </c>
      <c r="AA23" s="551"/>
      <c r="AB23" s="551"/>
      <c r="AC23" s="551"/>
      <c r="AD23" s="551"/>
      <c r="AE23" s="551"/>
      <c r="AF23" s="551"/>
      <c r="AG23" s="551"/>
      <c r="AH23" s="551"/>
      <c r="AI23" s="551"/>
      <c r="AJ23" s="551"/>
      <c r="AK23" s="551"/>
      <c r="AL23" s="551"/>
      <c r="AM23" s="551"/>
      <c r="AN23" s="551"/>
      <c r="AO23" s="551"/>
      <c r="AP23" s="551"/>
      <c r="AQ23" s="551"/>
      <c r="AR23" s="551"/>
    </row>
    <row r="24" spans="1:44" s="43" customFormat="1" hidden="1" x14ac:dyDescent="0.25">
      <c r="A24" s="231"/>
      <c r="B24" s="218" t="s">
        <v>977</v>
      </c>
      <c r="C24" s="542">
        <f t="shared" si="15"/>
        <v>0</v>
      </c>
      <c r="D24" s="542">
        <f>'Phụ lục số 2'!D17</f>
        <v>0</v>
      </c>
      <c r="E24" s="542">
        <f>'Phụ lục số 2'!E17</f>
        <v>0</v>
      </c>
      <c r="F24" s="542">
        <f t="shared" si="16"/>
        <v>0</v>
      </c>
      <c r="G24" s="542">
        <f>'Phụ lục số 2'!I17</f>
        <v>0</v>
      </c>
      <c r="H24" s="542">
        <f>'Phụ lục số 2'!J17</f>
        <v>0</v>
      </c>
      <c r="I24" s="542">
        <f t="shared" si="17"/>
        <v>0</v>
      </c>
      <c r="J24" s="542">
        <f>'Phụ lục số 2'!N17</f>
        <v>0</v>
      </c>
      <c r="K24" s="542">
        <f>'Phụ lục số 2'!O17</f>
        <v>0</v>
      </c>
      <c r="L24" s="542">
        <f t="shared" si="18"/>
        <v>0</v>
      </c>
      <c r="M24" s="542">
        <f>'Phụ lục số 2'!S17</f>
        <v>0</v>
      </c>
      <c r="N24" s="542">
        <f>'Phụ lục số 2'!T17</f>
        <v>0</v>
      </c>
      <c r="O24" s="542">
        <f t="shared" si="19"/>
        <v>0</v>
      </c>
      <c r="P24" s="542">
        <f>'Phụ lục số 2'!X17</f>
        <v>0</v>
      </c>
      <c r="Q24" s="542">
        <f>'Phụ lục số 2'!Y17</f>
        <v>0</v>
      </c>
      <c r="R24" s="542">
        <f t="shared" si="20"/>
        <v>0</v>
      </c>
      <c r="S24" s="542">
        <f>'Phụ lục số 2'!AC17</f>
        <v>0</v>
      </c>
      <c r="T24" s="542">
        <f>'Phụ lục số 2'!AD17</f>
        <v>0</v>
      </c>
      <c r="U24" s="542">
        <f t="shared" si="21"/>
        <v>0</v>
      </c>
      <c r="V24" s="542">
        <f>'Phụ lục số 2'!AH17</f>
        <v>0</v>
      </c>
      <c r="W24" s="542">
        <f>'Phụ lục số 2'!AI17</f>
        <v>0</v>
      </c>
      <c r="X24" s="542">
        <f t="shared" si="6"/>
        <v>0</v>
      </c>
      <c r="Y24" s="542">
        <f t="shared" si="7"/>
        <v>0</v>
      </c>
      <c r="Z24" s="542">
        <f t="shared" si="8"/>
        <v>0</v>
      </c>
      <c r="AA24" s="551"/>
      <c r="AB24" s="551"/>
      <c r="AC24" s="551"/>
      <c r="AD24" s="551"/>
      <c r="AE24" s="551"/>
      <c r="AF24" s="551"/>
      <c r="AG24" s="551"/>
      <c r="AH24" s="551"/>
      <c r="AI24" s="551"/>
      <c r="AJ24" s="551"/>
      <c r="AK24" s="551"/>
      <c r="AL24" s="551"/>
      <c r="AM24" s="551"/>
      <c r="AN24" s="551"/>
      <c r="AO24" s="551"/>
      <c r="AP24" s="551"/>
      <c r="AQ24" s="551"/>
      <c r="AR24" s="551"/>
    </row>
    <row r="25" spans="1:44" s="43" customFormat="1" x14ac:dyDescent="0.25">
      <c r="A25" s="1178"/>
      <c r="B25" s="1179" t="s">
        <v>679</v>
      </c>
      <c r="C25" s="1180">
        <f t="shared" si="15"/>
        <v>8373843</v>
      </c>
      <c r="D25" s="1180">
        <f>'Phụ lục số 2'!D18</f>
        <v>2811706</v>
      </c>
      <c r="E25" s="1180">
        <f>'Phụ lục số 2'!E18</f>
        <v>5562137</v>
      </c>
      <c r="F25" s="1180">
        <f t="shared" si="16"/>
        <v>8607804</v>
      </c>
      <c r="G25" s="1180">
        <f>'Phụ lục số 2'!I18</f>
        <v>2932744</v>
      </c>
      <c r="H25" s="1180">
        <f>'Phụ lục số 2'!J18</f>
        <v>5675060</v>
      </c>
      <c r="I25" s="1180">
        <f t="shared" si="17"/>
        <v>8465821</v>
      </c>
      <c r="J25" s="1180">
        <f>'Phụ lục số 2'!N18</f>
        <v>2887729</v>
      </c>
      <c r="K25" s="1180">
        <f>'Phụ lục số 2'!O18</f>
        <v>5578092</v>
      </c>
      <c r="L25" s="1180">
        <f t="shared" si="18"/>
        <v>8975000</v>
      </c>
      <c r="M25" s="1180">
        <f>'Phụ lục số 2'!S18</f>
        <v>3026000</v>
      </c>
      <c r="N25" s="1180">
        <f>'Phụ lục số 2'!T18</f>
        <v>5949000</v>
      </c>
      <c r="O25" s="1180">
        <f t="shared" si="19"/>
        <v>9473000</v>
      </c>
      <c r="P25" s="1180">
        <f>'Phụ lục số 2'!X18</f>
        <v>3148000</v>
      </c>
      <c r="Q25" s="1180">
        <f>'Phụ lục số 2'!Y18</f>
        <v>6325000</v>
      </c>
      <c r="R25" s="1180">
        <f t="shared" si="20"/>
        <v>10000000</v>
      </c>
      <c r="S25" s="1180">
        <f>'Phụ lục số 2'!AC18</f>
        <v>3274000</v>
      </c>
      <c r="T25" s="1180">
        <f>'Phụ lục số 2'!AD18</f>
        <v>6726000</v>
      </c>
      <c r="U25" s="1180">
        <f t="shared" si="21"/>
        <v>10563000</v>
      </c>
      <c r="V25" s="1180">
        <f>'Phụ lục số 2'!AH18</f>
        <v>3405000</v>
      </c>
      <c r="W25" s="1180">
        <f>'Phụ lục số 2'!AI18</f>
        <v>7158000</v>
      </c>
      <c r="X25" s="1180">
        <f t="shared" si="6"/>
        <v>26913821</v>
      </c>
      <c r="Y25" s="1180">
        <f t="shared" si="7"/>
        <v>9061729</v>
      </c>
      <c r="Z25" s="1180">
        <f t="shared" si="8"/>
        <v>17852092</v>
      </c>
      <c r="AA25" s="820" t="s">
        <v>580</v>
      </c>
      <c r="AB25" s="551"/>
      <c r="AC25" s="551"/>
      <c r="AD25" s="820" t="s">
        <v>580</v>
      </c>
      <c r="AE25" s="551"/>
      <c r="AF25" s="551"/>
      <c r="AG25" s="820" t="s">
        <v>580</v>
      </c>
      <c r="AH25" s="551"/>
      <c r="AI25" s="551"/>
      <c r="AJ25" s="820" t="s">
        <v>580</v>
      </c>
      <c r="AK25" s="551"/>
      <c r="AL25" s="551"/>
      <c r="AM25" s="820" t="s">
        <v>580</v>
      </c>
      <c r="AN25" s="551"/>
      <c r="AO25" s="551"/>
      <c r="AP25" s="820" t="s">
        <v>580</v>
      </c>
      <c r="AQ25" s="551"/>
      <c r="AR25" s="551"/>
    </row>
    <row r="26" spans="1:44" s="43" customFormat="1" x14ac:dyDescent="0.25">
      <c r="A26" s="231"/>
      <c r="B26" s="218" t="s">
        <v>1558</v>
      </c>
      <c r="C26" s="542">
        <f t="shared" si="15"/>
        <v>3653123</v>
      </c>
      <c r="D26" s="542">
        <f>'Phụ lục số 2'!D23</f>
        <v>742661</v>
      </c>
      <c r="E26" s="542">
        <f>'Phụ lục số 2'!E23</f>
        <v>2910462</v>
      </c>
      <c r="F26" s="542">
        <f t="shared" si="16"/>
        <v>3653123</v>
      </c>
      <c r="G26" s="542">
        <f>'Phụ lục số 2'!I23</f>
        <v>742661</v>
      </c>
      <c r="H26" s="542">
        <f>'Phụ lục số 2'!J23</f>
        <v>2910462</v>
      </c>
      <c r="I26" s="542">
        <f t="shared" si="17"/>
        <v>3653191</v>
      </c>
      <c r="J26" s="542">
        <f>'Phụ lục số 2'!N23</f>
        <v>777729</v>
      </c>
      <c r="K26" s="542">
        <f>'Phụ lục số 2'!O23</f>
        <v>2875462</v>
      </c>
      <c r="L26" s="542">
        <f t="shared" si="18"/>
        <v>3882000</v>
      </c>
      <c r="M26" s="542">
        <f>'Phụ lục số 2'!S23</f>
        <v>815000</v>
      </c>
      <c r="N26" s="542">
        <f>'Phụ lục số 2'!T23</f>
        <v>3067000</v>
      </c>
      <c r="O26" s="542">
        <f t="shared" si="19"/>
        <v>4109000</v>
      </c>
      <c r="P26" s="542">
        <f>'Phụ lục số 2'!X23</f>
        <v>848000</v>
      </c>
      <c r="Q26" s="542">
        <f>'Phụ lục số 2'!Y23</f>
        <v>3261000</v>
      </c>
      <c r="R26" s="542">
        <f t="shared" si="20"/>
        <v>4350000</v>
      </c>
      <c r="S26" s="542">
        <f>'Phụ lục số 2'!AC23</f>
        <v>882000</v>
      </c>
      <c r="T26" s="542">
        <f>'Phụ lục số 2'!AD23</f>
        <v>3468000</v>
      </c>
      <c r="U26" s="542">
        <f t="shared" si="21"/>
        <v>4609000</v>
      </c>
      <c r="V26" s="542">
        <f>'Phụ lục số 2'!AH23</f>
        <v>918000</v>
      </c>
      <c r="W26" s="542">
        <f>'Phụ lục số 2'!AI23</f>
        <v>3691000</v>
      </c>
      <c r="X26" s="542">
        <f t="shared" si="6"/>
        <v>11644191</v>
      </c>
      <c r="Y26" s="542">
        <f t="shared" si="7"/>
        <v>2440729</v>
      </c>
      <c r="Z26" s="542">
        <f t="shared" si="8"/>
        <v>9203462</v>
      </c>
      <c r="AA26" s="551">
        <f>AB26+AC26</f>
        <v>-344169</v>
      </c>
      <c r="AB26" s="551">
        <f>AB13-AB18</f>
        <v>-154352</v>
      </c>
      <c r="AC26" s="551">
        <f>AC13-AC18</f>
        <v>-189817</v>
      </c>
      <c r="AD26" s="551">
        <f>AE26+AF26</f>
        <v>-214129</v>
      </c>
      <c r="AE26" s="551">
        <f>AE13-AE18</f>
        <v>-73567</v>
      </c>
      <c r="AF26" s="551">
        <f>AF13-AF18</f>
        <v>-140562</v>
      </c>
      <c r="AG26" s="551">
        <f>AH26+AI26</f>
        <v>21151</v>
      </c>
      <c r="AH26" s="551">
        <f>AH13-AH18</f>
        <v>46868</v>
      </c>
      <c r="AI26" s="551">
        <f>AI13-AI18</f>
        <v>-25717</v>
      </c>
      <c r="AJ26" s="551">
        <f>AK26+AL26</f>
        <v>255651</v>
      </c>
      <c r="AK26" s="551">
        <f>AK13-AK18</f>
        <v>157868</v>
      </c>
      <c r="AL26" s="551">
        <f>AL13-AL18</f>
        <v>97783</v>
      </c>
      <c r="AM26" s="551">
        <f>AN26+AO26</f>
        <v>514151</v>
      </c>
      <c r="AN26" s="551">
        <f>AN13-AN18</f>
        <v>276368</v>
      </c>
      <c r="AO26" s="551">
        <f>AO13-AO18</f>
        <v>237783</v>
      </c>
      <c r="AP26" s="551">
        <f>AQ26+AR26</f>
        <v>803401</v>
      </c>
      <c r="AQ26" s="551">
        <f>AQ13-AQ18</f>
        <v>405618</v>
      </c>
      <c r="AR26" s="551">
        <f>AR13-AR18</f>
        <v>397783</v>
      </c>
    </row>
    <row r="27" spans="1:44" s="43" customFormat="1" x14ac:dyDescent="0.25">
      <c r="A27" s="231"/>
      <c r="B27" s="218" t="s">
        <v>492</v>
      </c>
      <c r="C27" s="542">
        <f t="shared" si="15"/>
        <v>31000</v>
      </c>
      <c r="D27" s="542">
        <f>'Phụ lục số 2'!D22</f>
        <v>31000</v>
      </c>
      <c r="E27" s="542">
        <f>'Phụ lục số 2'!E22</f>
        <v>0</v>
      </c>
      <c r="F27" s="542">
        <f t="shared" si="16"/>
        <v>31000</v>
      </c>
      <c r="G27" s="542">
        <f>'Phụ lục số 2'!I22</f>
        <v>31000</v>
      </c>
      <c r="H27" s="542">
        <f>'Phụ lục số 2'!J22</f>
        <v>0</v>
      </c>
      <c r="I27" s="542">
        <f t="shared" si="17"/>
        <v>31000</v>
      </c>
      <c r="J27" s="542">
        <f>'Phụ lục số 2'!N22</f>
        <v>31000</v>
      </c>
      <c r="K27" s="542">
        <f>'Phụ lục số 2'!O22</f>
        <v>0</v>
      </c>
      <c r="L27" s="542">
        <f t="shared" si="18"/>
        <v>32000</v>
      </c>
      <c r="M27" s="542">
        <f>'Phụ lục số 2'!S22</f>
        <v>32000</v>
      </c>
      <c r="N27" s="542">
        <f>'Phụ lục số 2'!T22</f>
        <v>0</v>
      </c>
      <c r="O27" s="542">
        <f t="shared" si="19"/>
        <v>33000</v>
      </c>
      <c r="P27" s="542">
        <f>'Phụ lục số 2'!X22</f>
        <v>33000</v>
      </c>
      <c r="Q27" s="542">
        <f>'Phụ lục số 2'!Y22</f>
        <v>0</v>
      </c>
      <c r="R27" s="542">
        <f t="shared" si="20"/>
        <v>34000</v>
      </c>
      <c r="S27" s="542">
        <f>'Phụ lục số 2'!AC22</f>
        <v>34000</v>
      </c>
      <c r="T27" s="542">
        <f>'Phụ lục số 2'!AD22</f>
        <v>0</v>
      </c>
      <c r="U27" s="542">
        <f t="shared" si="21"/>
        <v>35000</v>
      </c>
      <c r="V27" s="542">
        <f>'Phụ lục số 2'!AH22</f>
        <v>35000</v>
      </c>
      <c r="W27" s="542">
        <f>'Phụ lục số 2'!AI22</f>
        <v>0</v>
      </c>
      <c r="X27" s="542">
        <f t="shared" si="6"/>
        <v>96000</v>
      </c>
      <c r="Y27" s="542">
        <f t="shared" si="7"/>
        <v>96000</v>
      </c>
      <c r="Z27" s="542">
        <f t="shared" si="8"/>
        <v>0</v>
      </c>
      <c r="AA27" s="551"/>
      <c r="AB27" s="551"/>
      <c r="AC27" s="551"/>
      <c r="AD27" s="551"/>
      <c r="AE27" s="551"/>
      <c r="AF27" s="551"/>
      <c r="AG27" s="551"/>
      <c r="AH27" s="551"/>
      <c r="AI27" s="551"/>
      <c r="AJ27" s="551"/>
      <c r="AK27" s="551"/>
      <c r="AL27" s="551"/>
      <c r="AM27" s="551"/>
      <c r="AN27" s="551"/>
      <c r="AO27" s="551"/>
      <c r="AP27" s="551"/>
      <c r="AQ27" s="551"/>
      <c r="AR27" s="551"/>
    </row>
    <row r="28" spans="1:44" s="43" customFormat="1" x14ac:dyDescent="0.25">
      <c r="A28" s="231"/>
      <c r="B28" s="218" t="s">
        <v>320</v>
      </c>
      <c r="C28" s="542">
        <f t="shared" si="15"/>
        <v>143469</v>
      </c>
      <c r="D28" s="542">
        <f>'Phụ lục số 2'!D20</f>
        <v>61999</v>
      </c>
      <c r="E28" s="542">
        <f>'Phụ lục số 2'!E20</f>
        <v>81470</v>
      </c>
      <c r="F28" s="542">
        <f t="shared" si="16"/>
        <v>143469</v>
      </c>
      <c r="G28" s="542">
        <f>'Phụ lục số 2'!I20</f>
        <v>61999</v>
      </c>
      <c r="H28" s="542">
        <f>'Phụ lục số 2'!J20</f>
        <v>81470</v>
      </c>
      <c r="I28" s="542">
        <f t="shared" si="17"/>
        <v>143470</v>
      </c>
      <c r="J28" s="542">
        <f>'Phụ lục số 2'!N20</f>
        <v>62000</v>
      </c>
      <c r="K28" s="542">
        <f>'Phụ lục số 2'!O20</f>
        <v>81470</v>
      </c>
      <c r="L28" s="542">
        <f t="shared" si="18"/>
        <v>152000</v>
      </c>
      <c r="M28" s="542">
        <f>'Phụ lục số 2'!S20</f>
        <v>65000</v>
      </c>
      <c r="N28" s="542">
        <f>'Phụ lục số 2'!T20</f>
        <v>87000</v>
      </c>
      <c r="O28" s="542">
        <f t="shared" si="19"/>
        <v>160000</v>
      </c>
      <c r="P28" s="542">
        <f>'Phụ lục số 2'!X20</f>
        <v>68000</v>
      </c>
      <c r="Q28" s="542">
        <f>'Phụ lục số 2'!Y20</f>
        <v>92000</v>
      </c>
      <c r="R28" s="542">
        <f t="shared" si="20"/>
        <v>169000</v>
      </c>
      <c r="S28" s="542">
        <f>'Phụ lục số 2'!AC20</f>
        <v>71000</v>
      </c>
      <c r="T28" s="542">
        <f>'Phụ lục số 2'!AD20</f>
        <v>98000</v>
      </c>
      <c r="U28" s="542">
        <f t="shared" si="21"/>
        <v>178000</v>
      </c>
      <c r="V28" s="542">
        <f>'Phụ lục số 2'!AH20</f>
        <v>74000</v>
      </c>
      <c r="W28" s="542">
        <f>'Phụ lục số 2'!AI20</f>
        <v>104000</v>
      </c>
      <c r="X28" s="542">
        <f t="shared" si="6"/>
        <v>455470</v>
      </c>
      <c r="Y28" s="542">
        <f t="shared" si="7"/>
        <v>195000</v>
      </c>
      <c r="Z28" s="542">
        <f t="shared" si="8"/>
        <v>260470</v>
      </c>
      <c r="AA28" s="820" t="s">
        <v>980</v>
      </c>
      <c r="AB28" s="551"/>
      <c r="AC28" s="551"/>
      <c r="AD28" s="820" t="s">
        <v>980</v>
      </c>
      <c r="AE28" s="551"/>
      <c r="AF28" s="551"/>
      <c r="AG28" s="820" t="s">
        <v>980</v>
      </c>
      <c r="AH28" s="551"/>
      <c r="AI28" s="551"/>
      <c r="AJ28" s="820" t="s">
        <v>980</v>
      </c>
      <c r="AK28" s="551"/>
      <c r="AL28" s="551"/>
      <c r="AM28" s="820" t="s">
        <v>980</v>
      </c>
      <c r="AN28" s="551"/>
      <c r="AO28" s="551"/>
      <c r="AP28" s="820" t="s">
        <v>980</v>
      </c>
      <c r="AQ28" s="551"/>
      <c r="AR28" s="551"/>
    </row>
    <row r="29" spans="1:44" s="43" customFormat="1" x14ac:dyDescent="0.25">
      <c r="A29" s="231"/>
      <c r="B29" s="218" t="s">
        <v>491</v>
      </c>
      <c r="C29" s="542">
        <f>SUM(D29:E29)</f>
        <v>4546251</v>
      </c>
      <c r="D29" s="542">
        <f>D25-D26-D27-D28</f>
        <v>1976046</v>
      </c>
      <c r="E29" s="542">
        <f>E25-E26-E27-E28</f>
        <v>2570205</v>
      </c>
      <c r="F29" s="542">
        <f t="shared" si="16"/>
        <v>4780212</v>
      </c>
      <c r="G29" s="542">
        <f>G25-G26-G27-G28</f>
        <v>2097084</v>
      </c>
      <c r="H29" s="542">
        <f>H25-H26-H27-H28</f>
        <v>2683128</v>
      </c>
      <c r="I29" s="542">
        <f t="shared" si="17"/>
        <v>4638160</v>
      </c>
      <c r="J29" s="542">
        <f>J25-J26-J27-J28</f>
        <v>2017000</v>
      </c>
      <c r="K29" s="542">
        <f>K25-K26-K27-K28</f>
        <v>2621160</v>
      </c>
      <c r="L29" s="542">
        <f t="shared" si="18"/>
        <v>4909000</v>
      </c>
      <c r="M29" s="542">
        <f>M25-M26-M27-M28</f>
        <v>2114000</v>
      </c>
      <c r="N29" s="542">
        <f>N25-N26-N27-N28</f>
        <v>2795000</v>
      </c>
      <c r="O29" s="542">
        <f t="shared" si="19"/>
        <v>5171000</v>
      </c>
      <c r="P29" s="542">
        <f>P25-P26-P27-P28</f>
        <v>2199000</v>
      </c>
      <c r="Q29" s="542">
        <f>Q25-Q26-Q27-Q28</f>
        <v>2972000</v>
      </c>
      <c r="R29" s="542">
        <f t="shared" si="20"/>
        <v>5447000</v>
      </c>
      <c r="S29" s="542">
        <f>S25-S26-S27-S28</f>
        <v>2287000</v>
      </c>
      <c r="T29" s="542">
        <f>T25-T26-T27-T28</f>
        <v>3160000</v>
      </c>
      <c r="U29" s="542">
        <f t="shared" si="21"/>
        <v>5741000</v>
      </c>
      <c r="V29" s="542">
        <f>V25-V26-V27-V28</f>
        <v>2378000</v>
      </c>
      <c r="W29" s="542">
        <f>W25-W26-W27-W28</f>
        <v>3363000</v>
      </c>
      <c r="X29" s="542">
        <f t="shared" si="6"/>
        <v>14718160</v>
      </c>
      <c r="Y29" s="542">
        <f t="shared" si="7"/>
        <v>6330000</v>
      </c>
      <c r="Z29" s="542">
        <f t="shared" si="8"/>
        <v>8388160</v>
      </c>
      <c r="AA29" s="822">
        <f>F7/C7</f>
        <v>0.93199079523265693</v>
      </c>
      <c r="AB29" s="822">
        <f>G7/D7</f>
        <v>0.91333338761021599</v>
      </c>
      <c r="AC29" s="822">
        <f>H7/E7</f>
        <v>0.94212258209496325</v>
      </c>
      <c r="AD29" s="822">
        <f>I7/C7</f>
        <v>1.0316993596756614</v>
      </c>
      <c r="AE29" s="822">
        <f>J7/D7</f>
        <v>1.0216517035595061</v>
      </c>
      <c r="AF29" s="822">
        <f>K7/E7</f>
        <v>1.0371556755955749</v>
      </c>
      <c r="AG29" s="822">
        <f>L7/C7</f>
        <v>1.1008091172685028</v>
      </c>
      <c r="AH29" s="822">
        <f>M7/D7</f>
        <v>1.0701903967537183</v>
      </c>
      <c r="AI29" s="822">
        <f>N7/E7</f>
        <v>1.117436419224386</v>
      </c>
      <c r="AJ29" s="822">
        <f>O7/C7</f>
        <v>1.1691458498764533</v>
      </c>
      <c r="AK29" s="822">
        <f>P7/D7</f>
        <v>1.1445871583328724</v>
      </c>
      <c r="AL29" s="822">
        <f>Q7/E7</f>
        <v>1.182482291539303</v>
      </c>
      <c r="AM29" s="822">
        <f>R7/C7</f>
        <v>1.2311133269052907</v>
      </c>
      <c r="AN29" s="822">
        <f>S7/D7</f>
        <v>1.1911033825821178</v>
      </c>
      <c r="AO29" s="822">
        <f>T7/E7</f>
        <v>1.2528404733802143</v>
      </c>
      <c r="AP29" s="822">
        <f>U7/C7</f>
        <v>1.2979586469177753</v>
      </c>
      <c r="AQ29" s="822">
        <f>V7/D7</f>
        <v>1.2406712777685913</v>
      </c>
      <c r="AR29" s="822">
        <f>W7/E7</f>
        <v>1.329068189350866</v>
      </c>
    </row>
    <row r="30" spans="1:44" s="43" customFormat="1" hidden="1" x14ac:dyDescent="0.25">
      <c r="A30" s="1176"/>
      <c r="B30" s="26" t="s">
        <v>1559</v>
      </c>
      <c r="C30" s="551">
        <f>SUM(D30:E30)</f>
        <v>0</v>
      </c>
      <c r="D30" s="551">
        <f>'Phụ lục số 2'!D34</f>
        <v>0</v>
      </c>
      <c r="E30" s="551">
        <f>'Phụ lục số 2'!E34</f>
        <v>0</v>
      </c>
      <c r="F30" s="551">
        <f>SUM(G30:H30)</f>
        <v>0</v>
      </c>
      <c r="G30" s="551">
        <f>'Phụ lục số 2'!I34</f>
        <v>0</v>
      </c>
      <c r="H30" s="551">
        <f>'Phụ lục số 2'!J34</f>
        <v>0</v>
      </c>
      <c r="I30" s="551">
        <f>SUM(J30:K30)</f>
        <v>0</v>
      </c>
      <c r="J30" s="551">
        <f>'Phụ lục số 2'!N34</f>
        <v>0</v>
      </c>
      <c r="K30" s="551">
        <f>'Phụ lục số 2'!O34</f>
        <v>0</v>
      </c>
      <c r="L30" s="551">
        <f>SUM(M30:N30)</f>
        <v>0</v>
      </c>
      <c r="M30" s="551">
        <f>'Phụ lục số 2'!S34</f>
        <v>0</v>
      </c>
      <c r="N30" s="551">
        <f>'Phụ lục số 2'!T34</f>
        <v>0</v>
      </c>
      <c r="O30" s="551">
        <f>SUM(P30:Q30)</f>
        <v>0</v>
      </c>
      <c r="P30" s="551">
        <f>'Phụ lục số 2'!X34</f>
        <v>0</v>
      </c>
      <c r="Q30" s="551">
        <f>'Phụ lục số 2'!Y34</f>
        <v>0</v>
      </c>
      <c r="R30" s="551">
        <f>SUM(S30:T30)</f>
        <v>0</v>
      </c>
      <c r="S30" s="551">
        <f>'Phụ lục số 2'!AC34</f>
        <v>0</v>
      </c>
      <c r="T30" s="551">
        <f>'Phụ lục số 2'!AD34</f>
        <v>0</v>
      </c>
      <c r="U30" s="551">
        <f>SUM(V30:W30)</f>
        <v>0</v>
      </c>
      <c r="V30" s="551">
        <f>'Phụ lục số 2'!AH34</f>
        <v>0</v>
      </c>
      <c r="W30" s="551">
        <f>'Phụ lục số 2'!AI34</f>
        <v>0</v>
      </c>
      <c r="X30" s="551">
        <f t="shared" si="6"/>
        <v>0</v>
      </c>
      <c r="Y30" s="551">
        <f t="shared" si="7"/>
        <v>0</v>
      </c>
      <c r="Z30" s="551">
        <f t="shared" si="8"/>
        <v>0</v>
      </c>
      <c r="AA30" s="551">
        <f>F7-C7</f>
        <v>-688340</v>
      </c>
      <c r="AB30" s="551">
        <f>G7-D7</f>
        <v>-308705</v>
      </c>
      <c r="AC30" s="551">
        <f>H7-E7</f>
        <v>-379635</v>
      </c>
      <c r="AD30" s="551">
        <f>I7-C7</f>
        <v>320838</v>
      </c>
      <c r="AE30" s="551">
        <f>J7-D7</f>
        <v>77123</v>
      </c>
      <c r="AF30" s="551">
        <f>K7-E7</f>
        <v>243715</v>
      </c>
      <c r="AG30" s="551">
        <f>L7-C7</f>
        <v>1020317</v>
      </c>
      <c r="AH30" s="551">
        <f>M7-D7</f>
        <v>250017</v>
      </c>
      <c r="AI30" s="551">
        <f>N7-E7</f>
        <v>770300</v>
      </c>
      <c r="AJ30" s="551">
        <f>O7-C7</f>
        <v>1711972</v>
      </c>
      <c r="AK30" s="551">
        <f>P7-D7</f>
        <v>515017</v>
      </c>
      <c r="AL30" s="551">
        <f>Q7-E7</f>
        <v>1196955</v>
      </c>
      <c r="AM30" s="551">
        <f>R7-C7</f>
        <v>2339162</v>
      </c>
      <c r="AN30" s="551">
        <f>S7-D7</f>
        <v>680707</v>
      </c>
      <c r="AO30" s="551">
        <f>T7-E7</f>
        <v>1658455</v>
      </c>
      <c r="AP30" s="551">
        <f>U7-C7</f>
        <v>3015722</v>
      </c>
      <c r="AQ30" s="551">
        <f>V7-D7</f>
        <v>857267</v>
      </c>
      <c r="AR30" s="551">
        <f>W7-E7</f>
        <v>2158455</v>
      </c>
    </row>
    <row r="31" spans="1:44" s="43" customFormat="1" x14ac:dyDescent="0.25">
      <c r="A31" s="1176"/>
      <c r="B31" s="282" t="s">
        <v>1578</v>
      </c>
      <c r="C31" s="551">
        <f>SUM(D31:E31)</f>
        <v>378989</v>
      </c>
      <c r="D31" s="551">
        <f>'Phụ lục số 2'!D35</f>
        <v>0</v>
      </c>
      <c r="E31" s="551">
        <f>'Phụ lục số 2'!E35</f>
        <v>378989</v>
      </c>
      <c r="F31" s="551">
        <f>SUM(G31:H31)</f>
        <v>189171</v>
      </c>
      <c r="G31" s="551">
        <f>'Phụ lục số 2'!I35</f>
        <v>0</v>
      </c>
      <c r="H31" s="551">
        <f>'Phụ lục số 2'!J35</f>
        <v>189171</v>
      </c>
      <c r="I31" s="551">
        <f>SUM(J31:K31)</f>
        <v>606749</v>
      </c>
      <c r="J31" s="551">
        <f>'Phụ lục số 2'!N35</f>
        <v>0</v>
      </c>
      <c r="K31" s="551">
        <f>'Phụ lục số 2'!O35</f>
        <v>606749</v>
      </c>
      <c r="L31" s="551">
        <f>SUM(M31:N31)</f>
        <v>721594</v>
      </c>
      <c r="M31" s="551">
        <f>'Phụ lục số 2'!S35</f>
        <v>0</v>
      </c>
      <c r="N31" s="551">
        <f>'Phụ lục số 2'!T35</f>
        <v>721594</v>
      </c>
      <c r="O31" s="551">
        <f>SUM(P31:Q31)</f>
        <v>841249</v>
      </c>
      <c r="P31" s="551">
        <f>'Phụ lục số 2'!X35</f>
        <v>111000</v>
      </c>
      <c r="Q31" s="551">
        <f>'Phụ lục số 2'!Y35</f>
        <v>730249</v>
      </c>
      <c r="R31" s="551">
        <f>SUM(S31:T31)</f>
        <v>865249</v>
      </c>
      <c r="S31" s="551">
        <f>'Phụ lục số 2'!AC35</f>
        <v>118500</v>
      </c>
      <c r="T31" s="551">
        <f>'Phụ lục số 2'!AD35</f>
        <v>746749</v>
      </c>
      <c r="U31" s="551">
        <f>SUM(V31:W31)</f>
        <v>895999</v>
      </c>
      <c r="V31" s="551">
        <f>'Phụ lục số 2'!AH35</f>
        <v>129250</v>
      </c>
      <c r="W31" s="551">
        <f>'Phụ lục số 2'!AI35</f>
        <v>766749</v>
      </c>
      <c r="X31" s="551">
        <f t="shared" si="6"/>
        <v>2169592</v>
      </c>
      <c r="Y31" s="551">
        <f t="shared" si="7"/>
        <v>111000</v>
      </c>
      <c r="Z31" s="551">
        <f t="shared" si="8"/>
        <v>2058592</v>
      </c>
      <c r="AA31" s="551"/>
      <c r="AB31" s="551"/>
      <c r="AC31" s="551"/>
      <c r="AD31" s="551"/>
      <c r="AE31" s="551"/>
      <c r="AF31" s="551"/>
      <c r="AG31" s="551"/>
      <c r="AH31" s="551"/>
      <c r="AI31" s="551"/>
      <c r="AJ31" s="551"/>
      <c r="AK31" s="551"/>
      <c r="AL31" s="551"/>
      <c r="AM31" s="551"/>
      <c r="AN31" s="551"/>
      <c r="AO31" s="551"/>
      <c r="AP31" s="551"/>
      <c r="AQ31" s="551"/>
      <c r="AR31" s="551"/>
    </row>
    <row r="32" spans="1:44" s="43" customFormat="1" x14ac:dyDescent="0.25">
      <c r="A32" s="1176"/>
      <c r="B32" s="98" t="s">
        <v>1579</v>
      </c>
      <c r="C32" s="551">
        <f t="shared" si="15"/>
        <v>2000</v>
      </c>
      <c r="D32" s="551">
        <f>'Phụ lục số 2'!D32</f>
        <v>2000</v>
      </c>
      <c r="E32" s="551">
        <f>'Phụ lục số 2'!E32</f>
        <v>0</v>
      </c>
      <c r="F32" s="551">
        <f t="shared" si="16"/>
        <v>2000</v>
      </c>
      <c r="G32" s="551">
        <f>'Phụ lục số 2'!I32</f>
        <v>2000</v>
      </c>
      <c r="H32" s="551">
        <f>'Phụ lục số 2'!J32</f>
        <v>0</v>
      </c>
      <c r="I32" s="551">
        <f t="shared" si="17"/>
        <v>2000</v>
      </c>
      <c r="J32" s="551">
        <f>'Phụ lục số 2'!N32</f>
        <v>2000</v>
      </c>
      <c r="K32" s="551">
        <f>'Phụ lục số 2'!O32</f>
        <v>0</v>
      </c>
      <c r="L32" s="551">
        <f t="shared" ref="L32:L37" si="22">SUM(M32:N32)</f>
        <v>2000</v>
      </c>
      <c r="M32" s="551">
        <f>'Phụ lục số 2'!S32</f>
        <v>2000</v>
      </c>
      <c r="N32" s="551">
        <f>'Phụ lục số 2'!T32</f>
        <v>0</v>
      </c>
      <c r="O32" s="551">
        <f t="shared" ref="O32:O37" si="23">SUM(P32:Q32)</f>
        <v>2000</v>
      </c>
      <c r="P32" s="551">
        <f>'Phụ lục số 2'!X32</f>
        <v>2000</v>
      </c>
      <c r="Q32" s="551">
        <f>'Phụ lục số 2'!Y32</f>
        <v>0</v>
      </c>
      <c r="R32" s="551">
        <f t="shared" ref="R32:R37" si="24">SUM(S32:T32)</f>
        <v>2000</v>
      </c>
      <c r="S32" s="551">
        <f>'Phụ lục số 2'!AC32</f>
        <v>2000</v>
      </c>
      <c r="T32" s="551">
        <f>'Phụ lục số 2'!AD32</f>
        <v>0</v>
      </c>
      <c r="U32" s="551">
        <f t="shared" ref="U32:U37" si="25">SUM(V32:W32)</f>
        <v>2000</v>
      </c>
      <c r="V32" s="551">
        <f>'Phụ lục số 2'!AH32</f>
        <v>2000</v>
      </c>
      <c r="W32" s="551">
        <f>'Phụ lục số 2'!AI32</f>
        <v>0</v>
      </c>
      <c r="X32" s="551">
        <f t="shared" si="6"/>
        <v>6000</v>
      </c>
      <c r="Y32" s="551">
        <f t="shared" si="7"/>
        <v>6000</v>
      </c>
      <c r="Z32" s="551">
        <f t="shared" si="8"/>
        <v>0</v>
      </c>
      <c r="AA32" s="551"/>
      <c r="AB32" s="551"/>
      <c r="AC32" s="551"/>
      <c r="AD32" s="551"/>
      <c r="AE32" s="551"/>
      <c r="AF32" s="551"/>
      <c r="AG32" s="551"/>
      <c r="AH32" s="551"/>
      <c r="AI32" s="551"/>
      <c r="AJ32" s="551"/>
      <c r="AK32" s="551"/>
      <c r="AL32" s="551"/>
      <c r="AM32" s="551"/>
      <c r="AN32" s="551"/>
      <c r="AO32" s="551"/>
      <c r="AP32" s="551"/>
      <c r="AQ32" s="551"/>
      <c r="AR32" s="551"/>
    </row>
    <row r="33" spans="1:44" s="43" customFormat="1" x14ac:dyDescent="0.25">
      <c r="A33" s="1177"/>
      <c r="B33" s="98" t="s">
        <v>1580</v>
      </c>
      <c r="C33" s="551">
        <f t="shared" si="15"/>
        <v>233960</v>
      </c>
      <c r="D33" s="551">
        <f>'Phụ lục số 2'!D33</f>
        <v>121038</v>
      </c>
      <c r="E33" s="551">
        <f>'Phụ lục số 2'!E33</f>
        <v>112922</v>
      </c>
      <c r="F33" s="551">
        <f t="shared" si="16"/>
        <v>0</v>
      </c>
      <c r="G33" s="551">
        <f>'Phụ lục số 2'!I33</f>
        <v>0</v>
      </c>
      <c r="H33" s="551">
        <f>'Phụ lục số 2'!J33</f>
        <v>0</v>
      </c>
      <c r="I33" s="551">
        <f t="shared" si="17"/>
        <v>233960</v>
      </c>
      <c r="J33" s="551">
        <f>'Phụ lục số 2'!N33</f>
        <v>121038</v>
      </c>
      <c r="K33" s="551">
        <f>'Phụ lục số 2'!O33</f>
        <v>112922</v>
      </c>
      <c r="L33" s="551">
        <f t="shared" si="22"/>
        <v>247000</v>
      </c>
      <c r="M33" s="551">
        <f>'Phụ lục số 2'!S33</f>
        <v>127000</v>
      </c>
      <c r="N33" s="551">
        <f>'Phụ lục số 2'!T33</f>
        <v>120000</v>
      </c>
      <c r="O33" s="551">
        <f t="shared" si="23"/>
        <v>260000</v>
      </c>
      <c r="P33" s="551">
        <f>'Phụ lục số 2'!X33</f>
        <v>132000</v>
      </c>
      <c r="Q33" s="551">
        <f>'Phụ lục số 2'!Y33</f>
        <v>128000</v>
      </c>
      <c r="R33" s="551">
        <f t="shared" si="24"/>
        <v>273000</v>
      </c>
      <c r="S33" s="551">
        <f>'Phụ lục số 2'!AC33</f>
        <v>137000</v>
      </c>
      <c r="T33" s="551">
        <f>'Phụ lục số 2'!AD33</f>
        <v>136000</v>
      </c>
      <c r="U33" s="551">
        <f t="shared" si="25"/>
        <v>288000</v>
      </c>
      <c r="V33" s="551">
        <f>'Phụ lục số 2'!AH33</f>
        <v>143000</v>
      </c>
      <c r="W33" s="551">
        <f>'Phụ lục số 2'!AI33</f>
        <v>145000</v>
      </c>
      <c r="X33" s="551">
        <f t="shared" si="6"/>
        <v>740960</v>
      </c>
      <c r="Y33" s="551">
        <f t="shared" si="7"/>
        <v>380038</v>
      </c>
      <c r="Z33" s="551">
        <f t="shared" si="8"/>
        <v>360922</v>
      </c>
      <c r="AA33" s="551"/>
      <c r="AB33" s="551"/>
      <c r="AC33" s="551"/>
      <c r="AD33" s="551"/>
      <c r="AE33" s="551"/>
      <c r="AF33" s="551"/>
      <c r="AG33" s="551"/>
      <c r="AH33" s="551"/>
      <c r="AI33" s="551"/>
      <c r="AJ33" s="551"/>
      <c r="AK33" s="551"/>
      <c r="AL33" s="551"/>
      <c r="AM33" s="551"/>
      <c r="AN33" s="551"/>
      <c r="AO33" s="551"/>
      <c r="AP33" s="551"/>
      <c r="AQ33" s="551"/>
      <c r="AR33" s="551"/>
    </row>
    <row r="34" spans="1:44" s="43" customFormat="1" x14ac:dyDescent="0.25">
      <c r="A34" s="1177"/>
      <c r="B34" s="98" t="s">
        <v>1581</v>
      </c>
      <c r="C34" s="551">
        <f t="shared" si="15"/>
        <v>1000</v>
      </c>
      <c r="D34" s="551">
        <f>'Phụ lục số 2'!D36</f>
        <v>1000</v>
      </c>
      <c r="E34" s="551">
        <f>'Phụ lục số 2'!E36</f>
        <v>0</v>
      </c>
      <c r="F34" s="551">
        <f t="shared" si="16"/>
        <v>1000</v>
      </c>
      <c r="G34" s="551">
        <f>'Phụ lục số 2'!I36</f>
        <v>1000</v>
      </c>
      <c r="H34" s="551">
        <f>'Phụ lục số 2'!J36</f>
        <v>0</v>
      </c>
      <c r="I34" s="551">
        <f t="shared" si="17"/>
        <v>2100</v>
      </c>
      <c r="J34" s="551">
        <f>'Phụ lục số 2'!N36</f>
        <v>2100</v>
      </c>
      <c r="K34" s="551">
        <f>'Phụ lục số 2'!O36</f>
        <v>0</v>
      </c>
      <c r="L34" s="551">
        <f t="shared" si="22"/>
        <v>1000</v>
      </c>
      <c r="M34" s="551">
        <f>'Phụ lục số 2'!S36</f>
        <v>1000</v>
      </c>
      <c r="N34" s="551">
        <f>'Phụ lục số 2'!T36</f>
        <v>0</v>
      </c>
      <c r="O34" s="551">
        <f t="shared" si="23"/>
        <v>1000</v>
      </c>
      <c r="P34" s="551">
        <f>'Phụ lục số 2'!X36</f>
        <v>1000</v>
      </c>
      <c r="Q34" s="551">
        <f>'Phụ lục số 2'!Y36</f>
        <v>0</v>
      </c>
      <c r="R34" s="551">
        <f t="shared" si="24"/>
        <v>1000</v>
      </c>
      <c r="S34" s="551">
        <f>'Phụ lục số 2'!AC36</f>
        <v>1000</v>
      </c>
      <c r="T34" s="551">
        <f>'Phụ lục số 2'!AD36</f>
        <v>0</v>
      </c>
      <c r="U34" s="551">
        <f t="shared" si="25"/>
        <v>1000</v>
      </c>
      <c r="V34" s="551">
        <f>'Phụ lục số 2'!AH36</f>
        <v>1000</v>
      </c>
      <c r="W34" s="551">
        <f>'Phụ lục số 2'!AI36</f>
        <v>0</v>
      </c>
      <c r="X34" s="551">
        <f t="shared" si="6"/>
        <v>4100</v>
      </c>
      <c r="Y34" s="551">
        <f t="shared" si="7"/>
        <v>4100</v>
      </c>
      <c r="Z34" s="551">
        <f t="shared" si="8"/>
        <v>0</v>
      </c>
      <c r="AA34" s="551"/>
      <c r="AB34" s="551"/>
      <c r="AC34" s="551"/>
      <c r="AD34" s="551"/>
      <c r="AE34" s="551"/>
      <c r="AF34" s="551"/>
      <c r="AG34" s="551"/>
      <c r="AH34" s="551"/>
      <c r="AI34" s="551"/>
      <c r="AJ34" s="551"/>
      <c r="AK34" s="551"/>
      <c r="AL34" s="551"/>
      <c r="AM34" s="551"/>
      <c r="AN34" s="551"/>
      <c r="AO34" s="551"/>
      <c r="AP34" s="551"/>
      <c r="AQ34" s="551"/>
      <c r="AR34" s="551"/>
    </row>
    <row r="35" spans="1:44" s="43" customFormat="1" x14ac:dyDescent="0.25">
      <c r="A35" s="674"/>
      <c r="B35" s="98" t="s">
        <v>677</v>
      </c>
      <c r="C35" s="551">
        <f t="shared" si="15"/>
        <v>1474513</v>
      </c>
      <c r="D35" s="551">
        <f>'Phụ lục số 2'!D37</f>
        <v>1474513</v>
      </c>
      <c r="E35" s="551">
        <f>'Phụ lục số 2'!E37</f>
        <v>0</v>
      </c>
      <c r="F35" s="551">
        <f t="shared" si="16"/>
        <v>1474513</v>
      </c>
      <c r="G35" s="551">
        <f>'Phụ lục số 2'!I37</f>
        <v>1474513</v>
      </c>
      <c r="H35" s="551">
        <f>'Phụ lục số 2'!J37</f>
        <v>0</v>
      </c>
      <c r="I35" s="551">
        <f t="shared" si="17"/>
        <v>1370794</v>
      </c>
      <c r="J35" s="551">
        <f>'Phụ lục số 2'!N37</f>
        <v>1370794</v>
      </c>
      <c r="K35" s="551">
        <f>'Phụ lục số 2'!O37</f>
        <v>0</v>
      </c>
      <c r="L35" s="551">
        <f t="shared" si="22"/>
        <v>1598970</v>
      </c>
      <c r="M35" s="551">
        <f>'Phụ lục số 2'!S37</f>
        <v>1598970</v>
      </c>
      <c r="N35" s="551">
        <f>'Phụ lục số 2'!T37</f>
        <v>0</v>
      </c>
      <c r="O35" s="551">
        <f t="shared" si="23"/>
        <v>1867970</v>
      </c>
      <c r="P35" s="551">
        <f>'Phụ lục số 2'!X37</f>
        <v>1867970</v>
      </c>
      <c r="Q35" s="551">
        <f>'Phụ lục số 2'!Y37</f>
        <v>0</v>
      </c>
      <c r="R35" s="551">
        <f t="shared" si="24"/>
        <v>2184970</v>
      </c>
      <c r="S35" s="551">
        <f>'Phụ lục số 2'!AC37</f>
        <v>2184970</v>
      </c>
      <c r="T35" s="551">
        <f>'Phụ lục số 2'!AD37</f>
        <v>0</v>
      </c>
      <c r="U35" s="551">
        <f t="shared" si="25"/>
        <v>2559970</v>
      </c>
      <c r="V35" s="551">
        <f>'Phụ lục số 2'!AH37</f>
        <v>2559970</v>
      </c>
      <c r="W35" s="551">
        <f>'Phụ lục số 2'!AI37</f>
        <v>0</v>
      </c>
      <c r="X35" s="551">
        <f t="shared" si="6"/>
        <v>4837734</v>
      </c>
      <c r="Y35" s="551">
        <f t="shared" si="7"/>
        <v>4837734</v>
      </c>
      <c r="Z35" s="551">
        <f t="shared" si="8"/>
        <v>0</v>
      </c>
      <c r="AA35" s="551"/>
      <c r="AB35" s="551"/>
      <c r="AC35" s="551"/>
      <c r="AD35" s="551"/>
      <c r="AE35" s="551"/>
      <c r="AF35" s="551"/>
      <c r="AG35" s="551"/>
      <c r="AH35" s="551"/>
      <c r="AI35" s="551"/>
      <c r="AJ35" s="551"/>
      <c r="AK35" s="551"/>
      <c r="AL35" s="551"/>
      <c r="AM35" s="551"/>
      <c r="AN35" s="551"/>
      <c r="AO35" s="551"/>
      <c r="AP35" s="551"/>
      <c r="AQ35" s="551"/>
      <c r="AR35" s="551"/>
    </row>
    <row r="36" spans="1:44" s="43" customFormat="1" ht="31.5" x14ac:dyDescent="0.25">
      <c r="A36" s="674"/>
      <c r="B36" s="823" t="s">
        <v>923</v>
      </c>
      <c r="C36" s="551">
        <f t="shared" si="15"/>
        <v>30900</v>
      </c>
      <c r="D36" s="551">
        <f>'Phụ lục số 2'!D41</f>
        <v>30900</v>
      </c>
      <c r="E36" s="551">
        <f>'Phụ lục số 2'!E41</f>
        <v>0</v>
      </c>
      <c r="F36" s="551">
        <f t="shared" si="16"/>
        <v>30900</v>
      </c>
      <c r="G36" s="551">
        <f>'Phụ lục số 2'!I41</f>
        <v>30900</v>
      </c>
      <c r="H36" s="551">
        <f>'Phụ lục số 2'!J41</f>
        <v>0</v>
      </c>
      <c r="I36" s="551">
        <f>SUM(J36:K36)</f>
        <v>61200</v>
      </c>
      <c r="J36" s="551">
        <f>'Phụ lục số 2'!N41</f>
        <v>61200</v>
      </c>
      <c r="K36" s="551">
        <f>'Phụ lục số 2'!O41</f>
        <v>0</v>
      </c>
      <c r="L36" s="551">
        <f t="shared" si="22"/>
        <v>96096</v>
      </c>
      <c r="M36" s="551">
        <f>'Phụ lục số 2'!S41</f>
        <v>96096</v>
      </c>
      <c r="N36" s="551">
        <f>'Phụ lục số 2'!T41</f>
        <v>0</v>
      </c>
      <c r="O36" s="551">
        <f t="shared" si="23"/>
        <v>0</v>
      </c>
      <c r="P36" s="551">
        <f>'Phụ lục số 2'!X41</f>
        <v>0</v>
      </c>
      <c r="Q36" s="551">
        <f>'Phụ lục số 2'!Y41</f>
        <v>0</v>
      </c>
      <c r="R36" s="551">
        <f t="shared" si="24"/>
        <v>0</v>
      </c>
      <c r="S36" s="551">
        <f>'Phụ lục số 2'!AC41</f>
        <v>0</v>
      </c>
      <c r="T36" s="551">
        <f>'Phụ lục số 2'!AD41</f>
        <v>0</v>
      </c>
      <c r="U36" s="551">
        <f t="shared" si="25"/>
        <v>0</v>
      </c>
      <c r="V36" s="551">
        <f>'Phụ lục số 2'!AH41</f>
        <v>0</v>
      </c>
      <c r="W36" s="551">
        <f>'Phụ lục số 2'!AI41</f>
        <v>0</v>
      </c>
      <c r="X36" s="551">
        <f t="shared" si="6"/>
        <v>157296</v>
      </c>
      <c r="Y36" s="551">
        <f t="shared" si="7"/>
        <v>157296</v>
      </c>
      <c r="Z36" s="551">
        <f t="shared" si="8"/>
        <v>0</v>
      </c>
      <c r="AA36" s="551"/>
      <c r="AB36" s="551"/>
      <c r="AC36" s="551"/>
      <c r="AD36" s="551"/>
      <c r="AE36" s="551"/>
      <c r="AF36" s="551"/>
      <c r="AG36" s="551"/>
      <c r="AH36" s="551"/>
      <c r="AI36" s="551"/>
      <c r="AJ36" s="551"/>
      <c r="AK36" s="551"/>
      <c r="AL36" s="551"/>
      <c r="AM36" s="551"/>
      <c r="AN36" s="551"/>
      <c r="AO36" s="551"/>
      <c r="AP36" s="551">
        <v>500000000</v>
      </c>
      <c r="AQ36" s="551"/>
      <c r="AR36" s="551"/>
    </row>
    <row r="37" spans="1:44" s="44" customFormat="1" x14ac:dyDescent="0.25">
      <c r="A37" s="674"/>
      <c r="B37" s="98" t="s">
        <v>678</v>
      </c>
      <c r="C37" s="551">
        <f t="shared" si="15"/>
        <v>0</v>
      </c>
      <c r="D37" s="551">
        <f>E12</f>
        <v>0</v>
      </c>
      <c r="E37" s="551"/>
      <c r="F37" s="551">
        <f t="shared" si="16"/>
        <v>0</v>
      </c>
      <c r="G37" s="551">
        <f>H12</f>
        <v>0</v>
      </c>
      <c r="H37" s="551"/>
      <c r="I37" s="551">
        <f t="shared" si="17"/>
        <v>0</v>
      </c>
      <c r="J37" s="551">
        <f>K12</f>
        <v>0</v>
      </c>
      <c r="K37" s="551"/>
      <c r="L37" s="551">
        <f t="shared" si="22"/>
        <v>0</v>
      </c>
      <c r="M37" s="551">
        <f>N12</f>
        <v>0</v>
      </c>
      <c r="N37" s="551"/>
      <c r="O37" s="551">
        <f t="shared" si="23"/>
        <v>0</v>
      </c>
      <c r="P37" s="551">
        <f>Q12</f>
        <v>0</v>
      </c>
      <c r="Q37" s="551"/>
      <c r="R37" s="551">
        <f t="shared" si="24"/>
        <v>0</v>
      </c>
      <c r="S37" s="551">
        <f>T12</f>
        <v>0</v>
      </c>
      <c r="T37" s="551"/>
      <c r="U37" s="551">
        <f t="shared" si="25"/>
        <v>0</v>
      </c>
      <c r="V37" s="551">
        <f>W12</f>
        <v>0</v>
      </c>
      <c r="W37" s="551"/>
      <c r="X37" s="551">
        <f t="shared" si="6"/>
        <v>0</v>
      </c>
      <c r="Y37" s="551">
        <f t="shared" si="7"/>
        <v>0</v>
      </c>
      <c r="Z37" s="551">
        <f t="shared" si="8"/>
        <v>0</v>
      </c>
      <c r="AA37" s="551"/>
      <c r="AB37" s="551"/>
      <c r="AC37" s="551"/>
      <c r="AD37" s="551"/>
      <c r="AE37" s="551"/>
      <c r="AF37" s="551"/>
      <c r="AG37" s="551"/>
      <c r="AH37" s="551"/>
      <c r="AI37" s="551"/>
      <c r="AJ37" s="551"/>
      <c r="AK37" s="551"/>
      <c r="AL37" s="551"/>
      <c r="AM37" s="551"/>
      <c r="AN37" s="551"/>
      <c r="AO37" s="551"/>
      <c r="AP37" s="551">
        <f>144+12+4</f>
        <v>160</v>
      </c>
      <c r="AQ37" s="551"/>
      <c r="AR37" s="551"/>
    </row>
    <row r="38" spans="1:44" x14ac:dyDescent="0.25">
      <c r="A38" s="674" t="s">
        <v>426</v>
      </c>
      <c r="B38" s="1275" t="s">
        <v>493</v>
      </c>
      <c r="C38" s="824">
        <f>C5-C18</f>
        <v>0</v>
      </c>
      <c r="D38" s="824">
        <f>D5-D18</f>
        <v>4303110</v>
      </c>
      <c r="E38" s="824">
        <f>E5-E18</f>
        <v>-4303110</v>
      </c>
      <c r="F38" s="824">
        <f>G38+H38</f>
        <v>0</v>
      </c>
      <c r="G38" s="824">
        <f t="shared" ref="G38:W38" si="26">G5-G18</f>
        <v>4303110</v>
      </c>
      <c r="H38" s="824">
        <f t="shared" si="26"/>
        <v>-4303110</v>
      </c>
      <c r="I38" s="824">
        <f t="shared" si="26"/>
        <v>0</v>
      </c>
      <c r="J38" s="824">
        <f>J5-J18</f>
        <v>4537585</v>
      </c>
      <c r="K38" s="824">
        <f>K5-K18</f>
        <v>-4537585</v>
      </c>
      <c r="L38" s="824">
        <f t="shared" si="26"/>
        <v>0</v>
      </c>
      <c r="M38" s="824">
        <f t="shared" si="26"/>
        <v>4537585</v>
      </c>
      <c r="N38" s="824">
        <f t="shared" si="26"/>
        <v>-4537585</v>
      </c>
      <c r="O38" s="824">
        <f t="shared" si="26"/>
        <v>0</v>
      </c>
      <c r="P38" s="824">
        <f t="shared" si="26"/>
        <v>4537585</v>
      </c>
      <c r="Q38" s="824">
        <f t="shared" si="26"/>
        <v>-4537585</v>
      </c>
      <c r="R38" s="824">
        <f t="shared" si="26"/>
        <v>0</v>
      </c>
      <c r="S38" s="824">
        <f t="shared" si="26"/>
        <v>4537585</v>
      </c>
      <c r="T38" s="824">
        <f t="shared" si="26"/>
        <v>-4537585</v>
      </c>
      <c r="U38" s="824">
        <f t="shared" si="26"/>
        <v>0</v>
      </c>
      <c r="V38" s="824">
        <f t="shared" si="26"/>
        <v>4537585</v>
      </c>
      <c r="W38" s="824">
        <f t="shared" si="26"/>
        <v>-4537585</v>
      </c>
      <c r="X38" s="824">
        <f t="shared" si="6"/>
        <v>0</v>
      </c>
      <c r="Y38" s="824">
        <f t="shared" si="7"/>
        <v>13612755</v>
      </c>
      <c r="Z38" s="824">
        <f t="shared" si="8"/>
        <v>-13612755</v>
      </c>
      <c r="AA38" s="824"/>
      <c r="AB38" s="824"/>
      <c r="AC38" s="824"/>
      <c r="AD38" s="824"/>
      <c r="AE38" s="824"/>
      <c r="AF38" s="824"/>
      <c r="AG38" s="824"/>
      <c r="AH38" s="824"/>
      <c r="AI38" s="824"/>
      <c r="AJ38" s="824"/>
      <c r="AK38" s="824"/>
      <c r="AL38" s="824"/>
      <c r="AM38" s="824"/>
      <c r="AN38" s="824"/>
      <c r="AO38" s="824"/>
      <c r="AP38" s="824">
        <f>AP36*AP37</f>
        <v>80000000000</v>
      </c>
      <c r="AQ38" s="824"/>
      <c r="AR38" s="824"/>
    </row>
    <row r="39" spans="1:44" x14ac:dyDescent="0.25">
      <c r="AP39" s="42">
        <f>32/80%</f>
        <v>40</v>
      </c>
    </row>
    <row r="40" spans="1:44" hidden="1" x14ac:dyDescent="0.25">
      <c r="C40" s="661"/>
      <c r="D40" s="661">
        <f>D38*1000</f>
        <v>4303110000</v>
      </c>
      <c r="E40" s="661">
        <f>E38*1000</f>
        <v>-4303110000</v>
      </c>
      <c r="F40" s="661"/>
      <c r="G40" s="661">
        <f>G38*1000000</f>
        <v>4303110000000</v>
      </c>
      <c r="H40" s="661">
        <f>H38*1000000</f>
        <v>-4303110000000</v>
      </c>
      <c r="I40" s="661">
        <f>+I38*1000000</f>
        <v>0</v>
      </c>
      <c r="J40" s="661">
        <f>J38*1000000</f>
        <v>4537585000000</v>
      </c>
      <c r="K40" s="661">
        <f>K38*1000000</f>
        <v>-4537585000000</v>
      </c>
      <c r="L40" s="661"/>
      <c r="M40" s="661">
        <f>M38*1000000</f>
        <v>4537585000000</v>
      </c>
      <c r="N40" s="661">
        <f>N38*1000000</f>
        <v>-4537585000000</v>
      </c>
      <c r="O40" s="661"/>
      <c r="P40" s="661">
        <f>P38*1000000</f>
        <v>4537585000000</v>
      </c>
      <c r="Q40" s="661">
        <f>Q38*1000000</f>
        <v>-4537585000000</v>
      </c>
      <c r="R40" s="661"/>
      <c r="S40" s="661">
        <f>S38*1000000</f>
        <v>4537585000000</v>
      </c>
      <c r="T40" s="661">
        <f>T38*1000000</f>
        <v>-4537585000000</v>
      </c>
      <c r="U40" s="661"/>
      <c r="V40" s="661">
        <f>V38*1000000</f>
        <v>4537585000000</v>
      </c>
      <c r="W40" s="661">
        <f>W38*1000000</f>
        <v>-4537585000000</v>
      </c>
      <c r="X40" s="661"/>
      <c r="Y40" s="661">
        <f>Y38*1000000</f>
        <v>13612755000000</v>
      </c>
      <c r="Z40" s="661">
        <f>Z38*1000000</f>
        <v>-13612755000000</v>
      </c>
    </row>
    <row r="42" spans="1:44" x14ac:dyDescent="0.25">
      <c r="C42" s="699">
        <f>+C38*1000</f>
        <v>0</v>
      </c>
      <c r="D42" s="699">
        <f>+D38*1000</f>
        <v>4303110000</v>
      </c>
      <c r="E42" s="699">
        <f t="shared" ref="E42:Z42" si="27">+E38*1000</f>
        <v>-4303110000</v>
      </c>
      <c r="F42" s="699">
        <f>+F38*1000</f>
        <v>0</v>
      </c>
      <c r="G42" s="699">
        <f>+G38*1000</f>
        <v>4303110000</v>
      </c>
      <c r="H42" s="699">
        <f t="shared" si="27"/>
        <v>-4303110000</v>
      </c>
      <c r="I42" s="699">
        <f t="shared" si="27"/>
        <v>0</v>
      </c>
      <c r="J42" s="699">
        <f t="shared" si="27"/>
        <v>4537585000</v>
      </c>
      <c r="K42" s="699">
        <f t="shared" si="27"/>
        <v>-4537585000</v>
      </c>
      <c r="L42" s="699">
        <f t="shared" si="27"/>
        <v>0</v>
      </c>
      <c r="M42" s="699">
        <f t="shared" si="27"/>
        <v>4537585000</v>
      </c>
      <c r="N42" s="699">
        <f t="shared" si="27"/>
        <v>-4537585000</v>
      </c>
      <c r="O42" s="699">
        <f t="shared" si="27"/>
        <v>0</v>
      </c>
      <c r="P42" s="699">
        <f t="shared" si="27"/>
        <v>4537585000</v>
      </c>
      <c r="Q42" s="699">
        <f t="shared" si="27"/>
        <v>-4537585000</v>
      </c>
      <c r="R42" s="699">
        <f t="shared" si="27"/>
        <v>0</v>
      </c>
      <c r="S42" s="699">
        <f t="shared" si="27"/>
        <v>4537585000</v>
      </c>
      <c r="T42" s="699">
        <f t="shared" si="27"/>
        <v>-4537585000</v>
      </c>
      <c r="U42" s="699">
        <f t="shared" si="27"/>
        <v>0</v>
      </c>
      <c r="V42" s="699">
        <f t="shared" si="27"/>
        <v>4537585000</v>
      </c>
      <c r="W42" s="699">
        <f t="shared" si="27"/>
        <v>-4537585000</v>
      </c>
      <c r="X42" s="699">
        <f t="shared" si="27"/>
        <v>0</v>
      </c>
      <c r="Y42" s="699">
        <f t="shared" si="27"/>
        <v>13612755000</v>
      </c>
      <c r="Z42" s="699">
        <f t="shared" si="27"/>
        <v>-13612755000</v>
      </c>
    </row>
  </sheetData>
  <sheetProtection selectLockedCells="1" selectUnlockedCells="1"/>
  <mergeCells count="18">
    <mergeCell ref="R3:T3"/>
    <mergeCell ref="U3:W3"/>
    <mergeCell ref="X3:Z3"/>
    <mergeCell ref="AA3:AC3"/>
    <mergeCell ref="A1:Q1"/>
    <mergeCell ref="I2:K2"/>
    <mergeCell ref="A3:A4"/>
    <mergeCell ref="B3:B4"/>
    <mergeCell ref="C3:E3"/>
    <mergeCell ref="F3:H3"/>
    <mergeCell ref="I3:K3"/>
    <mergeCell ref="L3:N3"/>
    <mergeCell ref="O3:Q3"/>
    <mergeCell ref="AG3:AI3"/>
    <mergeCell ref="AJ3:AL3"/>
    <mergeCell ref="AM3:AO3"/>
    <mergeCell ref="AP3:AR3"/>
    <mergeCell ref="AD3:AF3"/>
  </mergeCells>
  <printOptions horizontalCentered="1"/>
  <pageMargins left="0" right="0" top="0.19685039370078741" bottom="0.19685039370078741" header="0" footer="0"/>
  <pageSetup paperSize="9" scale="92" orientation="landscape" r:id="rId1"/>
  <headerFooter>
    <oddHeader>&amp;R&amp;A</oddHead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0000"/>
    <pageSetUpPr fitToPage="1"/>
  </sheetPr>
  <dimension ref="A1:T116"/>
  <sheetViews>
    <sheetView zoomScale="90" zoomScaleNormal="90" workbookViewId="0">
      <pane xSplit="4" ySplit="11" topLeftCell="H113" activePane="bottomRight" state="frozen"/>
      <selection activeCell="D13" sqref="D13"/>
      <selection pane="topRight" activeCell="D13" sqref="D13"/>
      <selection pane="bottomLeft" activeCell="D13" sqref="D13"/>
      <selection pane="bottomRight" activeCell="D13" sqref="D13"/>
    </sheetView>
  </sheetViews>
  <sheetFormatPr defaultRowHeight="15.95" customHeight="1" x14ac:dyDescent="0.2"/>
  <cols>
    <col min="1" max="1" width="4.875" style="161" customWidth="1"/>
    <col min="2" max="2" width="46.75" style="79" customWidth="1"/>
    <col min="3" max="3" width="10.625" style="79" customWidth="1"/>
    <col min="4" max="4" width="9.5" style="78" customWidth="1"/>
    <col min="5" max="5" width="8.125" style="79" customWidth="1"/>
    <col min="6" max="17" width="9.625" style="79" customWidth="1"/>
    <col min="18" max="18" width="8.125" style="79" customWidth="1"/>
    <col min="19" max="19" width="9.625" style="78" customWidth="1"/>
    <col min="20" max="16384" width="9" style="79"/>
  </cols>
  <sheetData>
    <row r="1" spans="1:20" ht="12.75" x14ac:dyDescent="0.2">
      <c r="A1" s="1472" t="s">
        <v>1395</v>
      </c>
      <c r="B1" s="1472"/>
      <c r="C1" s="1472"/>
      <c r="D1" s="1472"/>
      <c r="E1" s="1472"/>
      <c r="F1" s="1472"/>
      <c r="G1" s="1472"/>
      <c r="H1" s="1472"/>
      <c r="I1" s="1472"/>
      <c r="J1" s="1472"/>
      <c r="K1" s="1472"/>
      <c r="L1" s="1472"/>
      <c r="M1" s="1472"/>
      <c r="N1" s="1472"/>
      <c r="O1" s="1472"/>
      <c r="P1" s="1472"/>
      <c r="Q1" s="1472"/>
      <c r="R1" s="1472"/>
      <c r="S1" s="1472"/>
    </row>
    <row r="2" spans="1:20" ht="15.95" customHeight="1" x14ac:dyDescent="0.2">
      <c r="P2" s="78" t="s">
        <v>539</v>
      </c>
    </row>
    <row r="3" spans="1:20" ht="12.75" x14ac:dyDescent="0.2">
      <c r="A3" s="1473" t="s">
        <v>519</v>
      </c>
      <c r="B3" s="1462" t="s">
        <v>540</v>
      </c>
      <c r="C3" s="1462" t="s">
        <v>1023</v>
      </c>
      <c r="D3" s="1462"/>
      <c r="E3" s="1462"/>
      <c r="F3" s="1462"/>
      <c r="G3" s="1462"/>
      <c r="H3" s="1462"/>
      <c r="I3" s="1462"/>
      <c r="J3" s="1462"/>
      <c r="K3" s="1462"/>
      <c r="L3" s="1462"/>
      <c r="M3" s="1462"/>
      <c r="N3" s="1462"/>
      <c r="O3" s="1462"/>
      <c r="P3" s="1462"/>
      <c r="Q3" s="1462"/>
      <c r="R3" s="1462"/>
      <c r="S3" s="1462"/>
    </row>
    <row r="4" spans="1:20" ht="12.75" customHeight="1" x14ac:dyDescent="0.2">
      <c r="A4" s="1473"/>
      <c r="B4" s="1462"/>
      <c r="C4" s="1462" t="s">
        <v>750</v>
      </c>
      <c r="D4" s="1474" t="s">
        <v>595</v>
      </c>
      <c r="E4" s="1474"/>
      <c r="F4" s="1474"/>
      <c r="G4" s="1474"/>
      <c r="H4" s="1474"/>
      <c r="I4" s="1474"/>
      <c r="J4" s="1474"/>
      <c r="K4" s="1474"/>
      <c r="L4" s="1474"/>
      <c r="M4" s="1474"/>
      <c r="N4" s="1474"/>
      <c r="O4" s="1474"/>
      <c r="P4" s="1474"/>
      <c r="Q4" s="1464" t="s">
        <v>735</v>
      </c>
      <c r="R4" s="1465"/>
      <c r="S4" s="1466"/>
    </row>
    <row r="5" spans="1:20" ht="12.75" customHeight="1" x14ac:dyDescent="0.2">
      <c r="A5" s="1473"/>
      <c r="B5" s="1462"/>
      <c r="C5" s="1462"/>
      <c r="D5" s="1462" t="s">
        <v>235</v>
      </c>
      <c r="E5" s="1474" t="s">
        <v>541</v>
      </c>
      <c r="F5" s="1474"/>
      <c r="G5" s="1474"/>
      <c r="H5" s="1474"/>
      <c r="I5" s="1474"/>
      <c r="J5" s="1474"/>
      <c r="K5" s="1474"/>
      <c r="L5" s="1474"/>
      <c r="M5" s="1474"/>
      <c r="N5" s="1474"/>
      <c r="O5" s="1474"/>
      <c r="P5" s="1474"/>
      <c r="Q5" s="1467" t="s">
        <v>751</v>
      </c>
      <c r="R5" s="1470" t="s">
        <v>596</v>
      </c>
      <c r="S5" s="1471"/>
    </row>
    <row r="6" spans="1:20" ht="21.75" customHeight="1" x14ac:dyDescent="0.2">
      <c r="A6" s="1473"/>
      <c r="B6" s="1462"/>
      <c r="C6" s="1462"/>
      <c r="D6" s="1462"/>
      <c r="E6" s="1462" t="s">
        <v>542</v>
      </c>
      <c r="F6" s="1462" t="s">
        <v>584</v>
      </c>
      <c r="G6" s="1462" t="s">
        <v>585</v>
      </c>
      <c r="H6" s="1462" t="s">
        <v>586</v>
      </c>
      <c r="I6" s="1462" t="s">
        <v>587</v>
      </c>
      <c r="J6" s="1462" t="s">
        <v>588</v>
      </c>
      <c r="K6" s="1462" t="s">
        <v>543</v>
      </c>
      <c r="L6" s="1462" t="s">
        <v>589</v>
      </c>
      <c r="M6" s="1462" t="s">
        <v>590</v>
      </c>
      <c r="N6" s="1462" t="s">
        <v>591</v>
      </c>
      <c r="O6" s="1462" t="s">
        <v>592</v>
      </c>
      <c r="P6" s="1462" t="s">
        <v>593</v>
      </c>
      <c r="Q6" s="1468"/>
      <c r="R6" s="1467" t="s">
        <v>711</v>
      </c>
      <c r="S6" s="1467" t="s">
        <v>1487</v>
      </c>
    </row>
    <row r="7" spans="1:20" ht="98.25" customHeight="1" x14ac:dyDescent="0.2">
      <c r="A7" s="1473"/>
      <c r="B7" s="1462"/>
      <c r="C7" s="1462"/>
      <c r="D7" s="1463"/>
      <c r="E7" s="1462"/>
      <c r="F7" s="1462"/>
      <c r="G7" s="1462"/>
      <c r="H7" s="1462"/>
      <c r="I7" s="1462"/>
      <c r="J7" s="1462"/>
      <c r="K7" s="1462"/>
      <c r="L7" s="1462"/>
      <c r="M7" s="1462"/>
      <c r="N7" s="1462"/>
      <c r="O7" s="1462"/>
      <c r="P7" s="1462"/>
      <c r="Q7" s="1469"/>
      <c r="R7" s="1469"/>
      <c r="S7" s="1469"/>
    </row>
    <row r="8" spans="1:20" s="241" customFormat="1" ht="18"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20" ht="24.95" customHeight="1"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20" ht="24.95" customHeight="1"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c r="T10" s="1337"/>
    </row>
    <row r="11" spans="1:20" s="78" customFormat="1" ht="24.95" customHeight="1"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c r="T11" s="1338"/>
    </row>
    <row r="12" spans="1:20" s="78" customFormat="1" ht="24.95" customHeight="1"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20" s="78" customFormat="1" ht="24.95" customHeight="1"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20" s="78" customFormat="1" ht="24.95" customHeight="1"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20" s="78" customFormat="1" ht="24.95" customHeight="1"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20" s="78" customFormat="1" ht="24.95" customHeight="1"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s="78" customFormat="1" ht="24.95" customHeight="1"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s="78" customFormat="1" ht="24.95" customHeight="1"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s="78" customFormat="1" ht="24.95" customHeight="1"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s="78" customFormat="1" ht="24.95" customHeight="1"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s="78" customFormat="1" ht="24.95" customHeight="1"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s="78" customFormat="1" ht="24.95" customHeight="1"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s="78" customFormat="1" ht="24.95" customHeight="1"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s="78" customFormat="1" ht="24.95" customHeight="1"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s="78" customFormat="1" ht="24.95" customHeight="1"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s="78" customFormat="1" ht="24.95" customHeight="1"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s="78" customFormat="1" ht="24.95" customHeight="1"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s="78" customFormat="1" ht="24.95" customHeight="1"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s="78" customFormat="1" ht="24.95" customHeight="1"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s="78" customFormat="1" ht="24.95" customHeight="1"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s="78" customFormat="1" ht="24.95" customHeight="1"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s="78" customFormat="1" ht="24.95" customHeight="1"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s="78" customFormat="1" ht="24.95" customHeight="1"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s="78" customFormat="1" ht="24.95" customHeight="1"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s="78" customFormat="1" ht="24.95" customHeight="1"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s="78" customFormat="1" ht="24.95" customHeight="1"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s="78" customFormat="1" ht="24.95" customHeight="1"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s="78" customFormat="1" ht="24.95" customHeight="1"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s="78" customFormat="1" ht="24.95" customHeight="1"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s="78" customFormat="1" ht="24.95" customHeight="1"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s="242" customFormat="1" ht="24.95" customHeight="1"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s="242" customFormat="1" ht="24.95" customHeight="1"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s="242" customFormat="1" ht="24.95" customHeight="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s="242" customFormat="1" ht="24.95" customHeight="1"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24.95" customHeight="1"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s="140" customFormat="1" ht="24.95" customHeight="1"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s="140" customFormat="1" ht="24.95" customHeight="1"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24.95" customHeight="1"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24.95" customHeight="1"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24.95" customHeight="1"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24.95" customHeight="1"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24.95" customHeight="1"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s="140" customFormat="1" ht="24.95" customHeight="1"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24.95" customHeight="1"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24.95" customHeight="1"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24.95" customHeight="1"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24.95" customHeight="1"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24.95" customHeight="1"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24.95" customHeight="1"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24.95" customHeight="1"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s="140" customFormat="1" ht="24.95" customHeight="1"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24.95" customHeight="1"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24.95" customHeight="1"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24.95" customHeight="1"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s="140" customFormat="1" ht="24.95" customHeight="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s="205" customFormat="1" ht="24.95" hidden="1" customHeight="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24.95" hidden="1" customHeight="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24.95" hidden="1" customHeight="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24.95" hidden="1" customHeight="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24.95" hidden="1" customHeight="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24.95" hidden="1" customHeight="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4.95" hidden="1" customHeight="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24.95" hidden="1" customHeight="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s="205" customFormat="1" ht="24.95" hidden="1" customHeight="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s="205" customFormat="1" ht="24.95" hidden="1" customHeight="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81" si="23">R75+S75</f>
        <v>0</v>
      </c>
      <c r="R75" s="418"/>
      <c r="S75" s="418"/>
    </row>
    <row r="76" spans="1:19" ht="24.95" hidden="1" customHeight="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24.95" hidden="1" customHeight="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24.95" hidden="1" customHeight="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24.95" hidden="1" customHeight="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s="205" customFormat="1" ht="24.95" hidden="1" customHeight="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24.95" hidden="1" customHeight="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24.95" hidden="1" customHeight="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ref="Q82:Q94" si="24">R82+S82</f>
        <v>0</v>
      </c>
      <c r="R82" s="418"/>
      <c r="S82" s="418"/>
    </row>
    <row r="83" spans="1:19" ht="24.95" hidden="1" customHeight="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4"/>
        <v>0</v>
      </c>
      <c r="R83" s="418"/>
      <c r="S83" s="418"/>
    </row>
    <row r="84" spans="1:19" ht="24.95" hidden="1" customHeight="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4"/>
        <v>0</v>
      </c>
      <c r="R84" s="418"/>
      <c r="S84" s="418"/>
    </row>
    <row r="85" spans="1:19" ht="24.95" hidden="1" customHeight="1" x14ac:dyDescent="0.2">
      <c r="A85" s="939">
        <v>62</v>
      </c>
      <c r="B85" s="181" t="s">
        <v>500</v>
      </c>
      <c r="C85" s="417">
        <f t="shared" si="17"/>
        <v>0</v>
      </c>
      <c r="D85" s="417">
        <f t="shared" ref="D85:D90" si="25">SUM(E85:P85)</f>
        <v>0</v>
      </c>
      <c r="E85" s="418"/>
      <c r="F85" s="418"/>
      <c r="G85" s="418"/>
      <c r="H85" s="418"/>
      <c r="I85" s="418"/>
      <c r="J85" s="418"/>
      <c r="K85" s="418"/>
      <c r="L85" s="418"/>
      <c r="M85" s="418"/>
      <c r="N85" s="418"/>
      <c r="O85" s="418"/>
      <c r="P85" s="418"/>
      <c r="Q85" s="418">
        <f t="shared" si="24"/>
        <v>0</v>
      </c>
      <c r="R85" s="418"/>
      <c r="S85" s="418"/>
    </row>
    <row r="86" spans="1:19" ht="24.95" hidden="1" customHeight="1" x14ac:dyDescent="0.2">
      <c r="A86" s="939">
        <v>63</v>
      </c>
      <c r="B86" s="181" t="s">
        <v>765</v>
      </c>
      <c r="C86" s="417">
        <f>D86+Q86</f>
        <v>0</v>
      </c>
      <c r="D86" s="417">
        <f t="shared" si="25"/>
        <v>0</v>
      </c>
      <c r="E86" s="418"/>
      <c r="F86" s="418"/>
      <c r="G86" s="418"/>
      <c r="H86" s="418"/>
      <c r="I86" s="418"/>
      <c r="J86" s="418"/>
      <c r="K86" s="418"/>
      <c r="L86" s="418"/>
      <c r="M86" s="418"/>
      <c r="N86" s="418"/>
      <c r="O86" s="418"/>
      <c r="P86" s="418"/>
      <c r="Q86" s="418">
        <f>R86+S86</f>
        <v>0</v>
      </c>
      <c r="R86" s="418"/>
      <c r="S86" s="418"/>
    </row>
    <row r="87" spans="1:19" ht="24.95" hidden="1" customHeight="1" x14ac:dyDescent="0.2">
      <c r="A87" s="939">
        <v>64</v>
      </c>
      <c r="B87" s="181" t="s">
        <v>766</v>
      </c>
      <c r="C87" s="417">
        <f>D87+Q87</f>
        <v>0</v>
      </c>
      <c r="D87" s="417">
        <f t="shared" si="25"/>
        <v>0</v>
      </c>
      <c r="E87" s="418"/>
      <c r="F87" s="418"/>
      <c r="G87" s="418"/>
      <c r="H87" s="418"/>
      <c r="I87" s="418"/>
      <c r="J87" s="418"/>
      <c r="K87" s="418"/>
      <c r="L87" s="418"/>
      <c r="M87" s="418"/>
      <c r="N87" s="418"/>
      <c r="O87" s="418"/>
      <c r="P87" s="418"/>
      <c r="Q87" s="418">
        <f>R87+S87</f>
        <v>0</v>
      </c>
      <c r="R87" s="418"/>
      <c r="S87" s="418"/>
    </row>
    <row r="88" spans="1:19" ht="24.95" hidden="1" customHeight="1" x14ac:dyDescent="0.2">
      <c r="A88" s="939">
        <v>65</v>
      </c>
      <c r="B88" s="953" t="s">
        <v>1356</v>
      </c>
      <c r="C88" s="417">
        <f t="shared" si="17"/>
        <v>0</v>
      </c>
      <c r="D88" s="417">
        <f t="shared" si="25"/>
        <v>0</v>
      </c>
      <c r="E88" s="421"/>
      <c r="F88" s="421"/>
      <c r="G88" s="421"/>
      <c r="H88" s="421"/>
      <c r="I88" s="421"/>
      <c r="J88" s="421"/>
      <c r="K88" s="421"/>
      <c r="L88" s="421"/>
      <c r="M88" s="421"/>
      <c r="N88" s="421"/>
      <c r="O88" s="421"/>
      <c r="P88" s="421"/>
      <c r="Q88" s="421">
        <f t="shared" si="24"/>
        <v>0</v>
      </c>
      <c r="R88" s="421"/>
      <c r="S88" s="421"/>
    </row>
    <row r="89" spans="1:19" ht="24.95" hidden="1" customHeight="1" x14ac:dyDescent="0.2">
      <c r="A89" s="939">
        <v>66</v>
      </c>
      <c r="B89" s="953" t="s">
        <v>1357</v>
      </c>
      <c r="C89" s="417">
        <f t="shared" si="17"/>
        <v>0</v>
      </c>
      <c r="D89" s="417">
        <f t="shared" si="25"/>
        <v>0</v>
      </c>
      <c r="E89" s="421"/>
      <c r="F89" s="421"/>
      <c r="G89" s="421"/>
      <c r="H89" s="421"/>
      <c r="I89" s="421"/>
      <c r="J89" s="421"/>
      <c r="K89" s="421"/>
      <c r="L89" s="421"/>
      <c r="M89" s="421"/>
      <c r="N89" s="421"/>
      <c r="O89" s="421"/>
      <c r="P89" s="421"/>
      <c r="Q89" s="421">
        <f t="shared" si="24"/>
        <v>0</v>
      </c>
      <c r="R89" s="421"/>
      <c r="S89" s="421"/>
    </row>
    <row r="90" spans="1:19" ht="24.95" hidden="1" customHeight="1" x14ac:dyDescent="0.2">
      <c r="A90" s="939">
        <v>67</v>
      </c>
      <c r="B90" s="953" t="s">
        <v>1358</v>
      </c>
      <c r="C90" s="417">
        <f t="shared" si="17"/>
        <v>0</v>
      </c>
      <c r="D90" s="417">
        <f t="shared" si="25"/>
        <v>0</v>
      </c>
      <c r="E90" s="421"/>
      <c r="F90" s="421"/>
      <c r="G90" s="421"/>
      <c r="H90" s="421"/>
      <c r="I90" s="421"/>
      <c r="J90" s="421"/>
      <c r="K90" s="421"/>
      <c r="L90" s="421"/>
      <c r="M90" s="421"/>
      <c r="N90" s="421"/>
      <c r="O90" s="421"/>
      <c r="P90" s="421"/>
      <c r="Q90" s="421">
        <f t="shared" si="24"/>
        <v>0</v>
      </c>
      <c r="R90" s="421"/>
      <c r="S90" s="421"/>
    </row>
    <row r="91" spans="1:19" ht="24.95" hidden="1" customHeight="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4"/>
        <v>0</v>
      </c>
      <c r="R91" s="418"/>
      <c r="S91" s="418"/>
    </row>
    <row r="92" spans="1:19" ht="24.95" hidden="1" customHeight="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4"/>
        <v>0</v>
      </c>
      <c r="R92" s="418"/>
      <c r="S92" s="418"/>
    </row>
    <row r="93" spans="1:19" ht="24.95" hidden="1" customHeight="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4"/>
        <v>0</v>
      </c>
      <c r="R93" s="418"/>
      <c r="S93" s="418"/>
    </row>
    <row r="94" spans="1:19" ht="24.95" hidden="1" customHeight="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4"/>
        <v>0</v>
      </c>
      <c r="R94" s="418"/>
      <c r="S94" s="418"/>
    </row>
    <row r="95" spans="1:19" s="205" customFormat="1" ht="24.95" customHeight="1" x14ac:dyDescent="0.2">
      <c r="A95" s="206">
        <v>3</v>
      </c>
      <c r="B95" s="951" t="s">
        <v>600</v>
      </c>
      <c r="C95" s="422">
        <f>SUM(C96:C104)</f>
        <v>408362</v>
      </c>
      <c r="D95" s="422">
        <f t="shared" ref="D95:S95" si="26">SUM(D96:D104)</f>
        <v>408362</v>
      </c>
      <c r="E95" s="422">
        <f t="shared" si="26"/>
        <v>0</v>
      </c>
      <c r="F95" s="422">
        <f t="shared" si="26"/>
        <v>0</v>
      </c>
      <c r="G95" s="422">
        <f t="shared" si="26"/>
        <v>0</v>
      </c>
      <c r="H95" s="422">
        <f t="shared" si="26"/>
        <v>15000</v>
      </c>
      <c r="I95" s="422">
        <f t="shared" si="26"/>
        <v>373362</v>
      </c>
      <c r="J95" s="422">
        <f t="shared" si="26"/>
        <v>0</v>
      </c>
      <c r="K95" s="422">
        <f t="shared" si="26"/>
        <v>0</v>
      </c>
      <c r="L95" s="422">
        <f t="shared" si="26"/>
        <v>0</v>
      </c>
      <c r="M95" s="422">
        <f t="shared" si="26"/>
        <v>20000</v>
      </c>
      <c r="N95" s="422">
        <f t="shared" si="26"/>
        <v>0</v>
      </c>
      <c r="O95" s="422">
        <f t="shared" si="26"/>
        <v>0</v>
      </c>
      <c r="P95" s="422">
        <f t="shared" si="26"/>
        <v>0</v>
      </c>
      <c r="Q95" s="422">
        <f t="shared" si="26"/>
        <v>0</v>
      </c>
      <c r="R95" s="422">
        <f t="shared" si="26"/>
        <v>0</v>
      </c>
      <c r="S95" s="422">
        <f t="shared" si="26"/>
        <v>0</v>
      </c>
    </row>
    <row r="96" spans="1:19" ht="24.95" hidden="1" customHeight="1" x14ac:dyDescent="0.2">
      <c r="A96" s="944">
        <v>72</v>
      </c>
      <c r="B96" s="950" t="s">
        <v>387</v>
      </c>
      <c r="C96" s="417">
        <f t="shared" si="17"/>
        <v>0</v>
      </c>
      <c r="D96" s="417">
        <f t="shared" ref="D96:D104" si="27">SUM(E96:P96)</f>
        <v>0</v>
      </c>
      <c r="E96" s="418"/>
      <c r="F96" s="418"/>
      <c r="G96" s="418"/>
      <c r="H96" s="418"/>
      <c r="I96" s="418"/>
      <c r="J96" s="418"/>
      <c r="K96" s="418"/>
      <c r="L96" s="418"/>
      <c r="M96" s="418"/>
      <c r="N96" s="418"/>
      <c r="O96" s="418"/>
      <c r="P96" s="418"/>
      <c r="Q96" s="418">
        <f>R96+S96</f>
        <v>0</v>
      </c>
      <c r="R96" s="418"/>
      <c r="S96" s="418"/>
    </row>
    <row r="97" spans="1:19" ht="24.95" hidden="1" customHeight="1" x14ac:dyDescent="0.2">
      <c r="A97" s="944">
        <v>73</v>
      </c>
      <c r="B97" s="207" t="s">
        <v>388</v>
      </c>
      <c r="C97" s="417">
        <f t="shared" si="17"/>
        <v>0</v>
      </c>
      <c r="D97" s="417">
        <f t="shared" si="27"/>
        <v>0</v>
      </c>
      <c r="E97" s="418"/>
      <c r="F97" s="418"/>
      <c r="G97" s="418"/>
      <c r="H97" s="418"/>
      <c r="I97" s="418"/>
      <c r="J97" s="418"/>
      <c r="K97" s="418"/>
      <c r="L97" s="418"/>
      <c r="M97" s="418"/>
      <c r="N97" s="418"/>
      <c r="O97" s="418"/>
      <c r="P97" s="418"/>
      <c r="Q97" s="418">
        <f t="shared" ref="Q97:Q104" si="28">R97+S97</f>
        <v>0</v>
      </c>
      <c r="R97" s="418"/>
      <c r="S97" s="418"/>
    </row>
    <row r="98" spans="1:19" ht="24.95" hidden="1" customHeight="1" x14ac:dyDescent="0.2">
      <c r="A98" s="944">
        <v>74</v>
      </c>
      <c r="B98" s="950" t="s">
        <v>1363</v>
      </c>
      <c r="C98" s="417">
        <f t="shared" si="17"/>
        <v>0</v>
      </c>
      <c r="D98" s="417">
        <f t="shared" si="27"/>
        <v>0</v>
      </c>
      <c r="E98" s="418"/>
      <c r="F98" s="418"/>
      <c r="G98" s="418"/>
      <c r="H98" s="418"/>
      <c r="I98" s="418"/>
      <c r="J98" s="418"/>
      <c r="K98" s="418"/>
      <c r="L98" s="418"/>
      <c r="M98" s="418"/>
      <c r="N98" s="418"/>
      <c r="O98" s="418"/>
      <c r="P98" s="418"/>
      <c r="Q98" s="418">
        <f t="shared" si="28"/>
        <v>0</v>
      </c>
      <c r="R98" s="418"/>
      <c r="S98" s="418"/>
    </row>
    <row r="99" spans="1:19" ht="24.95" hidden="1" customHeight="1" x14ac:dyDescent="0.2">
      <c r="A99" s="944">
        <v>75</v>
      </c>
      <c r="B99" s="950" t="s">
        <v>338</v>
      </c>
      <c r="C99" s="417">
        <f t="shared" si="17"/>
        <v>0</v>
      </c>
      <c r="D99" s="417">
        <f t="shared" si="27"/>
        <v>0</v>
      </c>
      <c r="E99" s="418"/>
      <c r="F99" s="418"/>
      <c r="G99" s="418"/>
      <c r="H99" s="418"/>
      <c r="I99" s="418"/>
      <c r="J99" s="418"/>
      <c r="K99" s="418"/>
      <c r="L99" s="418"/>
      <c r="M99" s="418"/>
      <c r="N99" s="418"/>
      <c r="O99" s="418"/>
      <c r="P99" s="418"/>
      <c r="Q99" s="418">
        <f t="shared" si="28"/>
        <v>0</v>
      </c>
      <c r="R99" s="418"/>
      <c r="S99" s="418"/>
    </row>
    <row r="100" spans="1:19" ht="24.95" hidden="1" customHeight="1" x14ac:dyDescent="0.2">
      <c r="A100" s="944">
        <v>76</v>
      </c>
      <c r="B100" s="950" t="s">
        <v>233</v>
      </c>
      <c r="C100" s="417">
        <f t="shared" si="17"/>
        <v>0</v>
      </c>
      <c r="D100" s="417">
        <f t="shared" si="27"/>
        <v>0</v>
      </c>
      <c r="E100" s="418"/>
      <c r="F100" s="418"/>
      <c r="G100" s="418"/>
      <c r="H100" s="418"/>
      <c r="I100" s="418"/>
      <c r="J100" s="418"/>
      <c r="K100" s="418"/>
      <c r="L100" s="418"/>
      <c r="M100" s="418"/>
      <c r="N100" s="418"/>
      <c r="O100" s="418"/>
      <c r="P100" s="418"/>
      <c r="Q100" s="418">
        <f t="shared" si="28"/>
        <v>0</v>
      </c>
      <c r="R100" s="418"/>
      <c r="S100" s="418"/>
    </row>
    <row r="101" spans="1:19" ht="24.95" hidden="1" customHeight="1" x14ac:dyDescent="0.2">
      <c r="A101" s="944">
        <v>77</v>
      </c>
      <c r="B101" s="950" t="s">
        <v>606</v>
      </c>
      <c r="C101" s="417">
        <f t="shared" si="17"/>
        <v>0</v>
      </c>
      <c r="D101" s="417">
        <f t="shared" si="27"/>
        <v>0</v>
      </c>
      <c r="E101" s="418"/>
      <c r="F101" s="418"/>
      <c r="G101" s="418"/>
      <c r="H101" s="418"/>
      <c r="I101" s="418"/>
      <c r="J101" s="418"/>
      <c r="K101" s="418"/>
      <c r="L101" s="418"/>
      <c r="M101" s="418"/>
      <c r="N101" s="418"/>
      <c r="O101" s="418"/>
      <c r="P101" s="418"/>
      <c r="Q101" s="418">
        <f t="shared" si="28"/>
        <v>0</v>
      </c>
      <c r="R101" s="418"/>
      <c r="S101" s="418"/>
    </row>
    <row r="102" spans="1:19" ht="24.95" customHeight="1" x14ac:dyDescent="0.2">
      <c r="A102" s="944">
        <v>78</v>
      </c>
      <c r="B102" s="950" t="s">
        <v>603</v>
      </c>
      <c r="C102" s="417">
        <f>D102+Q102</f>
        <v>373362</v>
      </c>
      <c r="D102" s="417">
        <f t="shared" si="27"/>
        <v>373362</v>
      </c>
      <c r="E102" s="418"/>
      <c r="F102" s="418"/>
      <c r="G102" s="418"/>
      <c r="H102" s="418"/>
      <c r="I102" s="418">
        <f>(39503+64000+127226+44735+14000+344+1554+80000+1200+800)</f>
        <v>373362</v>
      </c>
      <c r="J102" s="418"/>
      <c r="K102" s="418"/>
      <c r="L102" s="418"/>
      <c r="M102" s="418"/>
      <c r="N102" s="418"/>
      <c r="O102" s="418"/>
      <c r="P102" s="418"/>
      <c r="Q102" s="418">
        <f t="shared" si="28"/>
        <v>0</v>
      </c>
      <c r="R102" s="418"/>
      <c r="S102" s="418"/>
    </row>
    <row r="103" spans="1:19" ht="24.95" customHeight="1" x14ac:dyDescent="0.2">
      <c r="A103" s="944">
        <v>79</v>
      </c>
      <c r="B103" s="950" t="s">
        <v>1218</v>
      </c>
      <c r="C103" s="417">
        <f>D103+Q103</f>
        <v>35000</v>
      </c>
      <c r="D103" s="417">
        <f t="shared" si="27"/>
        <v>35000</v>
      </c>
      <c r="E103" s="418"/>
      <c r="F103" s="418"/>
      <c r="G103" s="418"/>
      <c r="H103" s="418">
        <v>15000</v>
      </c>
      <c r="I103" s="418"/>
      <c r="J103" s="418"/>
      <c r="K103" s="418"/>
      <c r="L103" s="418"/>
      <c r="M103" s="418">
        <v>20000</v>
      </c>
      <c r="N103" s="418"/>
      <c r="O103" s="418"/>
      <c r="P103" s="418"/>
      <c r="Q103" s="418">
        <f t="shared" si="28"/>
        <v>0</v>
      </c>
      <c r="R103" s="418"/>
      <c r="S103" s="418"/>
    </row>
    <row r="104" spans="1:19" ht="24.95" hidden="1" customHeight="1" x14ac:dyDescent="0.2">
      <c r="A104" s="944">
        <v>80</v>
      </c>
      <c r="B104" s="950" t="s">
        <v>521</v>
      </c>
      <c r="C104" s="417">
        <f t="shared" si="17"/>
        <v>0</v>
      </c>
      <c r="D104" s="417">
        <f t="shared" si="27"/>
        <v>0</v>
      </c>
      <c r="E104" s="418"/>
      <c r="F104" s="418"/>
      <c r="G104" s="418"/>
      <c r="H104" s="418"/>
      <c r="I104" s="418"/>
      <c r="J104" s="418"/>
      <c r="K104" s="418"/>
      <c r="L104" s="418"/>
      <c r="M104" s="418"/>
      <c r="N104" s="418"/>
      <c r="O104" s="418"/>
      <c r="P104" s="418"/>
      <c r="Q104" s="418">
        <f t="shared" si="28"/>
        <v>0</v>
      </c>
      <c r="R104" s="418"/>
      <c r="S104" s="418"/>
    </row>
    <row r="105" spans="1:19" s="140" customFormat="1" ht="24.95" customHeight="1"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s="140" customFormat="1" ht="24.95" customHeight="1"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s="140" customFormat="1" ht="24.95" customHeight="1"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s="140" customFormat="1" ht="24.95" customHeight="1"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s="140" customFormat="1" ht="24.95" customHeight="1"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s="140" customFormat="1" ht="24.95" customHeight="1"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s="140" customFormat="1" ht="24.95" customHeight="1"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s="140" customFormat="1" ht="24.95" customHeight="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s="140" customFormat="1" ht="24.95" customHeight="1"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4.95" customHeight="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row r="116" spans="1:19" ht="15.95" customHeight="1" x14ac:dyDescent="0.2">
      <c r="O116" s="1339"/>
    </row>
  </sheetData>
  <sortState ref="A57:CU58">
    <sortCondition descending="1" ref="A57"/>
  </sortState>
  <customSheetViews>
    <customSheetView guid="{88621519-296E-4458-B04E-813E881018FE}" scale="85" fitToPage="1">
      <pane xSplit="4" ySplit="11" topLeftCell="E116" activePane="bottomRight" state="frozen"/>
      <selection pane="bottomRight" activeCell="A52" sqref="A52"/>
      <pageMargins left="0" right="0" top="0.39370078740157483" bottom="0.19685039370078741" header="0" footer="0"/>
      <printOptions horizontalCentered="1"/>
      <pageSetup paperSize="9" scale="56" fitToHeight="2" orientation="landscape" r:id="rId1"/>
      <headerFooter alignWithMargins="0">
        <oddHeader>&amp;RPhụ lục số 4</oddHeader>
      </headerFooter>
    </customSheetView>
  </customSheetViews>
  <mergeCells count="25">
    <mergeCell ref="A1:S1"/>
    <mergeCell ref="A3:A7"/>
    <mergeCell ref="B3:B7"/>
    <mergeCell ref="C3:S3"/>
    <mergeCell ref="C4:C7"/>
    <mergeCell ref="D4:P4"/>
    <mergeCell ref="P6:P7"/>
    <mergeCell ref="J6:J7"/>
    <mergeCell ref="K6:K7"/>
    <mergeCell ref="L6:L7"/>
    <mergeCell ref="E6:E7"/>
    <mergeCell ref="F6:F7"/>
    <mergeCell ref="G6:G7"/>
    <mergeCell ref="H6:H7"/>
    <mergeCell ref="N6:N7"/>
    <mergeCell ref="E5:P5"/>
    <mergeCell ref="O6:O7"/>
    <mergeCell ref="D5:D7"/>
    <mergeCell ref="I6:I7"/>
    <mergeCell ref="M6:M7"/>
    <mergeCell ref="Q4:S4"/>
    <mergeCell ref="Q5:Q7"/>
    <mergeCell ref="R5:S5"/>
    <mergeCell ref="R6:R7"/>
    <mergeCell ref="S6:S7"/>
  </mergeCells>
  <phoneticPr fontId="5" type="noConversion"/>
  <hyperlinks>
    <hyperlink ref="E41" r:id="rId2" display="..\DutoanNSNN2020\Stc\QLDN\Lập dự toán 2020.xls"/>
  </hyperlinks>
  <printOptions horizontalCentered="1"/>
  <pageMargins left="0" right="0" top="0.39370078740157483" bottom="0.19685039370078741" header="0" footer="0"/>
  <pageSetup paperSize="9" scale="51" fitToHeight="2" orientation="landscape" r:id="rId3"/>
  <headerFooter alignWithMargins="0">
    <oddHeader>&amp;RPhụ lục số 4</oddHeader>
  </headerFooter>
  <drawing r:id="rId4"/>
  <legacy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AO51"/>
  <sheetViews>
    <sheetView workbookViewId="0">
      <pane xSplit="5" ySplit="7" topLeftCell="F15" activePane="bottomRight" state="frozen"/>
      <selection activeCell="D13" sqref="D13"/>
      <selection pane="topRight" activeCell="D13" sqref="D13"/>
      <selection pane="bottomLeft" activeCell="D13" sqref="D13"/>
      <selection pane="bottomRight" activeCell="D13" sqref="D13"/>
    </sheetView>
  </sheetViews>
  <sheetFormatPr defaultColWidth="10.625" defaultRowHeight="15.75" x14ac:dyDescent="0.25"/>
  <cols>
    <col min="1" max="1" width="3.375" style="53" bestFit="1" customWidth="1"/>
    <col min="2" max="2" width="51"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41" x14ac:dyDescent="0.25">
      <c r="B1" s="54"/>
      <c r="C1" s="193"/>
      <c r="D1" s="193"/>
      <c r="E1" s="54" t="s">
        <v>1537</v>
      </c>
      <c r="F1" s="193"/>
      <c r="G1" s="193"/>
      <c r="H1" s="193"/>
      <c r="I1" s="193"/>
      <c r="J1" s="193"/>
      <c r="K1" s="193"/>
      <c r="L1" s="193"/>
      <c r="M1" s="193"/>
      <c r="N1" s="193"/>
      <c r="O1" s="193"/>
      <c r="P1" s="193"/>
      <c r="Q1" s="193"/>
      <c r="R1" s="193"/>
      <c r="S1" s="193"/>
      <c r="T1" s="193"/>
      <c r="U1" s="194"/>
      <c r="V1" s="194"/>
      <c r="W1" s="194"/>
      <c r="X1" s="193"/>
      <c r="Y1" s="193"/>
      <c r="AA1" s="55"/>
      <c r="AB1" s="55"/>
      <c r="AC1" s="55"/>
      <c r="AD1" s="54" t="s">
        <v>1537</v>
      </c>
      <c r="AE1" s="55"/>
      <c r="AF1" s="55"/>
      <c r="AG1" s="55"/>
      <c r="AH1" s="55"/>
      <c r="AI1" s="1269"/>
      <c r="AJ1" s="55"/>
      <c r="AK1" s="55"/>
      <c r="AL1" s="55"/>
      <c r="AM1" s="194"/>
      <c r="AN1" s="194"/>
      <c r="AO1" s="194"/>
    </row>
    <row r="2" spans="1:41" x14ac:dyDescent="0.25">
      <c r="D2" s="39"/>
      <c r="E2" s="39"/>
      <c r="F2" s="56"/>
      <c r="T2" s="16"/>
      <c r="U2" s="1477" t="s">
        <v>547</v>
      </c>
      <c r="V2" s="1477"/>
      <c r="W2" s="1477"/>
      <c r="AL2" s="16"/>
      <c r="AM2" s="1478" t="s">
        <v>547</v>
      </c>
      <c r="AN2" s="1478"/>
      <c r="AO2" s="1478"/>
    </row>
    <row r="3" spans="1:41" s="10" customFormat="1" ht="24.75" customHeight="1" x14ac:dyDescent="0.25">
      <c r="A3" s="1476" t="s">
        <v>519</v>
      </c>
      <c r="B3" s="1476" t="s">
        <v>548</v>
      </c>
      <c r="C3" s="1475" t="s">
        <v>549</v>
      </c>
      <c r="D3" s="1475"/>
      <c r="E3" s="1475"/>
      <c r="F3" s="1475" t="s">
        <v>550</v>
      </c>
      <c r="G3" s="1475"/>
      <c r="H3" s="1475"/>
      <c r="I3" s="1475" t="s">
        <v>1523</v>
      </c>
      <c r="J3" s="1475"/>
      <c r="K3" s="1475"/>
      <c r="L3" s="1475" t="s">
        <v>551</v>
      </c>
      <c r="M3" s="1475"/>
      <c r="N3" s="1475"/>
      <c r="O3" s="1475" t="s">
        <v>552</v>
      </c>
      <c r="P3" s="1475"/>
      <c r="Q3" s="1475"/>
      <c r="R3" s="1475" t="s">
        <v>553</v>
      </c>
      <c r="S3" s="1475"/>
      <c r="T3" s="1475"/>
      <c r="U3" s="1475" t="s">
        <v>554</v>
      </c>
      <c r="V3" s="1475"/>
      <c r="W3" s="1475"/>
      <c r="X3" s="1475" t="s">
        <v>555</v>
      </c>
      <c r="Y3" s="1475"/>
      <c r="Z3" s="1475"/>
      <c r="AA3" s="1475" t="s">
        <v>556</v>
      </c>
      <c r="AB3" s="1475"/>
      <c r="AC3" s="1475"/>
      <c r="AD3" s="1475" t="s">
        <v>557</v>
      </c>
      <c r="AE3" s="1475"/>
      <c r="AF3" s="1475"/>
      <c r="AG3" s="1475" t="s">
        <v>558</v>
      </c>
      <c r="AH3" s="1475"/>
      <c r="AI3" s="1475"/>
      <c r="AJ3" s="1475" t="s">
        <v>146</v>
      </c>
      <c r="AK3" s="1475"/>
      <c r="AL3" s="1475"/>
      <c r="AM3" s="1475" t="s">
        <v>559</v>
      </c>
      <c r="AN3" s="1475"/>
      <c r="AO3" s="1475"/>
    </row>
    <row r="4" spans="1:41" s="32" customFormat="1" ht="27.75" customHeight="1" x14ac:dyDescent="0.25">
      <c r="A4" s="1476"/>
      <c r="B4" s="1476"/>
      <c r="C4" s="195" t="s">
        <v>560</v>
      </c>
      <c r="D4" s="195" t="s">
        <v>561</v>
      </c>
      <c r="E4" s="195" t="s">
        <v>562</v>
      </c>
      <c r="F4" s="195" t="s">
        <v>560</v>
      </c>
      <c r="G4" s="195" t="s">
        <v>561</v>
      </c>
      <c r="H4" s="195" t="s">
        <v>562</v>
      </c>
      <c r="I4" s="195" t="s">
        <v>560</v>
      </c>
      <c r="J4" s="195" t="s">
        <v>561</v>
      </c>
      <c r="K4" s="195" t="s">
        <v>562</v>
      </c>
      <c r="L4" s="195" t="s">
        <v>560</v>
      </c>
      <c r="M4" s="195" t="s">
        <v>561</v>
      </c>
      <c r="N4" s="195" t="s">
        <v>562</v>
      </c>
      <c r="O4" s="195" t="s">
        <v>560</v>
      </c>
      <c r="P4" s="195" t="s">
        <v>561</v>
      </c>
      <c r="Q4" s="195" t="s">
        <v>562</v>
      </c>
      <c r="R4" s="195" t="s">
        <v>560</v>
      </c>
      <c r="S4" s="195" t="s">
        <v>561</v>
      </c>
      <c r="T4" s="195" t="s">
        <v>562</v>
      </c>
      <c r="U4" s="195" t="s">
        <v>560</v>
      </c>
      <c r="V4" s="195" t="s">
        <v>561</v>
      </c>
      <c r="W4" s="195" t="s">
        <v>562</v>
      </c>
      <c r="X4" s="195" t="s">
        <v>560</v>
      </c>
      <c r="Y4" s="195" t="s">
        <v>561</v>
      </c>
      <c r="Z4" s="195" t="s">
        <v>562</v>
      </c>
      <c r="AA4" s="195" t="s">
        <v>560</v>
      </c>
      <c r="AB4" s="195" t="s">
        <v>561</v>
      </c>
      <c r="AC4" s="195" t="s">
        <v>562</v>
      </c>
      <c r="AD4" s="195" t="s">
        <v>560</v>
      </c>
      <c r="AE4" s="195" t="s">
        <v>561</v>
      </c>
      <c r="AF4" s="195" t="s">
        <v>562</v>
      </c>
      <c r="AG4" s="195" t="s">
        <v>560</v>
      </c>
      <c r="AH4" s="195" t="s">
        <v>561</v>
      </c>
      <c r="AI4" s="195" t="s">
        <v>562</v>
      </c>
      <c r="AJ4" s="195" t="s">
        <v>560</v>
      </c>
      <c r="AK4" s="195" t="s">
        <v>561</v>
      </c>
      <c r="AL4" s="195" t="s">
        <v>562</v>
      </c>
      <c r="AM4" s="195" t="s">
        <v>560</v>
      </c>
      <c r="AN4" s="195" t="s">
        <v>561</v>
      </c>
      <c r="AO4" s="195" t="s">
        <v>562</v>
      </c>
    </row>
    <row r="5" spans="1:41" s="37" customForma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41" s="1195" customForma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41" s="59" customForma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4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4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4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4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4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41" s="61" customForma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41" s="59" customForma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41" s="59" customForma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41" s="59" customForma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x14ac:dyDescent="0.25">
      <c r="A28" s="291" t="s">
        <v>564</v>
      </c>
      <c r="B28" s="218" t="s">
        <v>640</v>
      </c>
      <c r="C28" s="579">
        <f t="shared" ref="C28:C41" si="17">SUM(F28,L28,O28,R28,U28,X28,AA28,AD28,AG28,AJ28,AM28,I28)</f>
        <v>70000</v>
      </c>
      <c r="D28" s="579" t="str">
        <f t="shared" si="16"/>
        <v/>
      </c>
      <c r="E28" s="579">
        <f t="shared" ref="E28:E44"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x14ac:dyDescent="0.25">
      <c r="A32" s="51" t="s">
        <v>421</v>
      </c>
      <c r="B32" s="49" t="s">
        <v>572</v>
      </c>
      <c r="C32" s="577">
        <f t="shared" si="17"/>
        <v>4537585</v>
      </c>
      <c r="D32" s="578"/>
      <c r="E32" s="577">
        <f t="shared" si="18"/>
        <v>4537585</v>
      </c>
      <c r="F32" s="577">
        <f>F33+F34</f>
        <v>439163</v>
      </c>
      <c r="G32" s="577"/>
      <c r="H32" s="577">
        <f t="shared" ref="H32:H42" si="19">F32</f>
        <v>439163</v>
      </c>
      <c r="I32" s="577">
        <f>I33+I34</f>
        <v>270958</v>
      </c>
      <c r="J32" s="577"/>
      <c r="K32" s="577">
        <f t="shared" ref="K32:K44" si="20">I32</f>
        <v>270958</v>
      </c>
      <c r="L32" s="577">
        <f>L33+L34</f>
        <v>383766</v>
      </c>
      <c r="M32" s="577"/>
      <c r="N32" s="577">
        <f t="shared" ref="N32:N44" si="21">L32</f>
        <v>383766</v>
      </c>
      <c r="O32" s="577">
        <f>O33+O34</f>
        <v>375201</v>
      </c>
      <c r="P32" s="577"/>
      <c r="Q32" s="577">
        <f t="shared" ref="Q32:Q44" si="22">O32</f>
        <v>375201</v>
      </c>
      <c r="R32" s="577">
        <f>R33+R34</f>
        <v>424532</v>
      </c>
      <c r="S32" s="577"/>
      <c r="T32" s="577">
        <f t="shared" ref="T32:T44" si="23">R32</f>
        <v>424532</v>
      </c>
      <c r="U32" s="577">
        <f>U33+U34</f>
        <v>158747</v>
      </c>
      <c r="V32" s="577"/>
      <c r="W32" s="577">
        <f t="shared" ref="W32:W44" si="24">U32</f>
        <v>158747</v>
      </c>
      <c r="X32" s="577">
        <f>X33+X34</f>
        <v>556199</v>
      </c>
      <c r="Y32" s="577"/>
      <c r="Z32" s="577">
        <f t="shared" ref="Z32:Z44" si="25">X32</f>
        <v>556199</v>
      </c>
      <c r="AA32" s="577">
        <f>AA33+AA34</f>
        <v>495897</v>
      </c>
      <c r="AB32" s="577"/>
      <c r="AC32" s="577">
        <f t="shared" ref="AC32:AC44" si="26">AA32</f>
        <v>495897</v>
      </c>
      <c r="AD32" s="577">
        <f>AD33+AD34</f>
        <v>438983</v>
      </c>
      <c r="AE32" s="577"/>
      <c r="AF32" s="577">
        <f t="shared" ref="AF32:AF44" si="27">AD32</f>
        <v>438983</v>
      </c>
      <c r="AG32" s="577">
        <f>AG33+AG34</f>
        <v>419526</v>
      </c>
      <c r="AH32" s="577"/>
      <c r="AI32" s="577">
        <f t="shared" ref="AI32:AI44" si="28">AG32</f>
        <v>419526</v>
      </c>
      <c r="AJ32" s="577">
        <f>AJ33+AJ34</f>
        <v>198029</v>
      </c>
      <c r="AK32" s="577"/>
      <c r="AL32" s="577">
        <f t="shared" ref="AL32:AL44" si="29">AJ32</f>
        <v>198029</v>
      </c>
      <c r="AM32" s="577">
        <f>AM33+AM34</f>
        <v>376584</v>
      </c>
      <c r="AN32" s="577"/>
      <c r="AO32" s="577">
        <f t="shared" ref="AO32:AO44" si="30">AM32</f>
        <v>376584</v>
      </c>
    </row>
    <row r="33" spans="1:41" s="61" customForma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x14ac:dyDescent="0.25">
      <c r="A34" s="51">
        <v>2</v>
      </c>
      <c r="B34" s="49" t="s">
        <v>574</v>
      </c>
      <c r="C34" s="577">
        <f t="shared" ref="C34:C40" si="31">SUM(F34,L34,O34,R34,U34,X34,AA34,AD34,AG34,AJ34,AM34,I34)</f>
        <v>1072734</v>
      </c>
      <c r="D34" s="577"/>
      <c r="E34" s="577">
        <f t="shared" ref="E34:E40" si="32">SUM(H34,N34,Q34,T34,W34,Z34,AC34,AF34,AI34,AL34,AO34,K34)</f>
        <v>1072734</v>
      </c>
      <c r="F34" s="577">
        <f>SUM(F35:G48)</f>
        <v>94282</v>
      </c>
      <c r="G34" s="577"/>
      <c r="H34" s="577">
        <f t="shared" si="19"/>
        <v>94282</v>
      </c>
      <c r="I34" s="577">
        <f>SUM(I35:J48)</f>
        <v>79543</v>
      </c>
      <c r="J34" s="577"/>
      <c r="K34" s="577">
        <f t="shared" si="20"/>
        <v>79543</v>
      </c>
      <c r="L34" s="577">
        <f>SUM(L35:M48)</f>
        <v>78247</v>
      </c>
      <c r="M34" s="577"/>
      <c r="N34" s="577">
        <f t="shared" si="21"/>
        <v>78247</v>
      </c>
      <c r="O34" s="577">
        <f>SUM(O35:P48)</f>
        <v>114714</v>
      </c>
      <c r="P34" s="577"/>
      <c r="Q34" s="577">
        <f t="shared" si="22"/>
        <v>114714</v>
      </c>
      <c r="R34" s="577">
        <f>SUM(R35:S48)</f>
        <v>89629</v>
      </c>
      <c r="S34" s="577"/>
      <c r="T34" s="577">
        <f t="shared" si="23"/>
        <v>89629</v>
      </c>
      <c r="U34" s="577">
        <f>SUM(U35:V48)</f>
        <v>42550</v>
      </c>
      <c r="V34" s="577"/>
      <c r="W34" s="577">
        <f t="shared" si="24"/>
        <v>42550</v>
      </c>
      <c r="X34" s="577">
        <f>SUM(X35:Y48)</f>
        <v>130477</v>
      </c>
      <c r="Y34" s="577"/>
      <c r="Z34" s="577">
        <f t="shared" si="25"/>
        <v>130477</v>
      </c>
      <c r="AA34" s="577">
        <f>SUM(AA35:AB48)</f>
        <v>132128</v>
      </c>
      <c r="AB34" s="577"/>
      <c r="AC34" s="577">
        <f t="shared" si="26"/>
        <v>132128</v>
      </c>
      <c r="AD34" s="577">
        <f>SUM(AD35:AE48)</f>
        <v>95444</v>
      </c>
      <c r="AE34" s="577"/>
      <c r="AF34" s="577">
        <f t="shared" si="27"/>
        <v>95444</v>
      </c>
      <c r="AG34" s="577">
        <f>SUM(AG35:AH48)</f>
        <v>95667</v>
      </c>
      <c r="AH34" s="577"/>
      <c r="AI34" s="577">
        <f t="shared" si="28"/>
        <v>95667</v>
      </c>
      <c r="AJ34" s="577">
        <f>SUM(AJ35:AK48)</f>
        <v>38930</v>
      </c>
      <c r="AK34" s="577"/>
      <c r="AL34" s="577">
        <f t="shared" si="29"/>
        <v>38930</v>
      </c>
      <c r="AM34" s="577">
        <f>SUM(AM35:AN48)</f>
        <v>81123</v>
      </c>
      <c r="AN34" s="577"/>
      <c r="AO34" s="577">
        <f t="shared" si="30"/>
        <v>81123</v>
      </c>
    </row>
    <row r="35" spans="1:41" s="61" customFormat="1" x14ac:dyDescent="0.25">
      <c r="A35" s="60" t="s">
        <v>564</v>
      </c>
      <c r="B35" s="788" t="s">
        <v>1479</v>
      </c>
      <c r="C35" s="578">
        <f t="shared" si="31"/>
        <v>508829</v>
      </c>
      <c r="D35" s="578"/>
      <c r="E35" s="578">
        <f t="shared" si="32"/>
        <v>508829</v>
      </c>
      <c r="F35" s="578">
        <f>'Chi NSH'!P11</f>
        <v>59799</v>
      </c>
      <c r="G35" s="578"/>
      <c r="H35" s="578">
        <f t="shared" ref="H35:H40" si="33">F35</f>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x14ac:dyDescent="0.25">
      <c r="A36" s="250" t="s">
        <v>564</v>
      </c>
      <c r="B36" s="339" t="s">
        <v>686</v>
      </c>
      <c r="C36" s="578">
        <f t="shared" si="31"/>
        <v>104088</v>
      </c>
      <c r="D36" s="578"/>
      <c r="E36" s="578">
        <f t="shared" si="32"/>
        <v>104088</v>
      </c>
      <c r="F36" s="578">
        <f>'Chi NSH'!P16</f>
        <v>10406</v>
      </c>
      <c r="G36" s="578"/>
      <c r="H36" s="578">
        <f t="shared" si="33"/>
        <v>10406</v>
      </c>
      <c r="I36" s="578">
        <f>'Chi NSH'!X16</f>
        <v>5191</v>
      </c>
      <c r="J36" s="578"/>
      <c r="K36" s="578">
        <f t="shared" si="20"/>
        <v>5191</v>
      </c>
      <c r="L36" s="578">
        <f>'Chi NSH'!AF16</f>
        <v>0</v>
      </c>
      <c r="M36" s="578"/>
      <c r="N36" s="578">
        <f t="shared" si="21"/>
        <v>0</v>
      </c>
      <c r="O36" s="578">
        <f>'Chi NSH'!AN16</f>
        <v>2619</v>
      </c>
      <c r="P36" s="578"/>
      <c r="Q36" s="578">
        <f t="shared" si="22"/>
        <v>2619</v>
      </c>
      <c r="R36" s="578">
        <f>'Chi NSH'!AV16</f>
        <v>13595</v>
      </c>
      <c r="S36" s="578"/>
      <c r="T36" s="578">
        <f t="shared" si="23"/>
        <v>13595</v>
      </c>
      <c r="U36" s="578">
        <f>'Chi NSH'!BD16</f>
        <v>0</v>
      </c>
      <c r="V36" s="578"/>
      <c r="W36" s="578">
        <f t="shared" si="24"/>
        <v>0</v>
      </c>
      <c r="X36" s="578">
        <f>'Chi NSH'!BL16</f>
        <v>18949</v>
      </c>
      <c r="Y36" s="578"/>
      <c r="Z36" s="578">
        <f t="shared" si="25"/>
        <v>18949</v>
      </c>
      <c r="AA36" s="578">
        <f>'Chi NSH'!BT16</f>
        <v>9881</v>
      </c>
      <c r="AB36" s="578"/>
      <c r="AC36" s="578">
        <f t="shared" si="26"/>
        <v>9881</v>
      </c>
      <c r="AD36" s="578">
        <f>'Chi NSH'!CB16</f>
        <v>16598</v>
      </c>
      <c r="AE36" s="578"/>
      <c r="AF36" s="578">
        <f t="shared" si="27"/>
        <v>16598</v>
      </c>
      <c r="AG36" s="578">
        <f>'Chi NSH'!CJ16</f>
        <v>13311</v>
      </c>
      <c r="AH36" s="578"/>
      <c r="AI36" s="578">
        <f t="shared" si="28"/>
        <v>13311</v>
      </c>
      <c r="AJ36" s="578">
        <f>'Chi NSH'!CR16</f>
        <v>0</v>
      </c>
      <c r="AK36" s="578"/>
      <c r="AL36" s="578">
        <f t="shared" si="29"/>
        <v>0</v>
      </c>
      <c r="AM36" s="578">
        <f>'Chi NSH'!CZ16</f>
        <v>13538</v>
      </c>
      <c r="AN36" s="578"/>
      <c r="AO36" s="578">
        <f t="shared" si="30"/>
        <v>13538</v>
      </c>
    </row>
    <row r="37" spans="1:41" s="61" customFormat="1" x14ac:dyDescent="0.25">
      <c r="A37" s="250" t="s">
        <v>564</v>
      </c>
      <c r="B37" s="339" t="s">
        <v>1214</v>
      </c>
      <c r="C37" s="578">
        <f t="shared" si="31"/>
        <v>9704</v>
      </c>
      <c r="D37" s="578"/>
      <c r="E37" s="578">
        <f t="shared" si="32"/>
        <v>9704</v>
      </c>
      <c r="F37" s="578">
        <f>'Chi NSH'!P17</f>
        <v>1012</v>
      </c>
      <c r="G37" s="578"/>
      <c r="H37" s="578">
        <f t="shared" si="33"/>
        <v>1012</v>
      </c>
      <c r="I37" s="578">
        <f>'Chi NSH'!X17</f>
        <v>628</v>
      </c>
      <c r="J37" s="578"/>
      <c r="K37" s="578">
        <f t="shared" si="20"/>
        <v>628</v>
      </c>
      <c r="L37" s="578">
        <f>'Chi NSH'!AF17</f>
        <v>806</v>
      </c>
      <c r="M37" s="578"/>
      <c r="N37" s="578">
        <f t="shared" si="21"/>
        <v>806</v>
      </c>
      <c r="O37" s="578">
        <f>'Chi NSH'!AN17</f>
        <v>1096</v>
      </c>
      <c r="P37" s="578"/>
      <c r="Q37" s="578">
        <f t="shared" si="22"/>
        <v>1096</v>
      </c>
      <c r="R37" s="578">
        <f>'Chi NSH'!AV17</f>
        <v>1174</v>
      </c>
      <c r="S37" s="578"/>
      <c r="T37" s="578">
        <f t="shared" si="23"/>
        <v>1174</v>
      </c>
      <c r="U37" s="578">
        <f>'Chi NSH'!BD17</f>
        <v>0</v>
      </c>
      <c r="V37" s="578"/>
      <c r="W37" s="578">
        <f t="shared" si="24"/>
        <v>0</v>
      </c>
      <c r="X37" s="578">
        <f>'Chi NSH'!BL17</f>
        <v>1644</v>
      </c>
      <c r="Y37" s="578"/>
      <c r="Z37" s="578">
        <f t="shared" si="25"/>
        <v>1644</v>
      </c>
      <c r="AA37" s="578">
        <f>'Chi NSH'!BT17</f>
        <v>1160</v>
      </c>
      <c r="AB37" s="578"/>
      <c r="AC37" s="578">
        <f t="shared" si="26"/>
        <v>1160</v>
      </c>
      <c r="AD37" s="578">
        <f>'Chi NSH'!CB17</f>
        <v>0</v>
      </c>
      <c r="AE37" s="578"/>
      <c r="AF37" s="578">
        <f t="shared" si="27"/>
        <v>0</v>
      </c>
      <c r="AG37" s="578">
        <f>'Chi NSH'!CJ17</f>
        <v>1088</v>
      </c>
      <c r="AH37" s="578"/>
      <c r="AI37" s="578">
        <f t="shared" si="28"/>
        <v>1088</v>
      </c>
      <c r="AJ37" s="578">
        <f>'Chi NSH'!CR17</f>
        <v>0</v>
      </c>
      <c r="AK37" s="578"/>
      <c r="AL37" s="578">
        <f t="shared" si="29"/>
        <v>0</v>
      </c>
      <c r="AM37" s="578">
        <f>'Chi NSH'!CZ17</f>
        <v>1096</v>
      </c>
      <c r="AN37" s="578"/>
      <c r="AO37" s="578">
        <f t="shared" si="30"/>
        <v>1096</v>
      </c>
    </row>
    <row r="38" spans="1:41" s="61" customFormat="1" x14ac:dyDescent="0.25">
      <c r="A38" s="250" t="s">
        <v>564</v>
      </c>
      <c r="B38" s="339" t="s">
        <v>1649</v>
      </c>
      <c r="C38" s="578">
        <f t="shared" si="31"/>
        <v>3600</v>
      </c>
      <c r="D38" s="578"/>
      <c r="E38" s="578">
        <f t="shared" si="32"/>
        <v>3600</v>
      </c>
      <c r="F38" s="578">
        <f>'Chi NSH'!P18</f>
        <v>400</v>
      </c>
      <c r="G38" s="578"/>
      <c r="H38" s="578">
        <f t="shared" si="33"/>
        <v>400</v>
      </c>
      <c r="I38" s="578">
        <f>'Chi NSH'!X18</f>
        <v>400</v>
      </c>
      <c r="J38" s="578"/>
      <c r="K38" s="578">
        <f t="shared" si="20"/>
        <v>400</v>
      </c>
      <c r="L38" s="578">
        <f>'Chi NSH'!AF18</f>
        <v>400</v>
      </c>
      <c r="M38" s="578"/>
      <c r="N38" s="578">
        <f t="shared" si="21"/>
        <v>400</v>
      </c>
      <c r="O38" s="578">
        <f>'Chi NSH'!AN18</f>
        <v>400</v>
      </c>
      <c r="P38" s="578"/>
      <c r="Q38" s="578">
        <f t="shared" si="22"/>
        <v>400</v>
      </c>
      <c r="R38" s="578">
        <f>'Chi NSH'!AV18</f>
        <v>400</v>
      </c>
      <c r="S38" s="578"/>
      <c r="T38" s="578">
        <f t="shared" si="23"/>
        <v>400</v>
      </c>
      <c r="U38" s="578">
        <f>'Chi NSH'!BD18</f>
        <v>0</v>
      </c>
      <c r="V38" s="578"/>
      <c r="W38" s="578">
        <f t="shared" si="24"/>
        <v>0</v>
      </c>
      <c r="X38" s="578">
        <f>'Chi NSH'!BL18</f>
        <v>0</v>
      </c>
      <c r="Y38" s="578"/>
      <c r="Z38" s="578">
        <f t="shared" si="25"/>
        <v>0</v>
      </c>
      <c r="AA38" s="578">
        <f>'Chi NSH'!BT18</f>
        <v>400</v>
      </c>
      <c r="AB38" s="578"/>
      <c r="AC38" s="578">
        <f t="shared" si="26"/>
        <v>400</v>
      </c>
      <c r="AD38" s="578">
        <f>'Chi NSH'!CB18</f>
        <v>400</v>
      </c>
      <c r="AE38" s="578"/>
      <c r="AF38" s="578">
        <f t="shared" si="27"/>
        <v>400</v>
      </c>
      <c r="AG38" s="578">
        <f>'Chi NSH'!CJ18</f>
        <v>400</v>
      </c>
      <c r="AH38" s="578"/>
      <c r="AI38" s="578">
        <f t="shared" si="28"/>
        <v>400</v>
      </c>
      <c r="AJ38" s="578">
        <f>'Chi NSH'!CR18</f>
        <v>0</v>
      </c>
      <c r="AK38" s="578"/>
      <c r="AL38" s="578">
        <f t="shared" si="29"/>
        <v>0</v>
      </c>
      <c r="AM38" s="578">
        <f>'Chi NSH'!CZ18</f>
        <v>400</v>
      </c>
      <c r="AN38" s="578"/>
      <c r="AO38" s="578">
        <f t="shared" si="30"/>
        <v>400</v>
      </c>
    </row>
    <row r="39" spans="1:41" s="61" customFormat="1" x14ac:dyDescent="0.25">
      <c r="A39" s="250" t="s">
        <v>564</v>
      </c>
      <c r="B39" s="339" t="s">
        <v>1220</v>
      </c>
      <c r="C39" s="578">
        <f t="shared" si="31"/>
        <v>8860</v>
      </c>
      <c r="D39" s="578"/>
      <c r="E39" s="578">
        <f t="shared" si="32"/>
        <v>8860</v>
      </c>
      <c r="F39" s="578">
        <f>'Chi NSH'!P19</f>
        <v>700</v>
      </c>
      <c r="G39" s="578"/>
      <c r="H39" s="578">
        <f t="shared" si="33"/>
        <v>700</v>
      </c>
      <c r="I39" s="578">
        <f>'Chi NSH'!X19</f>
        <v>640</v>
      </c>
      <c r="J39" s="578"/>
      <c r="K39" s="578">
        <f t="shared" si="20"/>
        <v>640</v>
      </c>
      <c r="L39" s="578">
        <f>'Chi NSH'!AF19</f>
        <v>680</v>
      </c>
      <c r="M39" s="578"/>
      <c r="N39" s="578">
        <f t="shared" si="21"/>
        <v>680</v>
      </c>
      <c r="O39" s="578">
        <f>'Chi NSH'!AN19</f>
        <v>740</v>
      </c>
      <c r="P39" s="578"/>
      <c r="Q39" s="578">
        <f t="shared" si="22"/>
        <v>740</v>
      </c>
      <c r="R39" s="578">
        <f>'Chi NSH'!AV19</f>
        <v>760</v>
      </c>
      <c r="S39" s="578"/>
      <c r="T39" s="578">
        <f t="shared" si="23"/>
        <v>760</v>
      </c>
      <c r="U39" s="578">
        <f>'Chi NSH'!BD19</f>
        <v>800</v>
      </c>
      <c r="V39" s="578"/>
      <c r="W39" s="578">
        <f t="shared" si="24"/>
        <v>800</v>
      </c>
      <c r="X39" s="578">
        <f>'Chi NSH'!BL19</f>
        <v>860</v>
      </c>
      <c r="Y39" s="578"/>
      <c r="Z39" s="578">
        <f t="shared" si="25"/>
        <v>860</v>
      </c>
      <c r="AA39" s="578">
        <f>'Chi NSH'!BT19</f>
        <v>760</v>
      </c>
      <c r="AB39" s="578"/>
      <c r="AC39" s="578">
        <f t="shared" si="26"/>
        <v>760</v>
      </c>
      <c r="AD39" s="578">
        <f>'Chi NSH'!CB19</f>
        <v>760</v>
      </c>
      <c r="AE39" s="578"/>
      <c r="AF39" s="578">
        <f t="shared" si="27"/>
        <v>760</v>
      </c>
      <c r="AG39" s="578">
        <f>'Chi NSH'!CJ19</f>
        <v>740</v>
      </c>
      <c r="AH39" s="578"/>
      <c r="AI39" s="578">
        <f t="shared" si="28"/>
        <v>740</v>
      </c>
      <c r="AJ39" s="578">
        <f>'Chi NSH'!CR19</f>
        <v>680</v>
      </c>
      <c r="AK39" s="578"/>
      <c r="AL39" s="578">
        <f t="shared" si="29"/>
        <v>680</v>
      </c>
      <c r="AM39" s="578">
        <f>'Chi NSH'!CZ19</f>
        <v>740</v>
      </c>
      <c r="AN39" s="578"/>
      <c r="AO39" s="578">
        <f t="shared" si="30"/>
        <v>740</v>
      </c>
    </row>
    <row r="40" spans="1:41" s="61" customFormat="1" hidden="1" x14ac:dyDescent="0.25">
      <c r="A40" s="250"/>
      <c r="B40" s="339"/>
      <c r="C40" s="578">
        <f t="shared" si="31"/>
        <v>0</v>
      </c>
      <c r="D40" s="578"/>
      <c r="E40" s="578">
        <f t="shared" si="32"/>
        <v>0</v>
      </c>
      <c r="F40" s="578">
        <f>'Chi NSH'!P20</f>
        <v>0</v>
      </c>
      <c r="G40" s="578"/>
      <c r="H40" s="578">
        <f t="shared" si="33"/>
        <v>0</v>
      </c>
      <c r="I40" s="578">
        <f>'Chi NSH'!X20</f>
        <v>0</v>
      </c>
      <c r="J40" s="578"/>
      <c r="K40" s="578">
        <f t="shared" si="20"/>
        <v>0</v>
      </c>
      <c r="L40" s="578">
        <f>'Chi NSH'!AF20</f>
        <v>0</v>
      </c>
      <c r="M40" s="578"/>
      <c r="N40" s="578">
        <f t="shared" si="21"/>
        <v>0</v>
      </c>
      <c r="O40" s="578">
        <f>'Chi NSH'!AN20</f>
        <v>0</v>
      </c>
      <c r="P40" s="578"/>
      <c r="Q40" s="578">
        <f t="shared" si="22"/>
        <v>0</v>
      </c>
      <c r="R40" s="578">
        <f>'Chi NSH'!AV20</f>
        <v>0</v>
      </c>
      <c r="S40" s="578"/>
      <c r="T40" s="578">
        <f t="shared" si="23"/>
        <v>0</v>
      </c>
      <c r="U40" s="578">
        <f>'Chi NSH'!BD20</f>
        <v>0</v>
      </c>
      <c r="V40" s="578"/>
      <c r="W40" s="578">
        <f t="shared" si="24"/>
        <v>0</v>
      </c>
      <c r="X40" s="578">
        <f>'Chi NSH'!BL20</f>
        <v>0</v>
      </c>
      <c r="Y40" s="578"/>
      <c r="Z40" s="578">
        <f t="shared" si="25"/>
        <v>0</v>
      </c>
      <c r="AA40" s="578">
        <f>'Chi NSH'!BT20</f>
        <v>0</v>
      </c>
      <c r="AB40" s="578"/>
      <c r="AC40" s="578">
        <f t="shared" si="26"/>
        <v>0</v>
      </c>
      <c r="AD40" s="578">
        <f>'Chi NSH'!CB20</f>
        <v>0</v>
      </c>
      <c r="AE40" s="578"/>
      <c r="AF40" s="578">
        <f t="shared" si="27"/>
        <v>0</v>
      </c>
      <c r="AG40" s="578">
        <f>'Chi NSH'!CJ20</f>
        <v>0</v>
      </c>
      <c r="AH40" s="578"/>
      <c r="AI40" s="578">
        <f t="shared" si="28"/>
        <v>0</v>
      </c>
      <c r="AJ40" s="578">
        <f>'Chi NSH'!CR20</f>
        <v>0</v>
      </c>
      <c r="AK40" s="578"/>
      <c r="AL40" s="578">
        <f t="shared" si="29"/>
        <v>0</v>
      </c>
      <c r="AM40" s="578">
        <f>'Chi NSH'!CZ20</f>
        <v>0</v>
      </c>
      <c r="AN40" s="578"/>
      <c r="AO40" s="578">
        <f t="shared" si="30"/>
        <v>0</v>
      </c>
    </row>
    <row r="41" spans="1:41" x14ac:dyDescent="0.25">
      <c r="A41" s="60" t="s">
        <v>564</v>
      </c>
      <c r="B41" s="1196" t="s">
        <v>605</v>
      </c>
      <c r="C41" s="578">
        <f t="shared" si="17"/>
        <v>317798</v>
      </c>
      <c r="D41" s="578"/>
      <c r="E41" s="578">
        <f t="shared" si="18"/>
        <v>317798</v>
      </c>
      <c r="F41" s="578">
        <f>'Chi NSH'!P21</f>
        <v>18800</v>
      </c>
      <c r="G41" s="578"/>
      <c r="H41" s="578">
        <f t="shared" si="19"/>
        <v>18800</v>
      </c>
      <c r="I41" s="578">
        <f>'Chi NSH'!X21</f>
        <v>13300</v>
      </c>
      <c r="J41" s="578"/>
      <c r="K41" s="578">
        <f t="shared" si="20"/>
        <v>13300</v>
      </c>
      <c r="L41" s="578">
        <f>'Chi NSH'!AF21</f>
        <v>34100</v>
      </c>
      <c r="M41" s="578"/>
      <c r="N41" s="578">
        <f t="shared" si="21"/>
        <v>34100</v>
      </c>
      <c r="O41" s="578">
        <f>'Chi NSH'!AN21</f>
        <v>45900</v>
      </c>
      <c r="P41" s="578"/>
      <c r="Q41" s="578">
        <f t="shared" si="22"/>
        <v>45900</v>
      </c>
      <c r="R41" s="578">
        <f>'Chi NSH'!AV21</f>
        <v>32298</v>
      </c>
      <c r="S41" s="578"/>
      <c r="T41" s="578">
        <f t="shared" si="23"/>
        <v>32298</v>
      </c>
      <c r="U41" s="578">
        <f>'Chi NSH'!BD21</f>
        <v>8000</v>
      </c>
      <c r="V41" s="578"/>
      <c r="W41" s="578">
        <f t="shared" si="24"/>
        <v>8000</v>
      </c>
      <c r="X41" s="578">
        <f>'Chi NSH'!BL21</f>
        <v>47400</v>
      </c>
      <c r="Y41" s="578"/>
      <c r="Z41" s="578">
        <f t="shared" si="25"/>
        <v>47400</v>
      </c>
      <c r="AA41" s="578">
        <f>'Chi NSH'!BT21</f>
        <v>61600</v>
      </c>
      <c r="AB41" s="578"/>
      <c r="AC41" s="578">
        <f t="shared" si="26"/>
        <v>61600</v>
      </c>
      <c r="AD41" s="578">
        <f>'Chi NSH'!CB21</f>
        <v>15900</v>
      </c>
      <c r="AE41" s="578"/>
      <c r="AF41" s="578">
        <f t="shared" si="27"/>
        <v>15900</v>
      </c>
      <c r="AG41" s="578">
        <f>'Chi NSH'!CJ21</f>
        <v>18300</v>
      </c>
      <c r="AH41" s="578"/>
      <c r="AI41" s="578">
        <f t="shared" si="28"/>
        <v>18300</v>
      </c>
      <c r="AJ41" s="578">
        <f>'Chi NSH'!CR21</f>
        <v>4500</v>
      </c>
      <c r="AK41" s="578"/>
      <c r="AL41" s="578">
        <f t="shared" si="29"/>
        <v>4500</v>
      </c>
      <c r="AM41" s="578">
        <f>'Chi NSH'!CZ21</f>
        <v>17700</v>
      </c>
      <c r="AN41" s="578"/>
      <c r="AO41" s="578">
        <f t="shared" si="30"/>
        <v>17700</v>
      </c>
    </row>
    <row r="42" spans="1:41" x14ac:dyDescent="0.25">
      <c r="A42" s="250" t="s">
        <v>564</v>
      </c>
      <c r="B42" s="1196" t="s">
        <v>933</v>
      </c>
      <c r="C42" s="578">
        <f>SUM(F42,L42,O42,R42,U42,X42,AA42,AD42,AG42,AJ42,AM42,I42)</f>
        <v>76750</v>
      </c>
      <c r="D42" s="578"/>
      <c r="E42" s="578">
        <f t="shared" si="18"/>
        <v>76750</v>
      </c>
      <c r="F42" s="578">
        <f>'Chi NSH'!P22</f>
        <v>0</v>
      </c>
      <c r="G42" s="578"/>
      <c r="H42" s="578">
        <f t="shared" si="19"/>
        <v>0</v>
      </c>
      <c r="I42" s="578">
        <f>'Chi NSH'!X22</f>
        <v>4250</v>
      </c>
      <c r="J42" s="578"/>
      <c r="K42" s="578">
        <f t="shared" si="20"/>
        <v>4250</v>
      </c>
      <c r="L42" s="578">
        <f>'Chi NSH'!AF22</f>
        <v>0</v>
      </c>
      <c r="M42" s="578"/>
      <c r="N42" s="578">
        <f t="shared" si="21"/>
        <v>0</v>
      </c>
      <c r="O42" s="578">
        <f>'Chi NSH'!AN22</f>
        <v>0</v>
      </c>
      <c r="P42" s="578"/>
      <c r="Q42" s="578">
        <f t="shared" si="22"/>
        <v>0</v>
      </c>
      <c r="R42" s="578">
        <f>'Chi NSH'!AV22</f>
        <v>0</v>
      </c>
      <c r="S42" s="578"/>
      <c r="T42" s="578">
        <f t="shared" si="23"/>
        <v>0</v>
      </c>
      <c r="U42" s="578">
        <f>'Chi NSH'!BD22</f>
        <v>33750</v>
      </c>
      <c r="V42" s="578"/>
      <c r="W42" s="578">
        <f t="shared" si="24"/>
        <v>33750</v>
      </c>
      <c r="X42" s="578">
        <f>'Chi NSH'!BL22</f>
        <v>0</v>
      </c>
      <c r="Y42" s="578"/>
      <c r="Z42" s="578">
        <f t="shared" si="25"/>
        <v>0</v>
      </c>
      <c r="AA42" s="578">
        <f>'Chi NSH'!BT22</f>
        <v>0</v>
      </c>
      <c r="AB42" s="578"/>
      <c r="AC42" s="578">
        <f t="shared" si="26"/>
        <v>0</v>
      </c>
      <c r="AD42" s="578">
        <f>'Chi NSH'!CB22</f>
        <v>0</v>
      </c>
      <c r="AE42" s="578"/>
      <c r="AF42" s="578">
        <f t="shared" si="27"/>
        <v>0</v>
      </c>
      <c r="AG42" s="578">
        <f>'Chi NSH'!CJ22</f>
        <v>5000</v>
      </c>
      <c r="AH42" s="578"/>
      <c r="AI42" s="578">
        <f t="shared" si="28"/>
        <v>5000</v>
      </c>
      <c r="AJ42" s="578">
        <f>'Chi NSH'!CR22</f>
        <v>33750</v>
      </c>
      <c r="AK42" s="578"/>
      <c r="AL42" s="578">
        <f t="shared" si="29"/>
        <v>33750</v>
      </c>
      <c r="AM42" s="578">
        <f>'Chi NSH'!CZ22</f>
        <v>0</v>
      </c>
      <c r="AN42" s="578"/>
      <c r="AO42" s="578">
        <f t="shared" si="30"/>
        <v>0</v>
      </c>
    </row>
    <row r="43" spans="1:41" x14ac:dyDescent="0.25">
      <c r="A43" s="250" t="s">
        <v>564</v>
      </c>
      <c r="B43" s="339" t="s">
        <v>1205</v>
      </c>
      <c r="C43" s="578">
        <f>SUM(F43,L43,O43,R43,U43,X43,AA43,AD43,AG43,AJ43,AM43,I43)</f>
        <v>0</v>
      </c>
      <c r="D43" s="578"/>
      <c r="E43" s="578">
        <f t="shared" si="18"/>
        <v>0</v>
      </c>
      <c r="F43" s="578">
        <f>'Chi NSH'!P23</f>
        <v>0</v>
      </c>
      <c r="G43" s="578"/>
      <c r="H43" s="578">
        <f t="shared" ref="H43:H49" si="34">F43</f>
        <v>0</v>
      </c>
      <c r="I43" s="578">
        <f>'Chi NSH'!X23</f>
        <v>0</v>
      </c>
      <c r="J43" s="578"/>
      <c r="K43" s="578">
        <f t="shared" si="20"/>
        <v>0</v>
      </c>
      <c r="L43" s="578">
        <f>'Chi NSH'!AF23</f>
        <v>0</v>
      </c>
      <c r="M43" s="578"/>
      <c r="N43" s="578">
        <f t="shared" si="21"/>
        <v>0</v>
      </c>
      <c r="O43" s="578">
        <f>'Chi NSH'!AN23</f>
        <v>0</v>
      </c>
      <c r="P43" s="578"/>
      <c r="Q43" s="578">
        <f t="shared" si="22"/>
        <v>0</v>
      </c>
      <c r="R43" s="578">
        <f>'Chi NSH'!AV23</f>
        <v>0</v>
      </c>
      <c r="S43" s="578"/>
      <c r="T43" s="578">
        <f t="shared" si="23"/>
        <v>0</v>
      </c>
      <c r="U43" s="578">
        <f>'Chi NSH'!BD23</f>
        <v>0</v>
      </c>
      <c r="V43" s="578"/>
      <c r="W43" s="578">
        <f t="shared" si="24"/>
        <v>0</v>
      </c>
      <c r="X43" s="578">
        <f>'Chi NSH'!BL23</f>
        <v>0</v>
      </c>
      <c r="Y43" s="578"/>
      <c r="Z43" s="578">
        <f t="shared" si="25"/>
        <v>0</v>
      </c>
      <c r="AA43" s="578">
        <f>'Chi NSH'!BT23</f>
        <v>0</v>
      </c>
      <c r="AB43" s="578"/>
      <c r="AC43" s="578">
        <f t="shared" si="26"/>
        <v>0</v>
      </c>
      <c r="AD43" s="578">
        <f>'Chi NSH'!CB23</f>
        <v>0</v>
      </c>
      <c r="AE43" s="578"/>
      <c r="AF43" s="578">
        <f t="shared" si="27"/>
        <v>0</v>
      </c>
      <c r="AG43" s="578">
        <f>'Chi NSH'!CJ23</f>
        <v>0</v>
      </c>
      <c r="AH43" s="578"/>
      <c r="AI43" s="578">
        <f t="shared" si="28"/>
        <v>0</v>
      </c>
      <c r="AJ43" s="578">
        <f>'Chi NSH'!CR23</f>
        <v>0</v>
      </c>
      <c r="AK43" s="578"/>
      <c r="AL43" s="578">
        <f t="shared" si="29"/>
        <v>0</v>
      </c>
      <c r="AM43" s="578">
        <f>'Chi NSH'!CZ23</f>
        <v>0</v>
      </c>
      <c r="AN43" s="578"/>
      <c r="AO43" s="578">
        <f t="shared" si="30"/>
        <v>0</v>
      </c>
    </row>
    <row r="44" spans="1:41" x14ac:dyDescent="0.25">
      <c r="A44" s="1207" t="s">
        <v>564</v>
      </c>
      <c r="B44" s="232" t="s">
        <v>1529</v>
      </c>
      <c r="C44" s="578">
        <f>SUM(F44,L44,O44,R44,U44,X44,AA44,AD44,AG44,AJ44,AM44,I44)</f>
        <v>43105</v>
      </c>
      <c r="D44" s="578"/>
      <c r="E44" s="578">
        <f t="shared" si="18"/>
        <v>43105</v>
      </c>
      <c r="F44" s="578">
        <f>'Chi NSH'!N24</f>
        <v>3165</v>
      </c>
      <c r="G44" s="578"/>
      <c r="H44" s="578">
        <f t="shared" si="34"/>
        <v>3165</v>
      </c>
      <c r="I44" s="578">
        <f>'Chi NSH'!V24</f>
        <v>16475</v>
      </c>
      <c r="J44" s="578"/>
      <c r="K44" s="578">
        <f t="shared" si="20"/>
        <v>16475</v>
      </c>
      <c r="L44" s="578">
        <f>'Chi NSH'!AD24</f>
        <v>0</v>
      </c>
      <c r="M44" s="578"/>
      <c r="N44" s="578">
        <f t="shared" si="21"/>
        <v>0</v>
      </c>
      <c r="O44" s="578">
        <f>'Chi NSH'!AL24</f>
        <v>6100</v>
      </c>
      <c r="P44" s="578"/>
      <c r="Q44" s="578">
        <f t="shared" si="22"/>
        <v>6100</v>
      </c>
      <c r="R44" s="578">
        <f>'Chi NSH'!AT24</f>
        <v>0</v>
      </c>
      <c r="S44" s="578"/>
      <c r="T44" s="578">
        <f t="shared" si="23"/>
        <v>0</v>
      </c>
      <c r="U44" s="578">
        <f>'Chi NSH'!BB24</f>
        <v>0</v>
      </c>
      <c r="V44" s="578"/>
      <c r="W44" s="578">
        <f t="shared" si="24"/>
        <v>0</v>
      </c>
      <c r="X44" s="578">
        <f>'Chi NSH'!BJ24</f>
        <v>0</v>
      </c>
      <c r="Y44" s="578"/>
      <c r="Z44" s="578">
        <f t="shared" si="25"/>
        <v>0</v>
      </c>
      <c r="AA44" s="578">
        <f>'Chi NSH'!BR24</f>
        <v>0</v>
      </c>
      <c r="AB44" s="578"/>
      <c r="AC44" s="578">
        <f t="shared" si="26"/>
        <v>0</v>
      </c>
      <c r="AD44" s="578">
        <f>'Chi NSH'!BZ24</f>
        <v>15160</v>
      </c>
      <c r="AE44" s="578"/>
      <c r="AF44" s="578">
        <f t="shared" si="27"/>
        <v>15160</v>
      </c>
      <c r="AG44" s="578">
        <f>'Chi NSH'!CH24</f>
        <v>2205</v>
      </c>
      <c r="AH44" s="578"/>
      <c r="AI44" s="578">
        <f t="shared" si="28"/>
        <v>2205</v>
      </c>
      <c r="AJ44" s="578">
        <f>'Chi NSH'!CP24</f>
        <v>0</v>
      </c>
      <c r="AK44" s="578"/>
      <c r="AL44" s="578">
        <f t="shared" si="29"/>
        <v>0</v>
      </c>
      <c r="AM44" s="578">
        <f>'Chi NSH'!CX24</f>
        <v>0</v>
      </c>
      <c r="AN44" s="578"/>
      <c r="AO44" s="578">
        <f t="shared" si="30"/>
        <v>0</v>
      </c>
    </row>
    <row r="45" spans="1:41" hidden="1" x14ac:dyDescent="0.25">
      <c r="A45" s="621"/>
      <c r="B45" s="50"/>
      <c r="C45" s="578"/>
      <c r="D45" s="578"/>
      <c r="E45" s="578"/>
      <c r="F45" s="578"/>
      <c r="G45" s="578"/>
      <c r="H45" s="578">
        <f t="shared" si="34"/>
        <v>0</v>
      </c>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row>
    <row r="46" spans="1:41" hidden="1" x14ac:dyDescent="0.25">
      <c r="A46" s="621"/>
      <c r="B46" s="50"/>
      <c r="C46" s="578"/>
      <c r="D46" s="578"/>
      <c r="E46" s="578"/>
      <c r="F46" s="578"/>
      <c r="G46" s="578"/>
      <c r="H46" s="578">
        <f t="shared" si="34"/>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idden="1" x14ac:dyDescent="0.25">
      <c r="A47" s="623"/>
      <c r="B47" s="624"/>
      <c r="C47" s="578"/>
      <c r="D47" s="578"/>
      <c r="E47" s="578"/>
      <c r="F47" s="578"/>
      <c r="G47" s="578"/>
      <c r="H47" s="578">
        <f t="shared" si="34"/>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s="59" customFormat="1" hidden="1" x14ac:dyDescent="0.25">
      <c r="A48" s="179"/>
      <c r="B48" s="180"/>
      <c r="C48" s="578">
        <f>SUM(F48,L48,O48,R48,U48,X48,AA48,AD48,AG48,AJ48,AM48,I48)</f>
        <v>0</v>
      </c>
      <c r="D48" s="578"/>
      <c r="E48" s="578">
        <f>SUM(H48,N48,Q48,T48,W48,Z48,AC48,AF48,AI48,AL48,AO48,K48)</f>
        <v>0</v>
      </c>
      <c r="F48" s="578"/>
      <c r="G48" s="578"/>
      <c r="H48" s="578">
        <f t="shared" si="34"/>
        <v>0</v>
      </c>
      <c r="I48" s="578"/>
      <c r="J48" s="578"/>
      <c r="K48" s="578">
        <f>I48</f>
        <v>0</v>
      </c>
      <c r="L48" s="578"/>
      <c r="M48" s="578"/>
      <c r="N48" s="578">
        <f>L48</f>
        <v>0</v>
      </c>
      <c r="O48" s="578"/>
      <c r="P48" s="578"/>
      <c r="Q48" s="578">
        <f>O48</f>
        <v>0</v>
      </c>
      <c r="R48" s="578"/>
      <c r="S48" s="578"/>
      <c r="T48" s="578">
        <f>R48</f>
        <v>0</v>
      </c>
      <c r="U48" s="578"/>
      <c r="V48" s="578"/>
      <c r="W48" s="578">
        <f>U48</f>
        <v>0</v>
      </c>
      <c r="X48" s="578"/>
      <c r="Y48" s="578"/>
      <c r="Z48" s="578">
        <f>X48</f>
        <v>0</v>
      </c>
      <c r="AA48" s="578"/>
      <c r="AB48" s="578"/>
      <c r="AC48" s="578">
        <f>AA48</f>
        <v>0</v>
      </c>
      <c r="AD48" s="578"/>
      <c r="AE48" s="578"/>
      <c r="AF48" s="578">
        <f>AD48</f>
        <v>0</v>
      </c>
      <c r="AG48" s="578"/>
      <c r="AH48" s="578"/>
      <c r="AI48" s="578">
        <f>AG48</f>
        <v>0</v>
      </c>
      <c r="AJ48" s="578"/>
      <c r="AK48" s="578"/>
      <c r="AL48" s="578">
        <f>AJ48</f>
        <v>0</v>
      </c>
      <c r="AM48" s="578"/>
      <c r="AN48" s="578"/>
      <c r="AO48" s="578">
        <f>AM48</f>
        <v>0</v>
      </c>
    </row>
    <row r="49" spans="1:41" s="61" customFormat="1" x14ac:dyDescent="0.25">
      <c r="A49" s="51" t="s">
        <v>449</v>
      </c>
      <c r="B49" s="49" t="s">
        <v>1212</v>
      </c>
      <c r="C49" s="577">
        <f>SUM(F49,L49,O49,R49,U49,X49,AA49,AD49,AG49,AJ49,AM49,I49)</f>
        <v>538114</v>
      </c>
      <c r="D49" s="577"/>
      <c r="E49" s="577">
        <f>SUM(H49,N49,Q49,T49,W49,Z49,AC49,AF49,AI49,AL49,AO49,K49)</f>
        <v>538114</v>
      </c>
      <c r="F49" s="577">
        <f>'Chi NSH'!P25</f>
        <v>5467</v>
      </c>
      <c r="G49" s="577"/>
      <c r="H49" s="577">
        <f t="shared" si="34"/>
        <v>5467</v>
      </c>
      <c r="I49" s="577">
        <f>'Chi NSH'!X25</f>
        <v>0</v>
      </c>
      <c r="J49" s="577"/>
      <c r="K49" s="577">
        <f>I49</f>
        <v>0</v>
      </c>
      <c r="L49" s="577">
        <f>'Chi NSH'!AF25</f>
        <v>8754</v>
      </c>
      <c r="M49" s="577"/>
      <c r="N49" s="577">
        <f>L49</f>
        <v>8754</v>
      </c>
      <c r="O49" s="577">
        <f>'Chi NSH'!AN25</f>
        <v>7763</v>
      </c>
      <c r="P49" s="577"/>
      <c r="Q49" s="577">
        <f>O49</f>
        <v>7763</v>
      </c>
      <c r="R49" s="577">
        <f>'Chi NSH'!AV25</f>
        <v>0</v>
      </c>
      <c r="S49" s="577"/>
      <c r="T49" s="577">
        <f>R49</f>
        <v>0</v>
      </c>
      <c r="U49" s="577">
        <f>'Chi NSH'!BD25</f>
        <v>390133</v>
      </c>
      <c r="V49" s="577"/>
      <c r="W49" s="577">
        <f>U49</f>
        <v>390133</v>
      </c>
      <c r="X49" s="577">
        <f>'Chi NSH'!BL25</f>
        <v>0</v>
      </c>
      <c r="Y49" s="577"/>
      <c r="Z49" s="577">
        <f>X49</f>
        <v>0</v>
      </c>
      <c r="AA49" s="577">
        <f>'Chi NSH'!BT25</f>
        <v>0</v>
      </c>
      <c r="AB49" s="577"/>
      <c r="AC49" s="577">
        <f>AA49</f>
        <v>0</v>
      </c>
      <c r="AD49" s="577">
        <f>'Chi NSH'!CB25</f>
        <v>3178</v>
      </c>
      <c r="AE49" s="577"/>
      <c r="AF49" s="577">
        <f>AD49</f>
        <v>3178</v>
      </c>
      <c r="AG49" s="577">
        <f>'Chi NSH'!CJ25</f>
        <v>1112</v>
      </c>
      <c r="AH49" s="577"/>
      <c r="AI49" s="577">
        <f>AG49</f>
        <v>1112</v>
      </c>
      <c r="AJ49" s="577">
        <f>'Chi NSH'!CR25</f>
        <v>119826</v>
      </c>
      <c r="AK49" s="577"/>
      <c r="AL49" s="577">
        <f>AJ49</f>
        <v>119826</v>
      </c>
      <c r="AM49" s="577">
        <f>'Chi NSH'!CZ25</f>
        <v>1881</v>
      </c>
      <c r="AN49" s="577"/>
      <c r="AO49" s="577">
        <f>AM49</f>
        <v>1881</v>
      </c>
    </row>
    <row r="50" spans="1:41" x14ac:dyDescent="0.25">
      <c r="A50" s="62"/>
      <c r="B50" s="62" t="s">
        <v>685</v>
      </c>
      <c r="C50" s="580"/>
      <c r="D50" s="580"/>
      <c r="E50" s="580">
        <f>SUM(H50,N50,Q50,T50,W50,Z50,AC50,AF50,AI50,AL50,AO50,K50)</f>
        <v>7453009</v>
      </c>
      <c r="F50" s="580"/>
      <c r="G50" s="580"/>
      <c r="H50" s="580">
        <f>SUM(H5,H32,H49)</f>
        <v>508630</v>
      </c>
      <c r="I50" s="580"/>
      <c r="J50" s="580"/>
      <c r="K50" s="580">
        <f>SUM(K5,K32,K49)</f>
        <v>466908</v>
      </c>
      <c r="L50" s="580"/>
      <c r="M50" s="580"/>
      <c r="N50" s="580">
        <f>SUM(N5,N32,N49)</f>
        <v>443090</v>
      </c>
      <c r="O50" s="580"/>
      <c r="P50" s="580"/>
      <c r="Q50" s="580">
        <f>SUM(Q5,Q32,Q49)</f>
        <v>449344</v>
      </c>
      <c r="R50" s="580"/>
      <c r="S50" s="580"/>
      <c r="T50" s="580">
        <f>SUM(T5,T32,T49)</f>
        <v>565232</v>
      </c>
      <c r="U50" s="580"/>
      <c r="V50" s="580"/>
      <c r="W50" s="580">
        <f>SUM(W5,W32,W49)</f>
        <v>1287780</v>
      </c>
      <c r="X50" s="580"/>
      <c r="Y50" s="580"/>
      <c r="Z50" s="580">
        <f>SUM(Z5,Z32,Z49)</f>
        <v>701919</v>
      </c>
      <c r="AA50" s="580"/>
      <c r="AB50" s="580"/>
      <c r="AC50" s="580">
        <f>SUM(AC5,AC32,AC49)</f>
        <v>641617</v>
      </c>
      <c r="AD50" s="580"/>
      <c r="AE50" s="580"/>
      <c r="AF50" s="580">
        <f>SUM(AF5,AF32,AF49)</f>
        <v>592111</v>
      </c>
      <c r="AG50" s="580"/>
      <c r="AH50" s="580"/>
      <c r="AI50" s="580">
        <f>SUM(AI5,AI32,AI49)</f>
        <v>515138</v>
      </c>
      <c r="AJ50" s="580"/>
      <c r="AK50" s="580"/>
      <c r="AL50" s="580">
        <f>SUM(AL5,AL32,AL49)</f>
        <v>791375</v>
      </c>
      <c r="AM50" s="580"/>
      <c r="AN50" s="580"/>
      <c r="AO50" s="580">
        <f>SUM(AO5,AO32,AO49)</f>
        <v>489865</v>
      </c>
    </row>
    <row r="51" spans="1:41" x14ac:dyDescent="0.25">
      <c r="E51" s="847">
        <f>E5/C5</f>
        <v>0.79968716361679226</v>
      </c>
      <c r="H51" s="847">
        <f>H5/F5</f>
        <v>0.91559370529327611</v>
      </c>
      <c r="K51" s="847">
        <f>K5/I5</f>
        <v>0.91629646948795884</v>
      </c>
      <c r="N51" s="847">
        <f>N5/L5</f>
        <v>0.81106655974338415</v>
      </c>
      <c r="Q51" s="847">
        <f>Q5/O5</f>
        <v>0.74250559284116335</v>
      </c>
      <c r="T51" s="847">
        <f>T5/R5</f>
        <v>0.86372007366482506</v>
      </c>
      <c r="W51" s="847">
        <f>W5/U5</f>
        <v>0.6924374472870396</v>
      </c>
      <c r="Z51" s="847">
        <f>Z5/X5</f>
        <v>0.80933074146070538</v>
      </c>
      <c r="AC51" s="847">
        <f>AC5/AA5</f>
        <v>0.83795284646348478</v>
      </c>
      <c r="AF51" s="847">
        <f>AF5/AD5</f>
        <v>0.83654114365411436</v>
      </c>
      <c r="AI51" s="847">
        <f>AI5/AG5</f>
        <v>0.78815679733110922</v>
      </c>
      <c r="AL51" s="847">
        <f>AL5/AJ5</f>
        <v>0.90782208588957058</v>
      </c>
      <c r="AO51" s="847">
        <f>AO5/AM5</f>
        <v>0.84012066365007543</v>
      </c>
    </row>
  </sheetData>
  <sortState ref="A36:AO37">
    <sortCondition descending="1" ref="A36"/>
  </sortState>
  <customSheetViews>
    <customSheetView guid="{88621519-296E-4458-B04E-813E881018FE}" hiddenRows="1" hiddenColumns="1">
      <pane xSplit="5" ySplit="6" topLeftCell="F7" activePane="bottomRight" state="frozen"/>
      <selection pane="bottomRight" activeCell="F7" sqref="F7"/>
      <pageMargins left="0" right="0" top="0.39370078740157483" bottom="0.39370078740157483" header="0.19685039370078741" footer="0.19685039370078741"/>
      <printOptions horizontalCentered="1"/>
      <pageSetup paperSize="9" scale="70" orientation="landscape" r:id="rId1"/>
      <headerFooter alignWithMargins="0">
        <oddHeader>&amp;R&amp;A</oddHeader>
      </headerFooter>
    </customSheetView>
  </customSheetViews>
  <mergeCells count="17">
    <mergeCell ref="U2:W2"/>
    <mergeCell ref="AM2:AO2"/>
    <mergeCell ref="AM3:AO3"/>
    <mergeCell ref="A3:A4"/>
    <mergeCell ref="B3:B4"/>
    <mergeCell ref="C3:E3"/>
    <mergeCell ref="F3:H3"/>
    <mergeCell ref="I3:K3"/>
    <mergeCell ref="L3:N3"/>
    <mergeCell ref="O3:Q3"/>
    <mergeCell ref="R3:T3"/>
    <mergeCell ref="AG3:AI3"/>
    <mergeCell ref="AJ3:AL3"/>
    <mergeCell ref="U3:W3"/>
    <mergeCell ref="X3:Z3"/>
    <mergeCell ref="AA3:AC3"/>
    <mergeCell ref="AD3:AF3"/>
  </mergeCells>
  <phoneticPr fontId="5" type="noConversion"/>
  <printOptions horizontalCentered="1"/>
  <pageMargins left="0" right="0" top="0.39370078740157483" bottom="0.39370078740157483" header="0.19685039370078741" footer="0.19685039370078741"/>
  <pageSetup paperSize="9" scale="62" fitToWidth="2" orientation="landscape" r:id="rId2"/>
  <headerFooter alignWithMargins="0">
    <oddHeader>&amp;R&amp;A</oddHead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O22"/>
  <sheetViews>
    <sheetView zoomScale="110" zoomScaleNormal="110" workbookViewId="0">
      <pane xSplit="3" ySplit="5" topLeftCell="D7" activePane="bottomRight" state="frozen"/>
      <selection activeCell="D13" sqref="D13"/>
      <selection pane="topRight" activeCell="D13" sqref="D13"/>
      <selection pane="bottomLeft" activeCell="D13" sqref="D13"/>
      <selection pane="bottomRight" activeCell="D13" sqref="D13"/>
    </sheetView>
  </sheetViews>
  <sheetFormatPr defaultRowHeight="18.75" customHeight="1" x14ac:dyDescent="0.25"/>
  <cols>
    <col min="1" max="1" width="4.5" style="15" customWidth="1"/>
    <col min="2" max="2" width="24.25" style="3" customWidth="1"/>
    <col min="3" max="3" width="12" style="3" customWidth="1"/>
    <col min="4" max="15" width="7.625" style="3" customWidth="1"/>
    <col min="16" max="16384" width="9" style="3"/>
  </cols>
  <sheetData>
    <row r="1" spans="1:15" ht="18.75" customHeight="1" x14ac:dyDescent="0.25">
      <c r="A1" s="1450" t="s">
        <v>1536</v>
      </c>
      <c r="B1" s="1450"/>
      <c r="C1" s="1450"/>
      <c r="D1" s="1450"/>
      <c r="E1" s="1450"/>
      <c r="F1" s="1450"/>
      <c r="G1" s="1450"/>
      <c r="H1" s="1450"/>
      <c r="I1" s="1450"/>
      <c r="J1" s="1450"/>
      <c r="K1" s="1450"/>
      <c r="L1" s="1450"/>
      <c r="M1" s="1450"/>
      <c r="N1" s="1450"/>
      <c r="O1" s="1450"/>
    </row>
    <row r="2" spans="1:15" ht="18.75" customHeight="1" x14ac:dyDescent="0.25">
      <c r="A2" s="63"/>
      <c r="B2" s="10"/>
      <c r="C2" s="10"/>
      <c r="D2" s="10"/>
      <c r="E2" s="10"/>
      <c r="F2" s="10"/>
      <c r="G2" s="10"/>
      <c r="H2" s="10"/>
      <c r="I2" s="10"/>
      <c r="J2" s="10"/>
      <c r="K2" s="10"/>
      <c r="L2" s="10"/>
      <c r="M2" s="1478" t="s">
        <v>0</v>
      </c>
      <c r="N2" s="1478"/>
      <c r="O2" s="1478"/>
    </row>
    <row r="3" spans="1:15" ht="69" customHeight="1" x14ac:dyDescent="0.25">
      <c r="A3" s="8" t="s">
        <v>1</v>
      </c>
      <c r="B3" s="57" t="s">
        <v>2</v>
      </c>
      <c r="C3" s="8" t="s">
        <v>455</v>
      </c>
      <c r="D3" s="8" t="s">
        <v>3</v>
      </c>
      <c r="E3" s="8" t="s">
        <v>1522</v>
      </c>
      <c r="F3" s="8" t="s">
        <v>4</v>
      </c>
      <c r="G3" s="8" t="s">
        <v>5</v>
      </c>
      <c r="H3" s="8" t="s">
        <v>6</v>
      </c>
      <c r="I3" s="8" t="s">
        <v>7</v>
      </c>
      <c r="J3" s="8" t="s">
        <v>8</v>
      </c>
      <c r="K3" s="8" t="s">
        <v>9</v>
      </c>
      <c r="L3" s="8" t="s">
        <v>10</v>
      </c>
      <c r="M3" s="8" t="s">
        <v>11</v>
      </c>
      <c r="N3" s="8" t="s">
        <v>145</v>
      </c>
      <c r="O3" s="8" t="s">
        <v>12</v>
      </c>
    </row>
    <row r="4" spans="1:15" s="61" customFormat="1" ht="18.75" customHeight="1" x14ac:dyDescent="0.25">
      <c r="A4" s="20"/>
      <c r="B4" s="58" t="s">
        <v>1561</v>
      </c>
      <c r="C4" s="570">
        <f t="shared" ref="C4:O4" si="0">SUM(C5,C9,C14,C15,C16)</f>
        <v>7453009</v>
      </c>
      <c r="D4" s="570">
        <f>SUM(D5,D9,D14,D15,D16)</f>
        <v>508630</v>
      </c>
      <c r="E4" s="570">
        <f t="shared" si="0"/>
        <v>466908</v>
      </c>
      <c r="F4" s="570">
        <f t="shared" si="0"/>
        <v>443090</v>
      </c>
      <c r="G4" s="570">
        <f t="shared" si="0"/>
        <v>449344</v>
      </c>
      <c r="H4" s="570">
        <f t="shared" si="0"/>
        <v>565232</v>
      </c>
      <c r="I4" s="570">
        <f t="shared" si="0"/>
        <v>1287780</v>
      </c>
      <c r="J4" s="570">
        <f t="shared" si="0"/>
        <v>701919</v>
      </c>
      <c r="K4" s="570">
        <f t="shared" si="0"/>
        <v>641617</v>
      </c>
      <c r="L4" s="570">
        <f t="shared" si="0"/>
        <v>592111</v>
      </c>
      <c r="M4" s="570">
        <f t="shared" si="0"/>
        <v>515138</v>
      </c>
      <c r="N4" s="570">
        <f t="shared" si="0"/>
        <v>791375</v>
      </c>
      <c r="O4" s="570">
        <f t="shared" si="0"/>
        <v>489865</v>
      </c>
    </row>
    <row r="5" spans="1:15" s="61" customFormat="1" ht="18.75" customHeight="1" x14ac:dyDescent="0.25">
      <c r="A5" s="23" t="s">
        <v>409</v>
      </c>
      <c r="B5" s="49" t="s">
        <v>227</v>
      </c>
      <c r="C5" s="571">
        <f t="shared" ref="C5:O5" si="1">SUM(C7:C8)</f>
        <v>1155246</v>
      </c>
      <c r="D5" s="571">
        <f t="shared" si="1"/>
        <v>52606</v>
      </c>
      <c r="E5" s="571">
        <f t="shared" si="1"/>
        <v>177233</v>
      </c>
      <c r="F5" s="571">
        <f t="shared" si="1"/>
        <v>41557</v>
      </c>
      <c r="G5" s="571">
        <f t="shared" si="1"/>
        <v>48751</v>
      </c>
      <c r="H5" s="571">
        <f t="shared" si="1"/>
        <v>61302</v>
      </c>
      <c r="I5" s="571">
        <f t="shared" si="1"/>
        <v>216534</v>
      </c>
      <c r="J5" s="571">
        <f t="shared" si="1"/>
        <v>74662</v>
      </c>
      <c r="K5" s="571">
        <f t="shared" si="1"/>
        <v>96250</v>
      </c>
      <c r="L5" s="571">
        <f t="shared" si="1"/>
        <v>60177</v>
      </c>
      <c r="M5" s="571">
        <f t="shared" si="1"/>
        <v>53432</v>
      </c>
      <c r="N5" s="571">
        <f t="shared" si="1"/>
        <v>211569</v>
      </c>
      <c r="O5" s="571">
        <f t="shared" si="1"/>
        <v>61173</v>
      </c>
    </row>
    <row r="6" spans="1:15" s="65" customFormat="1" ht="15.75" hidden="1" x14ac:dyDescent="0.25">
      <c r="A6" s="261"/>
      <c r="B6" s="262"/>
      <c r="C6" s="572">
        <f t="shared" ref="C6:C13" si="2">SUM(D6:O6)</f>
        <v>0</v>
      </c>
      <c r="D6" s="572"/>
      <c r="E6" s="572"/>
      <c r="F6" s="572"/>
      <c r="G6" s="572"/>
      <c r="H6" s="572"/>
      <c r="I6" s="572"/>
      <c r="J6" s="572"/>
      <c r="K6" s="572"/>
      <c r="L6" s="572"/>
      <c r="M6" s="572"/>
      <c r="N6" s="572"/>
      <c r="O6" s="572"/>
    </row>
    <row r="7" spans="1:15" ht="18.75" customHeight="1" x14ac:dyDescent="0.25">
      <c r="A7" s="22">
        <v>1</v>
      </c>
      <c r="B7" s="50" t="s">
        <v>13</v>
      </c>
      <c r="C7" s="573">
        <f t="shared" si="2"/>
        <v>505246</v>
      </c>
      <c r="D7" s="573">
        <f>'Chi NSH'!P28</f>
        <v>27606</v>
      </c>
      <c r="E7" s="573">
        <f>'Chi NSH'!X28</f>
        <v>27233</v>
      </c>
      <c r="F7" s="573">
        <f>'Chi NSH'!AF28</f>
        <v>26557</v>
      </c>
      <c r="G7" s="573">
        <f>'Chi NSH'!AN28</f>
        <v>28751</v>
      </c>
      <c r="H7" s="573">
        <f>'Chi NSH'!AV28</f>
        <v>36302</v>
      </c>
      <c r="I7" s="573">
        <f>'Chi NSH'!BD28</f>
        <v>116534</v>
      </c>
      <c r="J7" s="573">
        <f>'Chi NSH'!BL28</f>
        <v>39662</v>
      </c>
      <c r="K7" s="573">
        <f>'Chi NSH'!BT28</f>
        <v>36250</v>
      </c>
      <c r="L7" s="573">
        <f>'Chi NSH'!CB28</f>
        <v>35177</v>
      </c>
      <c r="M7" s="573">
        <f>'Chi NSH'!CJ28</f>
        <v>33432</v>
      </c>
      <c r="N7" s="573">
        <f>'Chi NSH'!CR28</f>
        <v>71569</v>
      </c>
      <c r="O7" s="573">
        <f>'Chi NSH'!CZ28</f>
        <v>26173</v>
      </c>
    </row>
    <row r="8" spans="1:15" ht="18.75" customHeight="1" x14ac:dyDescent="0.25">
      <c r="A8" s="22">
        <v>2</v>
      </c>
      <c r="B8" s="50" t="s">
        <v>14</v>
      </c>
      <c r="C8" s="573">
        <f t="shared" si="2"/>
        <v>650000</v>
      </c>
      <c r="D8" s="573">
        <f>'Chi NSH'!P30</f>
        <v>25000</v>
      </c>
      <c r="E8" s="573">
        <f>'Chi NSH'!X30</f>
        <v>150000</v>
      </c>
      <c r="F8" s="573">
        <f>'Chi NSH'!AF30</f>
        <v>15000</v>
      </c>
      <c r="G8" s="573">
        <f>'Chi NSH'!AN30</f>
        <v>20000</v>
      </c>
      <c r="H8" s="573">
        <f>'Chi NSH'!AV30</f>
        <v>25000</v>
      </c>
      <c r="I8" s="573">
        <f>'Chi NSH'!BD30</f>
        <v>100000</v>
      </c>
      <c r="J8" s="573">
        <f>'Chi NSH'!BL30</f>
        <v>35000</v>
      </c>
      <c r="K8" s="573">
        <f>'Chi NSH'!BT30</f>
        <v>60000</v>
      </c>
      <c r="L8" s="573">
        <f>'Chi NSH'!CB30</f>
        <v>25000</v>
      </c>
      <c r="M8" s="573">
        <f>'Chi NSH'!CJ30</f>
        <v>20000</v>
      </c>
      <c r="N8" s="573">
        <f>'Chi NSH'!CR30</f>
        <v>140000</v>
      </c>
      <c r="O8" s="573">
        <f>'Chi NSH'!CZ30</f>
        <v>35000</v>
      </c>
    </row>
    <row r="9" spans="1:15" s="61" customFormat="1" ht="18.75" customHeight="1" x14ac:dyDescent="0.25">
      <c r="A9" s="23" t="s">
        <v>421</v>
      </c>
      <c r="B9" s="49" t="s">
        <v>15</v>
      </c>
      <c r="C9" s="571">
        <f>SUM(D9:O9)</f>
        <v>5578092</v>
      </c>
      <c r="D9" s="571">
        <f>'Chi NSH'!P31-D19</f>
        <v>448046</v>
      </c>
      <c r="E9" s="571">
        <f>'Chi NSH'!X31-E19</f>
        <v>284266</v>
      </c>
      <c r="F9" s="571">
        <f>'Chi NSH'!AF31-F19</f>
        <v>394737</v>
      </c>
      <c r="G9" s="571">
        <f>'Chi NSH'!AN31-G19</f>
        <v>394303</v>
      </c>
      <c r="H9" s="571">
        <f>'Chi NSH'!AV31-H19</f>
        <v>494521</v>
      </c>
      <c r="I9" s="571">
        <f>'Chi NSH'!BD31-I19</f>
        <v>573220</v>
      </c>
      <c r="J9" s="571">
        <f>'Chi NSH'!BL31-J19</f>
        <v>616420</v>
      </c>
      <c r="K9" s="571">
        <f>'Chi NSH'!BT31-K19</f>
        <v>535965</v>
      </c>
      <c r="L9" s="571">
        <f>'Chi NSH'!CB31-L19</f>
        <v>520981</v>
      </c>
      <c r="M9" s="571">
        <f>'Chi NSH'!CJ31-M19</f>
        <v>453611</v>
      </c>
      <c r="N9" s="571">
        <f>'Chi NSH'!CR31-N19</f>
        <v>440969</v>
      </c>
      <c r="O9" s="571">
        <f>'Chi NSH'!CZ31-O19</f>
        <v>421053</v>
      </c>
    </row>
    <row r="10" spans="1:15" s="65" customFormat="1" ht="18.75" customHeight="1" x14ac:dyDescent="0.25">
      <c r="A10" s="165"/>
      <c r="B10" s="166" t="s">
        <v>242</v>
      </c>
      <c r="C10" s="574"/>
      <c r="D10" s="574"/>
      <c r="E10" s="574"/>
      <c r="F10" s="574"/>
      <c r="G10" s="574"/>
      <c r="H10" s="574"/>
      <c r="I10" s="574"/>
      <c r="J10" s="574"/>
      <c r="K10" s="574"/>
      <c r="L10" s="574"/>
      <c r="M10" s="574"/>
      <c r="N10" s="574"/>
      <c r="O10" s="574"/>
    </row>
    <row r="11" spans="1:15" s="61" customFormat="1" ht="18.75" customHeight="1" x14ac:dyDescent="0.25">
      <c r="A11" s="22">
        <v>1</v>
      </c>
      <c r="B11" s="50" t="s">
        <v>16</v>
      </c>
      <c r="C11" s="573">
        <f t="shared" si="2"/>
        <v>2875462</v>
      </c>
      <c r="D11" s="573">
        <f>'Chi NSH'!P32</f>
        <v>248862</v>
      </c>
      <c r="E11" s="573">
        <f>'Chi NSH'!X32</f>
        <v>129396</v>
      </c>
      <c r="F11" s="573">
        <f>'Chi NSH'!AF32</f>
        <v>208620</v>
      </c>
      <c r="G11" s="573">
        <f>'Chi NSH'!AN32</f>
        <v>190080</v>
      </c>
      <c r="H11" s="573">
        <f>'Chi NSH'!AV32</f>
        <v>279054</v>
      </c>
      <c r="I11" s="573">
        <f>'Chi NSH'!BD32</f>
        <v>275271</v>
      </c>
      <c r="J11" s="573">
        <f>'Chi NSH'!BL32</f>
        <v>324148</v>
      </c>
      <c r="K11" s="573">
        <f>'Chi NSH'!BT32</f>
        <v>289708</v>
      </c>
      <c r="L11" s="573">
        <f>'Chi NSH'!CB32</f>
        <v>286861</v>
      </c>
      <c r="M11" s="573">
        <f>'Chi NSH'!CJ32</f>
        <v>249845</v>
      </c>
      <c r="N11" s="573">
        <f>'Chi NSH'!CR32</f>
        <v>181007</v>
      </c>
      <c r="O11" s="573">
        <f>'Chi NSH'!CZ32</f>
        <v>212610</v>
      </c>
    </row>
    <row r="12" spans="1:15" s="61" customFormat="1" ht="18.75" customHeight="1" x14ac:dyDescent="0.25">
      <c r="A12" s="22">
        <v>2</v>
      </c>
      <c r="B12" s="50" t="s">
        <v>502</v>
      </c>
      <c r="C12" s="573">
        <f t="shared" si="2"/>
        <v>81470</v>
      </c>
      <c r="D12" s="573">
        <f>'Chi NSH'!P33</f>
        <v>4025</v>
      </c>
      <c r="E12" s="573">
        <f>'Chi NSH'!X33</f>
        <v>6871</v>
      </c>
      <c r="F12" s="573">
        <f>'Chi NSH'!AF33</f>
        <v>3707</v>
      </c>
      <c r="G12" s="573">
        <f>'Chi NSH'!AN33</f>
        <v>3821</v>
      </c>
      <c r="H12" s="573">
        <f>'Chi NSH'!AV33</f>
        <v>6573</v>
      </c>
      <c r="I12" s="573">
        <f>'Chi NSH'!BD33</f>
        <v>15103</v>
      </c>
      <c r="J12" s="573">
        <f>'Chi NSH'!BL33</f>
        <v>6823</v>
      </c>
      <c r="K12" s="573">
        <f>'Chi NSH'!BT33</f>
        <v>6021</v>
      </c>
      <c r="L12" s="573">
        <f>'Chi NSH'!CB33</f>
        <v>7903</v>
      </c>
      <c r="M12" s="573">
        <f>'Chi NSH'!CJ33</f>
        <v>4713</v>
      </c>
      <c r="N12" s="573">
        <f>'Chi NSH'!CR33</f>
        <v>11300</v>
      </c>
      <c r="O12" s="573">
        <f>'Chi NSH'!CZ33</f>
        <v>4610</v>
      </c>
    </row>
    <row r="13" spans="1:15" ht="18.75" customHeight="1" x14ac:dyDescent="0.25">
      <c r="A13" s="22">
        <v>3</v>
      </c>
      <c r="B13" s="50" t="s">
        <v>364</v>
      </c>
      <c r="C13" s="573">
        <f t="shared" si="2"/>
        <v>2621160</v>
      </c>
      <c r="D13" s="573">
        <f t="shared" ref="D13:O13" si="3">D9-D11-D12</f>
        <v>195159</v>
      </c>
      <c r="E13" s="573">
        <f t="shared" si="3"/>
        <v>147999</v>
      </c>
      <c r="F13" s="573">
        <f t="shared" si="3"/>
        <v>182410</v>
      </c>
      <c r="G13" s="573">
        <f t="shared" si="3"/>
        <v>200402</v>
      </c>
      <c r="H13" s="573">
        <f t="shared" si="3"/>
        <v>208894</v>
      </c>
      <c r="I13" s="573">
        <f t="shared" si="3"/>
        <v>282846</v>
      </c>
      <c r="J13" s="573">
        <f t="shared" si="3"/>
        <v>285449</v>
      </c>
      <c r="K13" s="573">
        <f t="shared" si="3"/>
        <v>240236</v>
      </c>
      <c r="L13" s="573">
        <f t="shared" si="3"/>
        <v>226217</v>
      </c>
      <c r="M13" s="573">
        <f t="shared" si="3"/>
        <v>199053</v>
      </c>
      <c r="N13" s="573">
        <f t="shared" si="3"/>
        <v>248662</v>
      </c>
      <c r="O13" s="573">
        <f t="shared" si="3"/>
        <v>203833</v>
      </c>
    </row>
    <row r="14" spans="1:15" s="61" customFormat="1" ht="18.75" customHeight="1" x14ac:dyDescent="0.25">
      <c r="A14" s="23" t="s">
        <v>449</v>
      </c>
      <c r="B14" s="49" t="s">
        <v>487</v>
      </c>
      <c r="C14" s="571">
        <f t="shared" ref="C14:C21" si="4">SUM(D14:O14)</f>
        <v>112922</v>
      </c>
      <c r="D14" s="571">
        <f>'Chi NSH'!P35</f>
        <v>7978</v>
      </c>
      <c r="E14" s="571">
        <f>'Chi NSH'!X35</f>
        <v>5409</v>
      </c>
      <c r="F14" s="571">
        <f>'Chi NSH'!AF35</f>
        <v>6796</v>
      </c>
      <c r="G14" s="571">
        <f>'Chi NSH'!AN35</f>
        <v>6290</v>
      </c>
      <c r="H14" s="571">
        <f>'Chi NSH'!AV35</f>
        <v>9409</v>
      </c>
      <c r="I14" s="571">
        <f>'Chi NSH'!BD35</f>
        <v>18928</v>
      </c>
      <c r="J14" s="571">
        <f>'Chi NSH'!BL35</f>
        <v>10837</v>
      </c>
      <c r="K14" s="571">
        <f>'Chi NSH'!BT35</f>
        <v>9402</v>
      </c>
      <c r="L14" s="571">
        <f>'Chi NSH'!CB35</f>
        <v>10953</v>
      </c>
      <c r="M14" s="571">
        <f>'Chi NSH'!CJ35</f>
        <v>8095</v>
      </c>
      <c r="N14" s="571">
        <f>'Chi NSH'!CR35</f>
        <v>11186</v>
      </c>
      <c r="O14" s="571">
        <f>'Chi NSH'!CZ35</f>
        <v>7639</v>
      </c>
    </row>
    <row r="15" spans="1:15" s="61" customFormat="1" ht="18.75" customHeight="1" x14ac:dyDescent="0.25">
      <c r="A15" s="260" t="s">
        <v>450</v>
      </c>
      <c r="B15" s="196" t="s">
        <v>1510</v>
      </c>
      <c r="C15" s="575">
        <f t="shared" si="4"/>
        <v>606749</v>
      </c>
      <c r="D15" s="575">
        <f>'Chi NSH'!P36</f>
        <v>0</v>
      </c>
      <c r="E15" s="575">
        <f>'Chi NSH'!X36</f>
        <v>0</v>
      </c>
      <c r="F15" s="575">
        <f>'Chi NSH'!AF36</f>
        <v>0</v>
      </c>
      <c r="G15" s="575">
        <f>'Chi NSH'!AN36</f>
        <v>0</v>
      </c>
      <c r="H15" s="575">
        <f>'Chi NSH'!AV36</f>
        <v>0</v>
      </c>
      <c r="I15" s="575">
        <f>'Chi NSH'!BD36</f>
        <v>479098</v>
      </c>
      <c r="J15" s="575">
        <f>'Chi NSH'!BL36</f>
        <v>0</v>
      </c>
      <c r="K15" s="575">
        <f>'Chi NSH'!BT36</f>
        <v>0</v>
      </c>
      <c r="L15" s="575">
        <f>'Chi NSH'!CB36</f>
        <v>0</v>
      </c>
      <c r="M15" s="575">
        <f>'Chi NSH'!CJ36</f>
        <v>0</v>
      </c>
      <c r="N15" s="575">
        <f>'Chi NSH'!CR36</f>
        <v>127651</v>
      </c>
      <c r="O15" s="575">
        <f>'Chi NSH'!CZ36</f>
        <v>0</v>
      </c>
    </row>
    <row r="16" spans="1:15" s="61" customFormat="1" ht="18.75" hidden="1" customHeight="1" x14ac:dyDescent="0.25">
      <c r="A16" s="619" t="s">
        <v>472</v>
      </c>
      <c r="B16" s="19" t="s">
        <v>17</v>
      </c>
      <c r="C16" s="620">
        <f t="shared" si="4"/>
        <v>0</v>
      </c>
      <c r="D16" s="620">
        <f>ROUND(SUM(D17:D21),0)</f>
        <v>0</v>
      </c>
      <c r="E16" s="620">
        <f t="shared" ref="E16:O16" si="5">ROUND(SUM(E17:E21),0)</f>
        <v>0</v>
      </c>
      <c r="F16" s="620">
        <f t="shared" si="5"/>
        <v>0</v>
      </c>
      <c r="G16" s="620">
        <f t="shared" si="5"/>
        <v>0</v>
      </c>
      <c r="H16" s="620">
        <f t="shared" si="5"/>
        <v>0</v>
      </c>
      <c r="I16" s="620">
        <f t="shared" si="5"/>
        <v>0</v>
      </c>
      <c r="J16" s="620">
        <f t="shared" si="5"/>
        <v>0</v>
      </c>
      <c r="K16" s="620">
        <f t="shared" si="5"/>
        <v>0</v>
      </c>
      <c r="L16" s="620">
        <f t="shared" si="5"/>
        <v>0</v>
      </c>
      <c r="M16" s="620">
        <f t="shared" si="5"/>
        <v>0</v>
      </c>
      <c r="N16" s="620">
        <f t="shared" si="5"/>
        <v>0</v>
      </c>
      <c r="O16" s="620">
        <f t="shared" si="5"/>
        <v>0</v>
      </c>
    </row>
    <row r="17" spans="1:15" ht="18.75" hidden="1" customHeight="1" x14ac:dyDescent="0.25">
      <c r="A17" s="621" t="s">
        <v>564</v>
      </c>
      <c r="B17" s="50" t="s">
        <v>29</v>
      </c>
      <c r="C17" s="622">
        <f t="shared" si="4"/>
        <v>0</v>
      </c>
      <c r="D17" s="622"/>
      <c r="E17" s="622"/>
      <c r="F17" s="622"/>
      <c r="G17" s="622"/>
      <c r="H17" s="622"/>
      <c r="I17" s="622"/>
      <c r="J17" s="622"/>
      <c r="K17" s="622"/>
      <c r="L17" s="622"/>
      <c r="M17" s="622"/>
      <c r="N17" s="622"/>
      <c r="O17" s="622"/>
    </row>
    <row r="18" spans="1:15" ht="18.75" hidden="1" customHeight="1" x14ac:dyDescent="0.25">
      <c r="A18" s="621" t="s">
        <v>564</v>
      </c>
      <c r="B18" s="50" t="s">
        <v>30</v>
      </c>
      <c r="C18" s="622">
        <f t="shared" si="4"/>
        <v>0</v>
      </c>
      <c r="D18" s="622"/>
      <c r="E18" s="622"/>
      <c r="F18" s="622"/>
      <c r="G18" s="622"/>
      <c r="H18" s="622"/>
      <c r="I18" s="622"/>
      <c r="J18" s="622"/>
      <c r="K18" s="622"/>
      <c r="L18" s="622"/>
      <c r="M18" s="622"/>
      <c r="N18" s="622"/>
      <c r="O18" s="622"/>
    </row>
    <row r="19" spans="1:15" ht="18.75" hidden="1" customHeight="1" x14ac:dyDescent="0.25">
      <c r="A19" s="621" t="s">
        <v>564</v>
      </c>
      <c r="B19" s="50" t="s">
        <v>231</v>
      </c>
      <c r="C19" s="622">
        <f t="shared" si="4"/>
        <v>0</v>
      </c>
      <c r="D19" s="622"/>
      <c r="E19" s="622"/>
      <c r="F19" s="622"/>
      <c r="G19" s="622"/>
      <c r="H19" s="622"/>
      <c r="I19" s="622"/>
      <c r="J19" s="622"/>
      <c r="K19" s="622"/>
      <c r="L19" s="622"/>
      <c r="M19" s="622"/>
      <c r="N19" s="622"/>
      <c r="O19" s="622"/>
    </row>
    <row r="20" spans="1:15" s="178" customFormat="1" ht="18.75" hidden="1" customHeight="1" x14ac:dyDescent="0.25">
      <c r="A20" s="623" t="s">
        <v>564</v>
      </c>
      <c r="B20" s="624" t="s">
        <v>1562</v>
      </c>
      <c r="C20" s="191">
        <f t="shared" si="4"/>
        <v>0</v>
      </c>
      <c r="D20" s="191"/>
      <c r="E20" s="191"/>
      <c r="F20" s="191"/>
      <c r="G20" s="191"/>
      <c r="H20" s="191"/>
      <c r="I20" s="191"/>
      <c r="J20" s="191"/>
      <c r="K20" s="191"/>
      <c r="L20" s="191"/>
      <c r="M20" s="191"/>
      <c r="N20" s="191"/>
      <c r="O20" s="191"/>
    </row>
    <row r="21" spans="1:15" s="178" customFormat="1" ht="18.75" hidden="1" customHeight="1" x14ac:dyDescent="0.25">
      <c r="A21" s="179"/>
      <c r="B21" s="180" t="s">
        <v>288</v>
      </c>
      <c r="C21" s="192">
        <f t="shared" si="4"/>
        <v>0</v>
      </c>
      <c r="D21" s="192"/>
      <c r="E21" s="192"/>
      <c r="F21" s="192"/>
      <c r="G21" s="192"/>
      <c r="H21" s="192"/>
      <c r="I21" s="192"/>
      <c r="J21" s="192"/>
      <c r="K21" s="192"/>
      <c r="L21" s="192"/>
      <c r="M21" s="192"/>
      <c r="N21" s="192"/>
      <c r="O21" s="192"/>
    </row>
    <row r="22" spans="1:15" ht="18.75" customHeight="1" x14ac:dyDescent="0.25">
      <c r="C22" s="1197"/>
    </row>
  </sheetData>
  <customSheetViews>
    <customSheetView guid="{88621519-296E-4458-B04E-813E881018FE}" scale="110" hiddenRows="1">
      <pane xSplit="3" ySplit="5" topLeftCell="D6" activePane="bottomRight" state="frozen"/>
      <selection pane="bottomRight" activeCell="A4" sqref="A4"/>
      <pageMargins left="0" right="0" top="0.39370078740157483" bottom="0.39370078740157483" header="0.19685039370078741" footer="0.19685039370078741"/>
      <printOptions horizontalCentered="1"/>
      <pageSetup paperSize="9" orientation="landscape" r:id="rId1"/>
      <headerFooter alignWithMargins="0">
        <oddHeader>&amp;R&amp;A</oddHeader>
      </headerFooter>
    </customSheetView>
  </customSheetViews>
  <mergeCells count="2">
    <mergeCell ref="A1:O1"/>
    <mergeCell ref="M2:O2"/>
  </mergeCells>
  <phoneticPr fontId="5" type="noConversion"/>
  <printOptions horizontalCentered="1"/>
  <pageMargins left="0" right="0" top="0.39370078740157483" bottom="0.39370078740157483" header="0.19685039370078741" footer="0.19685039370078741"/>
  <pageSetup paperSize="9" orientation="landscape" r:id="rId2"/>
  <headerFooter alignWithMargins="0">
    <oddHeader>&amp;R&amp;A</oddHeader>
  </headerFooter>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pageSetUpPr fitToPage="1"/>
  </sheetPr>
  <dimension ref="A1:AC21"/>
  <sheetViews>
    <sheetView zoomScale="86" zoomScaleNormal="86" workbookViewId="0">
      <pane xSplit="4" ySplit="7" topLeftCell="E1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 customWidth="1"/>
    <col min="2" max="2" width="12.25" style="40" customWidth="1"/>
    <col min="3" max="3" width="9.125" style="40" customWidth="1"/>
    <col min="4" max="4" width="11.625" style="40" customWidth="1"/>
    <col min="5" max="19" width="9.125" style="40" customWidth="1"/>
    <col min="20" max="20" width="12.5" style="40" customWidth="1"/>
    <col min="21" max="25" width="9" style="40"/>
    <col min="26" max="26" width="9.75" style="40" customWidth="1"/>
    <col min="27" max="16384" width="9" style="40"/>
  </cols>
  <sheetData>
    <row r="1" spans="1:29" x14ac:dyDescent="0.25">
      <c r="A1" s="1472" t="s">
        <v>1533</v>
      </c>
      <c r="B1" s="1472"/>
      <c r="C1" s="1472"/>
      <c r="D1" s="1472"/>
      <c r="E1" s="1472"/>
      <c r="F1" s="1472"/>
      <c r="G1" s="1472"/>
      <c r="H1" s="1472"/>
      <c r="I1" s="1472"/>
      <c r="J1" s="1472"/>
      <c r="K1" s="1472"/>
      <c r="L1" s="1472"/>
      <c r="M1" s="1472"/>
      <c r="N1" s="1472"/>
      <c r="O1" s="1472"/>
      <c r="P1" s="1472"/>
      <c r="Q1" s="1472"/>
      <c r="R1" s="1472"/>
      <c r="S1" s="1472"/>
      <c r="T1" s="1472"/>
      <c r="U1" s="1472"/>
      <c r="V1" s="1472"/>
      <c r="W1" s="1472"/>
      <c r="X1" s="1472"/>
      <c r="Y1" s="1472"/>
      <c r="Z1" s="1472"/>
      <c r="AA1" s="1472"/>
      <c r="AB1" s="1472"/>
    </row>
    <row r="2" spans="1:29" ht="17.25" customHeight="1" x14ac:dyDescent="0.25">
      <c r="AC2" s="283" t="s">
        <v>547</v>
      </c>
    </row>
    <row r="3" spans="1:29" s="14" customFormat="1" ht="16.5" customHeight="1" x14ac:dyDescent="0.25">
      <c r="A3" s="1406" t="s">
        <v>519</v>
      </c>
      <c r="B3" s="1406" t="s">
        <v>1531</v>
      </c>
      <c r="C3" s="1406" t="s">
        <v>1530</v>
      </c>
      <c r="D3" s="1423" t="s">
        <v>1532</v>
      </c>
      <c r="E3" s="1424"/>
      <c r="F3" s="1424"/>
      <c r="G3" s="1424"/>
      <c r="H3" s="1424"/>
      <c r="I3" s="1424"/>
      <c r="J3" s="1424"/>
      <c r="K3" s="1424"/>
      <c r="L3" s="1424"/>
      <c r="M3" s="1424"/>
      <c r="N3" s="1424"/>
      <c r="O3" s="1424"/>
      <c r="P3" s="1424"/>
      <c r="Q3" s="1424"/>
      <c r="R3" s="1424"/>
      <c r="S3" s="1425"/>
      <c r="T3" s="1406" t="s">
        <v>1535</v>
      </c>
      <c r="U3" s="1421" t="s">
        <v>1534</v>
      </c>
      <c r="V3" s="1457"/>
      <c r="W3" s="1457"/>
      <c r="X3" s="1457"/>
      <c r="Y3" s="1457"/>
      <c r="Z3" s="1457"/>
      <c r="AA3" s="1457"/>
      <c r="AB3" s="1457"/>
      <c r="AC3" s="1422"/>
    </row>
    <row r="4" spans="1:29" s="14" customFormat="1" ht="15.75" customHeight="1" x14ac:dyDescent="0.25">
      <c r="A4" s="1406"/>
      <c r="B4" s="1406"/>
      <c r="C4" s="1406"/>
      <c r="D4" s="1365" t="s">
        <v>18</v>
      </c>
      <c r="E4" s="1406" t="s">
        <v>19</v>
      </c>
      <c r="F4" s="1482" t="s">
        <v>21</v>
      </c>
      <c r="G4" s="1483"/>
      <c r="H4" s="1406" t="s">
        <v>20</v>
      </c>
      <c r="I4" s="1423" t="s">
        <v>21</v>
      </c>
      <c r="J4" s="1424"/>
      <c r="K4" s="1424"/>
      <c r="L4" s="1424"/>
      <c r="M4" s="1424"/>
      <c r="N4" s="1424"/>
      <c r="O4" s="1424"/>
      <c r="P4" s="1424"/>
      <c r="Q4" s="1424"/>
      <c r="R4" s="1425"/>
      <c r="S4" s="1365" t="s">
        <v>1215</v>
      </c>
      <c r="T4" s="1406"/>
      <c r="U4" s="1461" t="s">
        <v>227</v>
      </c>
      <c r="V4" s="1461"/>
      <c r="W4" s="1461"/>
      <c r="X4" s="1461" t="s">
        <v>460</v>
      </c>
      <c r="Y4" s="1461"/>
      <c r="Z4" s="1461"/>
      <c r="AA4" s="1461"/>
      <c r="AB4" s="1406" t="s">
        <v>487</v>
      </c>
      <c r="AC4" s="1406" t="s">
        <v>1510</v>
      </c>
    </row>
    <row r="5" spans="1:29" s="14" customFormat="1" ht="15.75" customHeight="1" x14ac:dyDescent="0.25">
      <c r="A5" s="1406"/>
      <c r="B5" s="1406"/>
      <c r="C5" s="1406"/>
      <c r="D5" s="1481"/>
      <c r="E5" s="1406"/>
      <c r="F5" s="1484"/>
      <c r="G5" s="1485"/>
      <c r="H5" s="1406"/>
      <c r="I5" s="1406" t="s">
        <v>532</v>
      </c>
      <c r="J5" s="1406" t="s">
        <v>22</v>
      </c>
      <c r="K5" s="1423" t="s">
        <v>21</v>
      </c>
      <c r="L5" s="1424"/>
      <c r="M5" s="1424"/>
      <c r="N5" s="1424"/>
      <c r="O5" s="1424"/>
      <c r="P5" s="1424"/>
      <c r="Q5" s="1424"/>
      <c r="R5" s="1425"/>
      <c r="S5" s="1481"/>
      <c r="T5" s="1406"/>
      <c r="U5" s="1406" t="s">
        <v>398</v>
      </c>
      <c r="V5" s="1406" t="s">
        <v>21</v>
      </c>
      <c r="W5" s="1406"/>
      <c r="X5" s="1406" t="s">
        <v>398</v>
      </c>
      <c r="Y5" s="1461" t="s">
        <v>21</v>
      </c>
      <c r="Z5" s="1461"/>
      <c r="AA5" s="1461"/>
      <c r="AB5" s="1406"/>
      <c r="AC5" s="1406"/>
    </row>
    <row r="6" spans="1:29" s="14" customFormat="1" ht="223.5" customHeight="1" x14ac:dyDescent="0.25">
      <c r="A6" s="1406"/>
      <c r="B6" s="1406"/>
      <c r="C6" s="1406"/>
      <c r="D6" s="1366"/>
      <c r="E6" s="1406"/>
      <c r="F6" s="33" t="s">
        <v>314</v>
      </c>
      <c r="G6" s="172" t="s">
        <v>315</v>
      </c>
      <c r="H6" s="1406"/>
      <c r="I6" s="1406"/>
      <c r="J6" s="1406"/>
      <c r="K6" s="1191" t="s">
        <v>1464</v>
      </c>
      <c r="L6" s="1191" t="s">
        <v>374</v>
      </c>
      <c r="M6" s="1191" t="s">
        <v>1214</v>
      </c>
      <c r="N6" s="1190" t="s">
        <v>1649</v>
      </c>
      <c r="O6" s="1190" t="s">
        <v>1220</v>
      </c>
      <c r="P6" s="1190" t="s">
        <v>605</v>
      </c>
      <c r="Q6" s="1190" t="s">
        <v>933</v>
      </c>
      <c r="R6" s="1191" t="s">
        <v>1545</v>
      </c>
      <c r="S6" s="1366"/>
      <c r="T6" s="1406"/>
      <c r="U6" s="1406"/>
      <c r="V6" s="319" t="s">
        <v>668</v>
      </c>
      <c r="W6" s="319" t="s">
        <v>669</v>
      </c>
      <c r="X6" s="1406"/>
      <c r="Y6" s="319" t="s">
        <v>16</v>
      </c>
      <c r="Z6" s="319" t="s">
        <v>670</v>
      </c>
      <c r="AA6" s="319" t="s">
        <v>364</v>
      </c>
      <c r="AB6" s="1406"/>
      <c r="AC6" s="1406"/>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79" t="s">
        <v>28</v>
      </c>
      <c r="B20" s="1480"/>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row r="21" spans="1:29" x14ac:dyDescent="0.25">
      <c r="E21" s="847">
        <f>E20/C20</f>
        <v>0.79968716361679226</v>
      </c>
      <c r="T21" s="618"/>
    </row>
  </sheetData>
  <customSheetViews>
    <customSheetView guid="{88621519-296E-4458-B04E-813E881018FE}" scale="82" fitToPage="1">
      <pane xSplit="4" ySplit="7" topLeftCell="E8" activePane="bottomRight" state="frozen"/>
      <selection pane="bottomRight" activeCell="A52" sqref="A52"/>
      <pageMargins left="0" right="0" top="0.39370078740157483" bottom="0.39370078740157483" header="0.19685039370078741" footer="0.19685039370078741"/>
      <printOptions horizontalCentered="1"/>
      <pageSetup paperSize="9" scale="56" orientation="landscape" r:id="rId1"/>
      <headerFooter alignWithMargins="0">
        <oddHeader>&amp;R&amp;A</oddHeader>
      </headerFooter>
    </customSheetView>
  </customSheetViews>
  <mergeCells count="25">
    <mergeCell ref="A1:AB1"/>
    <mergeCell ref="K5:R5"/>
    <mergeCell ref="I4:R4"/>
    <mergeCell ref="U5:U6"/>
    <mergeCell ref="X5:X6"/>
    <mergeCell ref="V5:W5"/>
    <mergeCell ref="Y5:AA5"/>
    <mergeCell ref="U4:W4"/>
    <mergeCell ref="X4:AA4"/>
    <mergeCell ref="I5:I6"/>
    <mergeCell ref="J5:J6"/>
    <mergeCell ref="D3:S3"/>
    <mergeCell ref="S4:S6"/>
    <mergeCell ref="AB4:AB6"/>
    <mergeCell ref="U3:AC3"/>
    <mergeCell ref="AC4:AC6"/>
    <mergeCell ref="T3:T6"/>
    <mergeCell ref="A20:B20"/>
    <mergeCell ref="D4:D6"/>
    <mergeCell ref="E4:E6"/>
    <mergeCell ref="H4:H6"/>
    <mergeCell ref="C3:C6"/>
    <mergeCell ref="F4:G5"/>
    <mergeCell ref="A3:A6"/>
    <mergeCell ref="B3:B6"/>
  </mergeCells>
  <phoneticPr fontId="5" type="noConversion"/>
  <printOptions horizontalCentered="1"/>
  <pageMargins left="0" right="0" top="0.39370078740157483" bottom="0.39370078740157483" header="0.19685039370078741" footer="0.19685039370078741"/>
  <pageSetup paperSize="9" scale="52" orientation="landscape" r:id="rId2"/>
  <headerFooter alignWithMargins="0">
    <oddHeader>&amp;R&amp;A</oddHead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0"/>
    <pageSetUpPr fitToPage="1"/>
  </sheetPr>
  <dimension ref="A1:E50"/>
  <sheetViews>
    <sheetView topLeftCell="A26" zoomScale="85" zoomScaleNormal="85" workbookViewId="0">
      <selection activeCell="D13" sqref="D13"/>
    </sheetView>
  </sheetViews>
  <sheetFormatPr defaultRowHeight="13.5" x14ac:dyDescent="0.2"/>
  <cols>
    <col min="1" max="1" width="6.625" style="436" customWidth="1"/>
    <col min="2" max="2" width="80.625" style="436" customWidth="1"/>
    <col min="3" max="3" width="20.625" style="436" customWidth="1"/>
    <col min="4" max="4" width="18.625" style="436" customWidth="1"/>
    <col min="5" max="5" width="17.875" style="436" customWidth="1"/>
    <col min="6" max="16384" width="9" style="436"/>
  </cols>
  <sheetData>
    <row r="1" spans="1:5" ht="69.75" hidden="1" customHeight="1" x14ac:dyDescent="0.2">
      <c r="A1" s="1487" t="s">
        <v>32</v>
      </c>
      <c r="B1" s="1487"/>
      <c r="C1" s="1487"/>
      <c r="D1" s="1487"/>
      <c r="E1" s="1487"/>
    </row>
    <row r="3" spans="1:5" ht="36.75" customHeight="1" x14ac:dyDescent="0.2">
      <c r="A3" s="1488" t="s">
        <v>1397</v>
      </c>
      <c r="B3" s="1489"/>
      <c r="C3" s="1489"/>
      <c r="D3" s="1489"/>
      <c r="E3" s="1489"/>
    </row>
    <row r="4" spans="1:5" x14ac:dyDescent="0.2">
      <c r="E4" s="437" t="s">
        <v>516</v>
      </c>
    </row>
    <row r="5" spans="1:5" s="438" customFormat="1" ht="31.5" customHeight="1" x14ac:dyDescent="0.25">
      <c r="A5" s="1490" t="s">
        <v>519</v>
      </c>
      <c r="B5" s="1490" t="s">
        <v>33</v>
      </c>
      <c r="C5" s="1490" t="s">
        <v>1398</v>
      </c>
      <c r="D5" s="1490" t="s">
        <v>34</v>
      </c>
      <c r="E5" s="1490"/>
    </row>
    <row r="6" spans="1:5" s="438" customFormat="1" ht="39" customHeight="1" x14ac:dyDescent="0.25">
      <c r="A6" s="1490"/>
      <c r="B6" s="1490"/>
      <c r="C6" s="1490"/>
      <c r="D6" s="439" t="s">
        <v>482</v>
      </c>
      <c r="E6" s="439" t="s">
        <v>35</v>
      </c>
    </row>
    <row r="7" spans="1:5" ht="35.1" customHeight="1" x14ac:dyDescent="0.2">
      <c r="A7" s="440" t="s">
        <v>407</v>
      </c>
      <c r="B7" s="441" t="s">
        <v>1244</v>
      </c>
      <c r="C7" s="442">
        <f>SUM(D7:E7)</f>
        <v>0</v>
      </c>
      <c r="D7" s="442">
        <f>SUM(D8:D9)</f>
        <v>0</v>
      </c>
      <c r="E7" s="442">
        <f>SUM(E8:E9)</f>
        <v>0</v>
      </c>
    </row>
    <row r="8" spans="1:5" ht="35.1" hidden="1" customHeight="1" x14ac:dyDescent="0.2">
      <c r="A8" s="434">
        <v>1</v>
      </c>
      <c r="B8" s="435" t="s">
        <v>389</v>
      </c>
      <c r="C8" s="443">
        <f>SUM(D8:E8)</f>
        <v>0</v>
      </c>
      <c r="D8" s="443"/>
      <c r="E8" s="443"/>
    </row>
    <row r="9" spans="1:5" ht="35.1" hidden="1" customHeight="1" x14ac:dyDescent="0.2">
      <c r="A9" s="434">
        <v>2</v>
      </c>
      <c r="B9" s="444" t="s">
        <v>319</v>
      </c>
      <c r="C9" s="433">
        <f>SUM(D9:E9)</f>
        <v>0</v>
      </c>
      <c r="D9" s="443"/>
      <c r="E9" s="443"/>
    </row>
    <row r="10" spans="1:5" ht="35.1" customHeight="1" x14ac:dyDescent="0.2">
      <c r="A10" s="445" t="s">
        <v>422</v>
      </c>
      <c r="B10" s="446" t="s">
        <v>36</v>
      </c>
      <c r="C10" s="447">
        <f>SUM(C11,C19)</f>
        <v>1680276</v>
      </c>
      <c r="D10" s="447">
        <f>SUM(D11,D19)</f>
        <v>1263824</v>
      </c>
      <c r="E10" s="447">
        <f>SUM(E11,E19)</f>
        <v>416452</v>
      </c>
    </row>
    <row r="11" spans="1:5" ht="35.1" customHeight="1" x14ac:dyDescent="0.2">
      <c r="A11" s="448" t="s">
        <v>409</v>
      </c>
      <c r="B11" s="449" t="s">
        <v>759</v>
      </c>
      <c r="C11" s="447">
        <f>SUM(C12,C14)</f>
        <v>1263824</v>
      </c>
      <c r="D11" s="447">
        <f>SUM(D12,D14)</f>
        <v>1263824</v>
      </c>
      <c r="E11" s="447">
        <f>SUM(E12,E14)</f>
        <v>0</v>
      </c>
    </row>
    <row r="12" spans="1:5" s="453" customFormat="1" ht="35.1" customHeight="1" x14ac:dyDescent="0.2">
      <c r="A12" s="448">
        <v>1</v>
      </c>
      <c r="B12" s="454" t="s">
        <v>1647</v>
      </c>
      <c r="C12" s="452">
        <f>SUM(D12:E12)</f>
        <v>310000</v>
      </c>
      <c r="D12" s="452">
        <v>310000</v>
      </c>
      <c r="E12" s="452"/>
    </row>
    <row r="13" spans="1:5" s="629" customFormat="1" ht="35.1" hidden="1" customHeight="1" x14ac:dyDescent="0.2">
      <c r="A13" s="626"/>
      <c r="B13" s="627" t="s">
        <v>942</v>
      </c>
      <c r="C13" s="628">
        <f>SUM(D13:E13)</f>
        <v>0</v>
      </c>
      <c r="D13" s="628"/>
      <c r="E13" s="628"/>
    </row>
    <row r="14" spans="1:5" s="453" customFormat="1" ht="48.75" customHeight="1" x14ac:dyDescent="0.2">
      <c r="A14" s="457">
        <v>2</v>
      </c>
      <c r="B14" s="454" t="s">
        <v>1646</v>
      </c>
      <c r="C14" s="452">
        <f>SUM(C15,C18)</f>
        <v>953824</v>
      </c>
      <c r="D14" s="452">
        <f>SUM(D15,D18)</f>
        <v>953824</v>
      </c>
      <c r="E14" s="452">
        <f>SUM(E15,E18)</f>
        <v>0</v>
      </c>
    </row>
    <row r="15" spans="1:5" ht="48.75" hidden="1" customHeight="1" x14ac:dyDescent="0.2">
      <c r="A15" s="450" t="s">
        <v>434</v>
      </c>
      <c r="B15" s="435" t="s">
        <v>1643</v>
      </c>
      <c r="C15" s="433">
        <f>SUM(D15:E15)</f>
        <v>953824</v>
      </c>
      <c r="D15" s="433">
        <v>953824</v>
      </c>
      <c r="E15" s="433">
        <v>0</v>
      </c>
    </row>
    <row r="16" spans="1:5" s="629" customFormat="1" ht="39" customHeight="1" x14ac:dyDescent="0.2">
      <c r="A16" s="1288"/>
      <c r="B16" s="627" t="s">
        <v>1644</v>
      </c>
      <c r="C16" s="628">
        <f>SUM(D16:E16)</f>
        <v>100000</v>
      </c>
      <c r="D16" s="628">
        <v>100000</v>
      </c>
      <c r="E16" s="628"/>
    </row>
    <row r="17" spans="1:5" s="629" customFormat="1" ht="48.75" customHeight="1" x14ac:dyDescent="0.2">
      <c r="A17" s="626"/>
      <c r="B17" s="627" t="s">
        <v>1645</v>
      </c>
      <c r="C17" s="628">
        <f>SUM(D17:E17)</f>
        <v>47155</v>
      </c>
      <c r="D17" s="628">
        <v>47155</v>
      </c>
      <c r="E17" s="628"/>
    </row>
    <row r="18" spans="1:5" ht="35.1" hidden="1" customHeight="1" x14ac:dyDescent="0.2">
      <c r="A18" s="450" t="s">
        <v>435</v>
      </c>
      <c r="B18" s="435" t="s">
        <v>764</v>
      </c>
      <c r="C18" s="433">
        <f>SUM(D18:E18)</f>
        <v>0</v>
      </c>
      <c r="D18" s="433">
        <v>0</v>
      </c>
      <c r="E18" s="433"/>
    </row>
    <row r="19" spans="1:5" ht="35.1" customHeight="1" x14ac:dyDescent="0.2">
      <c r="A19" s="448" t="s">
        <v>421</v>
      </c>
      <c r="B19" s="449" t="s">
        <v>37</v>
      </c>
      <c r="C19" s="447">
        <f>SUM(C20,C30)</f>
        <v>416452</v>
      </c>
      <c r="D19" s="447">
        <f>SUM(D20,D30)</f>
        <v>0</v>
      </c>
      <c r="E19" s="447">
        <f>SUM(E20,E30)</f>
        <v>416452</v>
      </c>
    </row>
    <row r="20" spans="1:5" ht="35.1" customHeight="1" x14ac:dyDescent="0.2">
      <c r="A20" s="448" t="s">
        <v>713</v>
      </c>
      <c r="B20" s="449" t="s">
        <v>714</v>
      </c>
      <c r="C20" s="447">
        <f>SUM(C21:C29)</f>
        <v>309482</v>
      </c>
      <c r="D20" s="447">
        <f>SUM(D21:D29)</f>
        <v>0</v>
      </c>
      <c r="E20" s="447">
        <f>SUM(E21:E29)</f>
        <v>309482</v>
      </c>
    </row>
    <row r="21" spans="1:5" ht="35.1" customHeight="1" x14ac:dyDescent="0.2">
      <c r="A21" s="434">
        <v>1</v>
      </c>
      <c r="B21" s="435" t="s">
        <v>916</v>
      </c>
      <c r="C21" s="433">
        <f t="shared" ref="C21:C48" si="0">SUM(D21:E21)</f>
        <v>18016</v>
      </c>
      <c r="D21" s="433"/>
      <c r="E21" s="433">
        <v>18016</v>
      </c>
    </row>
    <row r="22" spans="1:5" ht="40.5" x14ac:dyDescent="0.2">
      <c r="A22" s="434">
        <v>2</v>
      </c>
      <c r="B22" s="435" t="s">
        <v>1641</v>
      </c>
      <c r="C22" s="433">
        <f t="shared" si="0"/>
        <v>75079</v>
      </c>
      <c r="D22" s="433"/>
      <c r="E22" s="433">
        <v>75079</v>
      </c>
    </row>
    <row r="23" spans="1:5" ht="40.5" x14ac:dyDescent="0.2">
      <c r="A23" s="434">
        <v>3</v>
      </c>
      <c r="B23" s="435" t="s">
        <v>1640</v>
      </c>
      <c r="C23" s="433">
        <f t="shared" si="0"/>
        <v>85460</v>
      </c>
      <c r="D23" s="433"/>
      <c r="E23" s="433">
        <v>85460</v>
      </c>
    </row>
    <row r="24" spans="1:5" ht="40.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27" x14ac:dyDescent="0.2">
      <c r="A27" s="434">
        <v>7</v>
      </c>
      <c r="B27" s="435" t="s">
        <v>1639</v>
      </c>
      <c r="C27" s="433">
        <f>SUM(D27:E27)</f>
        <v>6710</v>
      </c>
      <c r="D27" s="433"/>
      <c r="E27" s="433">
        <v>6710</v>
      </c>
    </row>
    <row r="28" spans="1:5" ht="18.75" customHeight="1" x14ac:dyDescent="0.2">
      <c r="A28" s="434">
        <v>8</v>
      </c>
      <c r="B28" s="435" t="s">
        <v>1642</v>
      </c>
      <c r="C28" s="433">
        <f>SUM(D28:E28)</f>
        <v>5000</v>
      </c>
      <c r="D28" s="433"/>
      <c r="E28" s="433">
        <v>5000</v>
      </c>
    </row>
    <row r="29" spans="1:5" x14ac:dyDescent="0.2">
      <c r="A29" s="434">
        <v>9</v>
      </c>
      <c r="B29" s="435" t="s">
        <v>1638</v>
      </c>
      <c r="C29" s="433">
        <f t="shared" si="0"/>
        <v>71750</v>
      </c>
      <c r="D29" s="433"/>
      <c r="E29" s="433">
        <f>(33750+4250)+33750</f>
        <v>71750</v>
      </c>
    </row>
    <row r="30" spans="1:5" s="456" customFormat="1" ht="35.1" customHeight="1" x14ac:dyDescent="0.2">
      <c r="A30" s="448" t="s">
        <v>715</v>
      </c>
      <c r="B30" s="449" t="s">
        <v>716</v>
      </c>
      <c r="C30" s="455">
        <f>SUM(C31,C32,C41)</f>
        <v>106970</v>
      </c>
      <c r="D30" s="455">
        <f>SUM(D31,D32,D41)</f>
        <v>0</v>
      </c>
      <c r="E30" s="455">
        <f>SUM(E31,E32,E41)</f>
        <v>106970</v>
      </c>
    </row>
    <row r="31" spans="1:5" s="453" customFormat="1" ht="35.1" customHeight="1" x14ac:dyDescent="0.2">
      <c r="A31" s="451" t="s">
        <v>730</v>
      </c>
      <c r="B31" s="454" t="s">
        <v>377</v>
      </c>
      <c r="C31" s="452">
        <f t="shared" si="0"/>
        <v>0</v>
      </c>
      <c r="D31" s="452"/>
      <c r="E31" s="452"/>
    </row>
    <row r="32" spans="1:5" s="453" customFormat="1" ht="35.1" customHeight="1" x14ac:dyDescent="0.2">
      <c r="A32" s="451" t="s">
        <v>731</v>
      </c>
      <c r="B32" s="454" t="s">
        <v>376</v>
      </c>
      <c r="C32" s="452">
        <f>SUM(C33:C40)</f>
        <v>106970</v>
      </c>
      <c r="D32" s="452">
        <f>SUM(D33:D40)</f>
        <v>0</v>
      </c>
      <c r="E32" s="452">
        <f>SUM(E33:E40)</f>
        <v>106970</v>
      </c>
    </row>
    <row r="33" spans="1:5" s="453" customFormat="1" ht="35.1" customHeight="1" x14ac:dyDescent="0.2">
      <c r="A33" s="434">
        <v>1</v>
      </c>
      <c r="B33" s="435" t="s">
        <v>917</v>
      </c>
      <c r="C33" s="433">
        <f>SUM(D33:E33)</f>
        <v>23286</v>
      </c>
      <c r="D33" s="433"/>
      <c r="E33" s="433">
        <v>23286</v>
      </c>
    </row>
    <row r="34" spans="1:5" ht="35.1" hidden="1" customHeight="1" x14ac:dyDescent="0.2">
      <c r="A34" s="434">
        <v>2</v>
      </c>
      <c r="B34" s="435" t="s">
        <v>769</v>
      </c>
      <c r="C34" s="433">
        <f t="shared" si="0"/>
        <v>0</v>
      </c>
      <c r="D34" s="433"/>
      <c r="E34" s="433"/>
    </row>
    <row r="35" spans="1:5" ht="35.1" hidden="1" customHeight="1" x14ac:dyDescent="0.2">
      <c r="A35" s="434">
        <v>3</v>
      </c>
      <c r="B35" s="435" t="s">
        <v>768</v>
      </c>
      <c r="C35" s="433">
        <f t="shared" si="0"/>
        <v>0</v>
      </c>
      <c r="D35" s="433"/>
      <c r="E35" s="433"/>
    </row>
    <row r="36" spans="1:5" ht="35.1" hidden="1" customHeight="1" x14ac:dyDescent="0.2">
      <c r="A36" s="434">
        <v>4</v>
      </c>
      <c r="B36" s="435" t="s">
        <v>1242</v>
      </c>
      <c r="C36" s="433">
        <f t="shared" si="0"/>
        <v>0</v>
      </c>
      <c r="D36" s="433"/>
      <c r="E36" s="433"/>
    </row>
    <row r="37" spans="1:5" ht="35.1" hidden="1" customHeight="1" x14ac:dyDescent="0.2">
      <c r="A37" s="434">
        <v>5</v>
      </c>
      <c r="B37" s="435" t="s">
        <v>1241</v>
      </c>
      <c r="C37" s="433">
        <f t="shared" si="0"/>
        <v>0</v>
      </c>
      <c r="D37" s="433"/>
      <c r="E37" s="433"/>
    </row>
    <row r="38" spans="1:5" s="936" customFormat="1" ht="35.1" customHeight="1" x14ac:dyDescent="0.2">
      <c r="A38" s="434">
        <v>6</v>
      </c>
      <c r="B38" s="435" t="s">
        <v>1240</v>
      </c>
      <c r="C38" s="433">
        <f t="shared" si="0"/>
        <v>4825</v>
      </c>
      <c r="D38" s="433"/>
      <c r="E38" s="433">
        <v>4825</v>
      </c>
    </row>
    <row r="39" spans="1:5" ht="35.1" customHeight="1" x14ac:dyDescent="0.2">
      <c r="A39" s="434">
        <v>7</v>
      </c>
      <c r="B39" s="435" t="s">
        <v>767</v>
      </c>
      <c r="C39" s="433">
        <f t="shared" si="0"/>
        <v>33671</v>
      </c>
      <c r="D39" s="433"/>
      <c r="E39" s="433">
        <v>33671</v>
      </c>
    </row>
    <row r="40" spans="1:5" ht="35.1" customHeight="1" x14ac:dyDescent="0.2">
      <c r="A40" s="434">
        <v>8</v>
      </c>
      <c r="B40" s="435" t="s">
        <v>941</v>
      </c>
      <c r="C40" s="433">
        <f t="shared" si="0"/>
        <v>45188</v>
      </c>
      <c r="D40" s="433"/>
      <c r="E40" s="433">
        <v>45188</v>
      </c>
    </row>
    <row r="41" spans="1:5" s="456" customFormat="1" ht="35.1" customHeight="1" x14ac:dyDescent="0.2">
      <c r="A41" s="448" t="s">
        <v>943</v>
      </c>
      <c r="B41" s="449" t="s">
        <v>945</v>
      </c>
      <c r="C41" s="455">
        <f>SUM(C42:C49)</f>
        <v>0</v>
      </c>
      <c r="D41" s="455">
        <f>SUM(D42:D49)</f>
        <v>0</v>
      </c>
      <c r="E41" s="455">
        <f>SUM(E42:E49)</f>
        <v>0</v>
      </c>
    </row>
    <row r="42" spans="1:5" ht="35.1" hidden="1" customHeight="1" x14ac:dyDescent="0.2">
      <c r="A42" s="434">
        <v>1</v>
      </c>
      <c r="B42" s="435" t="s">
        <v>753</v>
      </c>
      <c r="C42" s="433">
        <f t="shared" si="0"/>
        <v>0</v>
      </c>
      <c r="D42" s="433"/>
      <c r="E42" s="433"/>
    </row>
    <row r="43" spans="1:5" ht="35.1" hidden="1" customHeight="1" x14ac:dyDescent="0.2">
      <c r="A43" s="434">
        <v>2</v>
      </c>
      <c r="B43" s="435" t="s">
        <v>754</v>
      </c>
      <c r="C43" s="433">
        <f t="shared" si="0"/>
        <v>0</v>
      </c>
      <c r="D43" s="433"/>
      <c r="E43" s="433"/>
    </row>
    <row r="44" spans="1:5" ht="35.1" hidden="1" customHeight="1" x14ac:dyDescent="0.2">
      <c r="A44" s="434">
        <v>3</v>
      </c>
      <c r="B44" s="435" t="s">
        <v>755</v>
      </c>
      <c r="C44" s="433">
        <f t="shared" si="0"/>
        <v>0</v>
      </c>
      <c r="D44" s="433"/>
      <c r="E44" s="433"/>
    </row>
    <row r="45" spans="1:5" ht="35.1" hidden="1" customHeight="1" x14ac:dyDescent="0.2">
      <c r="A45" s="434">
        <v>4</v>
      </c>
      <c r="B45" s="435" t="s">
        <v>756</v>
      </c>
      <c r="C45" s="433">
        <f t="shared" si="0"/>
        <v>0</v>
      </c>
      <c r="D45" s="433"/>
      <c r="E45" s="433"/>
    </row>
    <row r="46" spans="1:5" ht="35.1" hidden="1" customHeight="1" x14ac:dyDescent="0.2">
      <c r="A46" s="434">
        <v>5</v>
      </c>
      <c r="B46" s="435" t="s">
        <v>757</v>
      </c>
      <c r="C46" s="433">
        <f t="shared" si="0"/>
        <v>0</v>
      </c>
      <c r="D46" s="433"/>
      <c r="E46" s="433"/>
    </row>
    <row r="47" spans="1:5" ht="35.1" hidden="1" customHeight="1" x14ac:dyDescent="0.2">
      <c r="A47" s="434">
        <v>6</v>
      </c>
      <c r="B47" s="435" t="s">
        <v>758</v>
      </c>
      <c r="C47" s="433">
        <f t="shared" si="0"/>
        <v>0</v>
      </c>
      <c r="D47" s="433"/>
      <c r="E47" s="433"/>
    </row>
    <row r="48" spans="1:5" ht="35.1" hidden="1" customHeight="1" x14ac:dyDescent="0.2">
      <c r="A48" s="434">
        <v>7</v>
      </c>
      <c r="B48" s="435" t="s">
        <v>762</v>
      </c>
      <c r="C48" s="433">
        <f t="shared" si="0"/>
        <v>0</v>
      </c>
      <c r="D48" s="433"/>
      <c r="E48" s="433"/>
    </row>
    <row r="49" spans="1:5" ht="35.1" hidden="1" customHeight="1" x14ac:dyDescent="0.2">
      <c r="A49" s="598">
        <v>8</v>
      </c>
      <c r="B49" s="599" t="s">
        <v>946</v>
      </c>
      <c r="C49" s="600">
        <f>SUM(D49:E49)</f>
        <v>0</v>
      </c>
      <c r="D49" s="600"/>
      <c r="E49" s="600"/>
    </row>
    <row r="50" spans="1:5" ht="35.1" customHeight="1" x14ac:dyDescent="0.2">
      <c r="A50" s="1486" t="s">
        <v>38</v>
      </c>
      <c r="B50" s="1486"/>
      <c r="C50" s="601">
        <f>SUM(C7,C10)</f>
        <v>1680276</v>
      </c>
      <c r="D50" s="601">
        <f>SUM(D7,D10)</f>
        <v>1263824</v>
      </c>
      <c r="E50" s="601">
        <f>SUM(E7,E10)</f>
        <v>416452</v>
      </c>
    </row>
  </sheetData>
  <sortState ref="A31:E32">
    <sortCondition descending="1" ref="A31"/>
  </sortState>
  <customSheetViews>
    <customSheetView guid="{88621519-296E-4458-B04E-813E881018FE}" scale="85" fitToPage="1" hiddenRows="1" topLeftCell="A41">
      <selection activeCell="A52" sqref="A52"/>
      <pageMargins left="0" right="0" top="0.39370078740157483" bottom="0.39370078740157483" header="0.19685039370078741" footer="0.19685039370078741"/>
      <printOptions horizontalCentered="1"/>
      <pageSetup paperSize="9" scale="51"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39370078740157483" bottom="0.39370078740157483" header="0.19685039370078741" footer="0.19685039370078741"/>
  <pageSetup paperSize="9" scale="65" orientation="portrait" r:id="rId2"/>
  <headerFooter alignWithMargins="0">
    <oddHeader>&amp;R&amp;A</oddHeader>
  </headerFooter>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1"/>
  </sheetPr>
  <dimension ref="A1:FF63"/>
  <sheetViews>
    <sheetView zoomScale="80" zoomScaleNormal="80" workbookViewId="0">
      <pane xSplit="10" ySplit="9" topLeftCell="ES1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4.5" style="841" bestFit="1" customWidth="1"/>
    <col min="2" max="2" width="72.625" style="209" customWidth="1"/>
    <col min="3" max="3" width="9.25" style="209" customWidth="1"/>
    <col min="4" max="4" width="8.625" style="209" customWidth="1"/>
    <col min="5" max="5" width="9.375" style="209" customWidth="1"/>
    <col min="6" max="6" width="10.25" style="209" customWidth="1"/>
    <col min="7" max="7" width="10.625" style="209" customWidth="1"/>
    <col min="8" max="8" width="10" style="209" customWidth="1"/>
    <col min="9" max="10" width="8.5" style="209" customWidth="1"/>
    <col min="11" max="11" width="7.5" style="228" customWidth="1"/>
    <col min="12" max="12" width="7.125" style="228" customWidth="1"/>
    <col min="13" max="13" width="8.125" style="228" customWidth="1"/>
    <col min="14" max="15" width="7.5" style="228" customWidth="1"/>
    <col min="16" max="16" width="8.625" style="228" customWidth="1"/>
    <col min="17" max="19" width="7.5" style="228" customWidth="1"/>
    <col min="20" max="20" width="8.375" style="228" customWidth="1"/>
    <col min="21" max="21" width="7.5" style="228" customWidth="1"/>
    <col min="22" max="22" width="8.25" style="228" customWidth="1"/>
    <col min="23" max="25" width="7.5" style="228" customWidth="1"/>
    <col min="26" max="26" width="8.25" style="228" customWidth="1"/>
    <col min="27" max="27" width="8.125" style="209" customWidth="1"/>
    <col min="28" max="28" width="8.25" style="209" customWidth="1"/>
    <col min="29" max="29" width="8.75" style="209" customWidth="1"/>
    <col min="30" max="30" width="7.125" style="209" customWidth="1"/>
    <col min="31" max="31" width="9.5" style="209" customWidth="1"/>
    <col min="32" max="32" width="8.625" style="209" customWidth="1"/>
    <col min="33" max="33" width="8.875" style="209" customWidth="1"/>
    <col min="34" max="34" width="8.125" style="209" customWidth="1"/>
    <col min="35" max="37" width="7.625" style="228" customWidth="1"/>
    <col min="38" max="38" width="6.5" style="228" customWidth="1"/>
    <col min="39" max="47" width="8.5" style="209" customWidth="1"/>
    <col min="48" max="48" width="7.5" style="209" customWidth="1"/>
    <col min="49" max="49" width="7.25" style="209" customWidth="1"/>
    <col min="50" max="50" width="8.5" style="209" customWidth="1"/>
    <col min="51" max="51" width="9.375" style="209" customWidth="1"/>
    <col min="52" max="54" width="8.5" style="209" customWidth="1"/>
    <col min="55" max="55" width="9.25" style="209" customWidth="1"/>
    <col min="56" max="58" width="8.5" style="209" customWidth="1"/>
    <col min="59" max="59" width="7.875" style="209" customWidth="1"/>
    <col min="60" max="60" width="8.5" style="209" customWidth="1"/>
    <col min="61" max="61" width="7.375" style="209" customWidth="1"/>
    <col min="62" max="62" width="7.625" style="209" customWidth="1"/>
    <col min="63" max="63" width="9.875" style="209" customWidth="1"/>
    <col min="64" max="64" width="8.25" style="209" customWidth="1"/>
    <col min="65" max="67" width="8.875" style="209" customWidth="1"/>
    <col min="68" max="68" width="8.75" style="209" customWidth="1"/>
    <col min="69" max="69" width="8" style="209" customWidth="1"/>
    <col min="70" max="70" width="8.25" style="209" customWidth="1"/>
    <col min="71" max="71" width="7.375" style="209" customWidth="1"/>
    <col min="72" max="72" width="8.875" style="209" customWidth="1"/>
    <col min="73" max="73" width="7.375" style="209" customWidth="1"/>
    <col min="74" max="74" width="6.625" style="209" customWidth="1"/>
    <col min="75" max="75" width="9.5" style="209" customWidth="1"/>
    <col min="76" max="76" width="8" style="209" customWidth="1"/>
    <col min="77" max="77" width="8.375" style="209" customWidth="1"/>
    <col min="78" max="78" width="8.5" style="209" customWidth="1"/>
    <col min="79" max="79" width="8" style="209" customWidth="1"/>
    <col min="80" max="80" width="7.875" style="209" customWidth="1"/>
    <col min="81" max="81" width="8" style="209" customWidth="1"/>
    <col min="82" max="82" width="8.5" style="209" customWidth="1"/>
    <col min="83" max="85" width="8.125" style="209" customWidth="1"/>
    <col min="86" max="86" width="8" style="209" customWidth="1"/>
    <col min="87" max="90" width="8.75" style="209" customWidth="1"/>
    <col min="91" max="91" width="7.625" style="209" customWidth="1"/>
    <col min="92" max="93" width="8.75" style="209" customWidth="1"/>
    <col min="94" max="94" width="7.75" style="209" customWidth="1"/>
    <col min="95" max="97" width="8" style="209" customWidth="1"/>
    <col min="98" max="98" width="7.875" style="209" customWidth="1"/>
    <col min="99" max="100" width="8.75" style="209" customWidth="1"/>
    <col min="101" max="101" width="8.375" style="209" customWidth="1"/>
    <col min="102" max="102" width="8" style="209" customWidth="1"/>
    <col min="103" max="103" width="7.875" style="209" customWidth="1"/>
    <col min="104" max="106" width="8.25" style="209" customWidth="1"/>
    <col min="107" max="109" width="8.125" style="209" customWidth="1"/>
    <col min="110" max="110" width="7.875" style="209" customWidth="1"/>
    <col min="111" max="111" width="8.875" style="209" customWidth="1"/>
    <col min="112" max="112" width="8.375" style="209" customWidth="1"/>
    <col min="113" max="113" width="8.25" style="209" customWidth="1"/>
    <col min="114" max="114" width="8.875" style="209" customWidth="1"/>
    <col min="115" max="115" width="8.125" style="209" customWidth="1"/>
    <col min="116" max="116" width="8.25" style="209" customWidth="1"/>
    <col min="117" max="117" width="8.875" style="209" customWidth="1"/>
    <col min="118" max="118" width="8" style="209" customWidth="1"/>
    <col min="119" max="121" width="7.875" style="209" customWidth="1"/>
    <col min="122" max="122" width="7.75" style="209" customWidth="1"/>
    <col min="123" max="126" width="8.875" style="209" customWidth="1"/>
    <col min="127" max="127" width="8.75" style="209" customWidth="1"/>
    <col min="128" max="128" width="8.625" style="209" customWidth="1"/>
    <col min="129" max="130" width="8.25" style="209" customWidth="1"/>
    <col min="131" max="131" width="7.625" style="209" customWidth="1"/>
    <col min="132" max="132" width="8" style="209" customWidth="1"/>
    <col min="133" max="133" width="7.125" style="209" customWidth="1"/>
    <col min="134" max="134" width="7.625" style="209" customWidth="1"/>
    <col min="135" max="135" width="8.875" style="209" customWidth="1"/>
    <col min="136" max="136" width="8.125" style="209" customWidth="1"/>
    <col min="137" max="141" width="8.875" style="209" customWidth="1"/>
    <col min="142" max="142" width="8" style="209" customWidth="1"/>
    <col min="143" max="143" width="7.75" style="209" customWidth="1"/>
    <col min="144" max="144" width="7.875" style="209" customWidth="1"/>
    <col min="145" max="145" width="7.375" style="209" customWidth="1"/>
    <col min="146" max="146" width="7.875" style="209" customWidth="1"/>
    <col min="147" max="153" width="8.875" style="209" customWidth="1"/>
    <col min="154" max="154" width="7.5" style="209" customWidth="1"/>
    <col min="155" max="155" width="7.25" style="209" customWidth="1"/>
    <col min="156" max="156" width="8.375" style="209" customWidth="1"/>
    <col min="157" max="157" width="7.25" style="209" customWidth="1"/>
    <col min="158" max="158" width="7.625" style="209" customWidth="1"/>
    <col min="159" max="160" width="9" style="209"/>
    <col min="161" max="161" width="9.375" style="209" customWidth="1"/>
    <col min="162" max="162" width="8" style="209" customWidth="1"/>
    <col min="163" max="257" width="9" style="209"/>
    <col min="258" max="258" width="4.5" style="209" bestFit="1" customWidth="1"/>
    <col min="259" max="259" width="69.125" style="209" customWidth="1"/>
    <col min="260" max="260" width="9.25" style="209" customWidth="1"/>
    <col min="261" max="261" width="8.625" style="209" customWidth="1"/>
    <col min="262" max="262" width="9.375" style="209" customWidth="1"/>
    <col min="263" max="263" width="10.25" style="209" customWidth="1"/>
    <col min="264" max="264" width="10.625" style="209" customWidth="1"/>
    <col min="265" max="265" width="10" style="209" customWidth="1"/>
    <col min="266" max="267" width="8.5" style="209" customWidth="1"/>
    <col min="268" max="268" width="7.5" style="209" customWidth="1"/>
    <col min="269" max="269" width="7.125" style="209" customWidth="1"/>
    <col min="270" max="270" width="8.125" style="209" customWidth="1"/>
    <col min="271" max="272" width="7.5" style="209" customWidth="1"/>
    <col min="273" max="273" width="8.625" style="209" customWidth="1"/>
    <col min="274" max="276" width="7.5" style="209" customWidth="1"/>
    <col min="277" max="277" width="8.375" style="209" customWidth="1"/>
    <col min="278" max="278" width="7.5" style="209" customWidth="1"/>
    <col min="279" max="279" width="8.25" style="209" customWidth="1"/>
    <col min="280" max="282" width="7.5" style="209" customWidth="1"/>
    <col min="283" max="283" width="8.25" style="209" customWidth="1"/>
    <col min="284" max="284" width="8.125" style="209" customWidth="1"/>
    <col min="285" max="285" width="8.25" style="209" customWidth="1"/>
    <col min="286" max="286" width="8.75" style="209" customWidth="1"/>
    <col min="287" max="287" width="7.125" style="209" customWidth="1"/>
    <col min="288" max="288" width="9.5" style="209" customWidth="1"/>
    <col min="289" max="289" width="8.625" style="209" customWidth="1"/>
    <col min="290" max="290" width="8.875" style="209" customWidth="1"/>
    <col min="291" max="291" width="8.125" style="209" customWidth="1"/>
    <col min="292" max="294" width="7.625" style="209" customWidth="1"/>
    <col min="295" max="295" width="6.5" style="209" customWidth="1"/>
    <col min="296" max="304" width="8.5" style="209" customWidth="1"/>
    <col min="305" max="305" width="7.5" style="209" customWidth="1"/>
    <col min="306" max="306" width="7.25" style="209" customWidth="1"/>
    <col min="307" max="307" width="8.5" style="209" customWidth="1"/>
    <col min="308" max="308" width="9.375" style="209" customWidth="1"/>
    <col min="309" max="311" width="8.5" style="209" customWidth="1"/>
    <col min="312" max="312" width="9.25" style="209" customWidth="1"/>
    <col min="313" max="315" width="8.5" style="209" customWidth="1"/>
    <col min="316" max="316" width="7.875" style="209" customWidth="1"/>
    <col min="317" max="317" width="8.5" style="209" customWidth="1"/>
    <col min="318" max="318" width="7.375" style="209" customWidth="1"/>
    <col min="319" max="319" width="7.625" style="209" customWidth="1"/>
    <col min="320" max="320" width="9.875" style="209" customWidth="1"/>
    <col min="321" max="321" width="8.25" style="209" customWidth="1"/>
    <col min="322" max="324" width="8.875" style="209" customWidth="1"/>
    <col min="325" max="325" width="8.75" style="209" customWidth="1"/>
    <col min="326" max="326" width="8" style="209" customWidth="1"/>
    <col min="327" max="327" width="8.25" style="209" customWidth="1"/>
    <col min="328" max="328" width="7.375" style="209" customWidth="1"/>
    <col min="329" max="329" width="8.875" style="209" customWidth="1"/>
    <col min="330" max="330" width="7.375" style="209" customWidth="1"/>
    <col min="331" max="331" width="6.625" style="209" customWidth="1"/>
    <col min="332" max="332" width="9.5" style="209" customWidth="1"/>
    <col min="333" max="333" width="8" style="209" customWidth="1"/>
    <col min="334" max="334" width="8.375" style="209" customWidth="1"/>
    <col min="335" max="335" width="8.5" style="209" customWidth="1"/>
    <col min="336" max="336" width="8" style="209" customWidth="1"/>
    <col min="337" max="337" width="7.875" style="209" customWidth="1"/>
    <col min="338" max="338" width="8" style="209" customWidth="1"/>
    <col min="339" max="339" width="8.5" style="209" customWidth="1"/>
    <col min="340" max="342" width="8.125" style="209" customWidth="1"/>
    <col min="343" max="343" width="8" style="209" customWidth="1"/>
    <col min="344" max="347" width="8.75" style="209" customWidth="1"/>
    <col min="348" max="348" width="7.625" style="209" customWidth="1"/>
    <col min="349" max="350" width="8.75" style="209" customWidth="1"/>
    <col min="351" max="351" width="7.75" style="209" customWidth="1"/>
    <col min="352" max="354" width="8" style="209" customWidth="1"/>
    <col min="355" max="355" width="7.875" style="209" customWidth="1"/>
    <col min="356" max="357" width="8.75" style="209" customWidth="1"/>
    <col min="358" max="358" width="8.375" style="209" customWidth="1"/>
    <col min="359" max="359" width="8" style="209" customWidth="1"/>
    <col min="360" max="360" width="7.875" style="209" customWidth="1"/>
    <col min="361" max="363" width="8.25" style="209" customWidth="1"/>
    <col min="364" max="366" width="8.125" style="209" customWidth="1"/>
    <col min="367" max="367" width="7.875" style="209" customWidth="1"/>
    <col min="368" max="368" width="8.875" style="209" customWidth="1"/>
    <col min="369" max="369" width="8.375" style="209" customWidth="1"/>
    <col min="370" max="370" width="8.25" style="209" customWidth="1"/>
    <col min="371" max="371" width="8.875" style="209" customWidth="1"/>
    <col min="372" max="372" width="8.125" style="209" customWidth="1"/>
    <col min="373" max="373" width="8.25" style="209" customWidth="1"/>
    <col min="374" max="374" width="8.875" style="209" customWidth="1"/>
    <col min="375" max="375" width="8" style="209" customWidth="1"/>
    <col min="376" max="378" width="7.875" style="209" customWidth="1"/>
    <col min="379" max="379" width="7.75" style="209" customWidth="1"/>
    <col min="380" max="383" width="8.875" style="209" customWidth="1"/>
    <col min="384" max="384" width="8.75" style="209" customWidth="1"/>
    <col min="385" max="385" width="8.625" style="209" customWidth="1"/>
    <col min="386" max="387" width="8.25" style="209" customWidth="1"/>
    <col min="388" max="388" width="7.625" style="209" customWidth="1"/>
    <col min="389" max="389" width="8" style="209" customWidth="1"/>
    <col min="390" max="390" width="7.125" style="209" customWidth="1"/>
    <col min="391" max="391" width="7.625" style="209" customWidth="1"/>
    <col min="392" max="392" width="8.875" style="209" customWidth="1"/>
    <col min="393" max="393" width="8.125" style="209" customWidth="1"/>
    <col min="394" max="398" width="8.875" style="209" customWidth="1"/>
    <col min="399" max="399" width="8" style="209" customWidth="1"/>
    <col min="400" max="400" width="7.75" style="209" customWidth="1"/>
    <col min="401" max="401" width="7.875" style="209" customWidth="1"/>
    <col min="402" max="402" width="7.375" style="209" customWidth="1"/>
    <col min="403" max="403" width="7.875" style="209" customWidth="1"/>
    <col min="404" max="410" width="8.875" style="209" customWidth="1"/>
    <col min="411" max="411" width="7.5" style="209" customWidth="1"/>
    <col min="412" max="412" width="7.25" style="209" customWidth="1"/>
    <col min="413" max="413" width="8.375" style="209" customWidth="1"/>
    <col min="414" max="414" width="7.25" style="209" customWidth="1"/>
    <col min="415" max="415" width="7.625" style="209" customWidth="1"/>
    <col min="416" max="513" width="9" style="209"/>
    <col min="514" max="514" width="4.5" style="209" bestFit="1" customWidth="1"/>
    <col min="515" max="515" width="69.125" style="209" customWidth="1"/>
    <col min="516" max="516" width="9.25" style="209" customWidth="1"/>
    <col min="517" max="517" width="8.625" style="209" customWidth="1"/>
    <col min="518" max="518" width="9.375" style="209" customWidth="1"/>
    <col min="519" max="519" width="10.25" style="209" customWidth="1"/>
    <col min="520" max="520" width="10.625" style="209" customWidth="1"/>
    <col min="521" max="521" width="10" style="209" customWidth="1"/>
    <col min="522" max="523" width="8.5" style="209" customWidth="1"/>
    <col min="524" max="524" width="7.5" style="209" customWidth="1"/>
    <col min="525" max="525" width="7.125" style="209" customWidth="1"/>
    <col min="526" max="526" width="8.125" style="209" customWidth="1"/>
    <col min="527" max="528" width="7.5" style="209" customWidth="1"/>
    <col min="529" max="529" width="8.625" style="209" customWidth="1"/>
    <col min="530" max="532" width="7.5" style="209" customWidth="1"/>
    <col min="533" max="533" width="8.375" style="209" customWidth="1"/>
    <col min="534" max="534" width="7.5" style="209" customWidth="1"/>
    <col min="535" max="535" width="8.25" style="209" customWidth="1"/>
    <col min="536" max="538" width="7.5" style="209" customWidth="1"/>
    <col min="539" max="539" width="8.25" style="209" customWidth="1"/>
    <col min="540" max="540" width="8.125" style="209" customWidth="1"/>
    <col min="541" max="541" width="8.25" style="209" customWidth="1"/>
    <col min="542" max="542" width="8.75" style="209" customWidth="1"/>
    <col min="543" max="543" width="7.125" style="209" customWidth="1"/>
    <col min="544" max="544" width="9.5" style="209" customWidth="1"/>
    <col min="545" max="545" width="8.625" style="209" customWidth="1"/>
    <col min="546" max="546" width="8.875" style="209" customWidth="1"/>
    <col min="547" max="547" width="8.125" style="209" customWidth="1"/>
    <col min="548" max="550" width="7.625" style="209" customWidth="1"/>
    <col min="551" max="551" width="6.5" style="209" customWidth="1"/>
    <col min="552" max="560" width="8.5" style="209" customWidth="1"/>
    <col min="561" max="561" width="7.5" style="209" customWidth="1"/>
    <col min="562" max="562" width="7.25" style="209" customWidth="1"/>
    <col min="563" max="563" width="8.5" style="209" customWidth="1"/>
    <col min="564" max="564" width="9.375" style="209" customWidth="1"/>
    <col min="565" max="567" width="8.5" style="209" customWidth="1"/>
    <col min="568" max="568" width="9.25" style="209" customWidth="1"/>
    <col min="569" max="571" width="8.5" style="209" customWidth="1"/>
    <col min="572" max="572" width="7.875" style="209" customWidth="1"/>
    <col min="573" max="573" width="8.5" style="209" customWidth="1"/>
    <col min="574" max="574" width="7.375" style="209" customWidth="1"/>
    <col min="575" max="575" width="7.625" style="209" customWidth="1"/>
    <col min="576" max="576" width="9.875" style="209" customWidth="1"/>
    <col min="577" max="577" width="8.25" style="209" customWidth="1"/>
    <col min="578" max="580" width="8.875" style="209" customWidth="1"/>
    <col min="581" max="581" width="8.75" style="209" customWidth="1"/>
    <col min="582" max="582" width="8" style="209" customWidth="1"/>
    <col min="583" max="583" width="8.25" style="209" customWidth="1"/>
    <col min="584" max="584" width="7.375" style="209" customWidth="1"/>
    <col min="585" max="585" width="8.875" style="209" customWidth="1"/>
    <col min="586" max="586" width="7.375" style="209" customWidth="1"/>
    <col min="587" max="587" width="6.625" style="209" customWidth="1"/>
    <col min="588" max="588" width="9.5" style="209" customWidth="1"/>
    <col min="589" max="589" width="8" style="209" customWidth="1"/>
    <col min="590" max="590" width="8.375" style="209" customWidth="1"/>
    <col min="591" max="591" width="8.5" style="209" customWidth="1"/>
    <col min="592" max="592" width="8" style="209" customWidth="1"/>
    <col min="593" max="593" width="7.875" style="209" customWidth="1"/>
    <col min="594" max="594" width="8" style="209" customWidth="1"/>
    <col min="595" max="595" width="8.5" style="209" customWidth="1"/>
    <col min="596" max="598" width="8.125" style="209" customWidth="1"/>
    <col min="599" max="599" width="8" style="209" customWidth="1"/>
    <col min="600" max="603" width="8.75" style="209" customWidth="1"/>
    <col min="604" max="604" width="7.625" style="209" customWidth="1"/>
    <col min="605" max="606" width="8.75" style="209" customWidth="1"/>
    <col min="607" max="607" width="7.75" style="209" customWidth="1"/>
    <col min="608" max="610" width="8" style="209" customWidth="1"/>
    <col min="611" max="611" width="7.875" style="209" customWidth="1"/>
    <col min="612" max="613" width="8.75" style="209" customWidth="1"/>
    <col min="614" max="614" width="8.375" style="209" customWidth="1"/>
    <col min="615" max="615" width="8" style="209" customWidth="1"/>
    <col min="616" max="616" width="7.875" style="209" customWidth="1"/>
    <col min="617" max="619" width="8.25" style="209" customWidth="1"/>
    <col min="620" max="622" width="8.125" style="209" customWidth="1"/>
    <col min="623" max="623" width="7.875" style="209" customWidth="1"/>
    <col min="624" max="624" width="8.875" style="209" customWidth="1"/>
    <col min="625" max="625" width="8.375" style="209" customWidth="1"/>
    <col min="626" max="626" width="8.25" style="209" customWidth="1"/>
    <col min="627" max="627" width="8.875" style="209" customWidth="1"/>
    <col min="628" max="628" width="8.125" style="209" customWidth="1"/>
    <col min="629" max="629" width="8.25" style="209" customWidth="1"/>
    <col min="630" max="630" width="8.875" style="209" customWidth="1"/>
    <col min="631" max="631" width="8" style="209" customWidth="1"/>
    <col min="632" max="634" width="7.875" style="209" customWidth="1"/>
    <col min="635" max="635" width="7.75" style="209" customWidth="1"/>
    <col min="636" max="639" width="8.875" style="209" customWidth="1"/>
    <col min="640" max="640" width="8.75" style="209" customWidth="1"/>
    <col min="641" max="641" width="8.625" style="209" customWidth="1"/>
    <col min="642" max="643" width="8.25" style="209" customWidth="1"/>
    <col min="644" max="644" width="7.625" style="209" customWidth="1"/>
    <col min="645" max="645" width="8" style="209" customWidth="1"/>
    <col min="646" max="646" width="7.125" style="209" customWidth="1"/>
    <col min="647" max="647" width="7.625" style="209" customWidth="1"/>
    <col min="648" max="648" width="8.875" style="209" customWidth="1"/>
    <col min="649" max="649" width="8.125" style="209" customWidth="1"/>
    <col min="650" max="654" width="8.875" style="209" customWidth="1"/>
    <col min="655" max="655" width="8" style="209" customWidth="1"/>
    <col min="656" max="656" width="7.75" style="209" customWidth="1"/>
    <col min="657" max="657" width="7.875" style="209" customWidth="1"/>
    <col min="658" max="658" width="7.375" style="209" customWidth="1"/>
    <col min="659" max="659" width="7.875" style="209" customWidth="1"/>
    <col min="660" max="666" width="8.875" style="209" customWidth="1"/>
    <col min="667" max="667" width="7.5" style="209" customWidth="1"/>
    <col min="668" max="668" width="7.25" style="209" customWidth="1"/>
    <col min="669" max="669" width="8.375" style="209" customWidth="1"/>
    <col min="670" max="670" width="7.25" style="209" customWidth="1"/>
    <col min="671" max="671" width="7.625" style="209" customWidth="1"/>
    <col min="672" max="769" width="9" style="209"/>
    <col min="770" max="770" width="4.5" style="209" bestFit="1" customWidth="1"/>
    <col min="771" max="771" width="69.125" style="209" customWidth="1"/>
    <col min="772" max="772" width="9.25" style="209" customWidth="1"/>
    <col min="773" max="773" width="8.625" style="209" customWidth="1"/>
    <col min="774" max="774" width="9.375" style="209" customWidth="1"/>
    <col min="775" max="775" width="10.25" style="209" customWidth="1"/>
    <col min="776" max="776" width="10.625" style="209" customWidth="1"/>
    <col min="777" max="777" width="10" style="209" customWidth="1"/>
    <col min="778" max="779" width="8.5" style="209" customWidth="1"/>
    <col min="780" max="780" width="7.5" style="209" customWidth="1"/>
    <col min="781" max="781" width="7.125" style="209" customWidth="1"/>
    <col min="782" max="782" width="8.125" style="209" customWidth="1"/>
    <col min="783" max="784" width="7.5" style="209" customWidth="1"/>
    <col min="785" max="785" width="8.625" style="209" customWidth="1"/>
    <col min="786" max="788" width="7.5" style="209" customWidth="1"/>
    <col min="789" max="789" width="8.375" style="209" customWidth="1"/>
    <col min="790" max="790" width="7.5" style="209" customWidth="1"/>
    <col min="791" max="791" width="8.25" style="209" customWidth="1"/>
    <col min="792" max="794" width="7.5" style="209" customWidth="1"/>
    <col min="795" max="795" width="8.25" style="209" customWidth="1"/>
    <col min="796" max="796" width="8.125" style="209" customWidth="1"/>
    <col min="797" max="797" width="8.25" style="209" customWidth="1"/>
    <col min="798" max="798" width="8.75" style="209" customWidth="1"/>
    <col min="799" max="799" width="7.125" style="209" customWidth="1"/>
    <col min="800" max="800" width="9.5" style="209" customWidth="1"/>
    <col min="801" max="801" width="8.625" style="209" customWidth="1"/>
    <col min="802" max="802" width="8.875" style="209" customWidth="1"/>
    <col min="803" max="803" width="8.125" style="209" customWidth="1"/>
    <col min="804" max="806" width="7.625" style="209" customWidth="1"/>
    <col min="807" max="807" width="6.5" style="209" customWidth="1"/>
    <col min="808" max="816" width="8.5" style="209" customWidth="1"/>
    <col min="817" max="817" width="7.5" style="209" customWidth="1"/>
    <col min="818" max="818" width="7.25" style="209" customWidth="1"/>
    <col min="819" max="819" width="8.5" style="209" customWidth="1"/>
    <col min="820" max="820" width="9.375" style="209" customWidth="1"/>
    <col min="821" max="823" width="8.5" style="209" customWidth="1"/>
    <col min="824" max="824" width="9.25" style="209" customWidth="1"/>
    <col min="825" max="827" width="8.5" style="209" customWidth="1"/>
    <col min="828" max="828" width="7.875" style="209" customWidth="1"/>
    <col min="829" max="829" width="8.5" style="209" customWidth="1"/>
    <col min="830" max="830" width="7.375" style="209" customWidth="1"/>
    <col min="831" max="831" width="7.625" style="209" customWidth="1"/>
    <col min="832" max="832" width="9.875" style="209" customWidth="1"/>
    <col min="833" max="833" width="8.25" style="209" customWidth="1"/>
    <col min="834" max="836" width="8.875" style="209" customWidth="1"/>
    <col min="837" max="837" width="8.75" style="209" customWidth="1"/>
    <col min="838" max="838" width="8" style="209" customWidth="1"/>
    <col min="839" max="839" width="8.25" style="209" customWidth="1"/>
    <col min="840" max="840" width="7.375" style="209" customWidth="1"/>
    <col min="841" max="841" width="8.875" style="209" customWidth="1"/>
    <col min="842" max="842" width="7.375" style="209" customWidth="1"/>
    <col min="843" max="843" width="6.625" style="209" customWidth="1"/>
    <col min="844" max="844" width="9.5" style="209" customWidth="1"/>
    <col min="845" max="845" width="8" style="209" customWidth="1"/>
    <col min="846" max="846" width="8.375" style="209" customWidth="1"/>
    <col min="847" max="847" width="8.5" style="209" customWidth="1"/>
    <col min="848" max="848" width="8" style="209" customWidth="1"/>
    <col min="849" max="849" width="7.875" style="209" customWidth="1"/>
    <col min="850" max="850" width="8" style="209" customWidth="1"/>
    <col min="851" max="851" width="8.5" style="209" customWidth="1"/>
    <col min="852" max="854" width="8.125" style="209" customWidth="1"/>
    <col min="855" max="855" width="8" style="209" customWidth="1"/>
    <col min="856" max="859" width="8.75" style="209" customWidth="1"/>
    <col min="860" max="860" width="7.625" style="209" customWidth="1"/>
    <col min="861" max="862" width="8.75" style="209" customWidth="1"/>
    <col min="863" max="863" width="7.75" style="209" customWidth="1"/>
    <col min="864" max="866" width="8" style="209" customWidth="1"/>
    <col min="867" max="867" width="7.875" style="209" customWidth="1"/>
    <col min="868" max="869" width="8.75" style="209" customWidth="1"/>
    <col min="870" max="870" width="8.375" style="209" customWidth="1"/>
    <col min="871" max="871" width="8" style="209" customWidth="1"/>
    <col min="872" max="872" width="7.875" style="209" customWidth="1"/>
    <col min="873" max="875" width="8.25" style="209" customWidth="1"/>
    <col min="876" max="878" width="8.125" style="209" customWidth="1"/>
    <col min="879" max="879" width="7.875" style="209" customWidth="1"/>
    <col min="880" max="880" width="8.875" style="209" customWidth="1"/>
    <col min="881" max="881" width="8.375" style="209" customWidth="1"/>
    <col min="882" max="882" width="8.25" style="209" customWidth="1"/>
    <col min="883" max="883" width="8.875" style="209" customWidth="1"/>
    <col min="884" max="884" width="8.125" style="209" customWidth="1"/>
    <col min="885" max="885" width="8.25" style="209" customWidth="1"/>
    <col min="886" max="886" width="8.875" style="209" customWidth="1"/>
    <col min="887" max="887" width="8" style="209" customWidth="1"/>
    <col min="888" max="890" width="7.875" style="209" customWidth="1"/>
    <col min="891" max="891" width="7.75" style="209" customWidth="1"/>
    <col min="892" max="895" width="8.875" style="209" customWidth="1"/>
    <col min="896" max="896" width="8.75" style="209" customWidth="1"/>
    <col min="897" max="897" width="8.625" style="209" customWidth="1"/>
    <col min="898" max="899" width="8.25" style="209" customWidth="1"/>
    <col min="900" max="900" width="7.625" style="209" customWidth="1"/>
    <col min="901" max="901" width="8" style="209" customWidth="1"/>
    <col min="902" max="902" width="7.125" style="209" customWidth="1"/>
    <col min="903" max="903" width="7.625" style="209" customWidth="1"/>
    <col min="904" max="904" width="8.875" style="209" customWidth="1"/>
    <col min="905" max="905" width="8.125" style="209" customWidth="1"/>
    <col min="906" max="910" width="8.875" style="209" customWidth="1"/>
    <col min="911" max="911" width="8" style="209" customWidth="1"/>
    <col min="912" max="912" width="7.75" style="209" customWidth="1"/>
    <col min="913" max="913" width="7.875" style="209" customWidth="1"/>
    <col min="914" max="914" width="7.375" style="209" customWidth="1"/>
    <col min="915" max="915" width="7.875" style="209" customWidth="1"/>
    <col min="916" max="922" width="8.875" style="209" customWidth="1"/>
    <col min="923" max="923" width="7.5" style="209" customWidth="1"/>
    <col min="924" max="924" width="7.25" style="209" customWidth="1"/>
    <col min="925" max="925" width="8.375" style="209" customWidth="1"/>
    <col min="926" max="926" width="7.25" style="209" customWidth="1"/>
    <col min="927" max="927" width="7.625" style="209" customWidth="1"/>
    <col min="928" max="1025" width="9" style="209"/>
    <col min="1026" max="1026" width="4.5" style="209" bestFit="1" customWidth="1"/>
    <col min="1027" max="1027" width="69.125" style="209" customWidth="1"/>
    <col min="1028" max="1028" width="9.25" style="209" customWidth="1"/>
    <col min="1029" max="1029" width="8.625" style="209" customWidth="1"/>
    <col min="1030" max="1030" width="9.375" style="209" customWidth="1"/>
    <col min="1031" max="1031" width="10.25" style="209" customWidth="1"/>
    <col min="1032" max="1032" width="10.625" style="209" customWidth="1"/>
    <col min="1033" max="1033" width="10" style="209" customWidth="1"/>
    <col min="1034" max="1035" width="8.5" style="209" customWidth="1"/>
    <col min="1036" max="1036" width="7.5" style="209" customWidth="1"/>
    <col min="1037" max="1037" width="7.125" style="209" customWidth="1"/>
    <col min="1038" max="1038" width="8.125" style="209" customWidth="1"/>
    <col min="1039" max="1040" width="7.5" style="209" customWidth="1"/>
    <col min="1041" max="1041" width="8.625" style="209" customWidth="1"/>
    <col min="1042" max="1044" width="7.5" style="209" customWidth="1"/>
    <col min="1045" max="1045" width="8.375" style="209" customWidth="1"/>
    <col min="1046" max="1046" width="7.5" style="209" customWidth="1"/>
    <col min="1047" max="1047" width="8.25" style="209" customWidth="1"/>
    <col min="1048" max="1050" width="7.5" style="209" customWidth="1"/>
    <col min="1051" max="1051" width="8.25" style="209" customWidth="1"/>
    <col min="1052" max="1052" width="8.125" style="209" customWidth="1"/>
    <col min="1053" max="1053" width="8.25" style="209" customWidth="1"/>
    <col min="1054" max="1054" width="8.75" style="209" customWidth="1"/>
    <col min="1055" max="1055" width="7.125" style="209" customWidth="1"/>
    <col min="1056" max="1056" width="9.5" style="209" customWidth="1"/>
    <col min="1057" max="1057" width="8.625" style="209" customWidth="1"/>
    <col min="1058" max="1058" width="8.875" style="209" customWidth="1"/>
    <col min="1059" max="1059" width="8.125" style="209" customWidth="1"/>
    <col min="1060" max="1062" width="7.625" style="209" customWidth="1"/>
    <col min="1063" max="1063" width="6.5" style="209" customWidth="1"/>
    <col min="1064" max="1072" width="8.5" style="209" customWidth="1"/>
    <col min="1073" max="1073" width="7.5" style="209" customWidth="1"/>
    <col min="1074" max="1074" width="7.25" style="209" customWidth="1"/>
    <col min="1075" max="1075" width="8.5" style="209" customWidth="1"/>
    <col min="1076" max="1076" width="9.375" style="209" customWidth="1"/>
    <col min="1077" max="1079" width="8.5" style="209" customWidth="1"/>
    <col min="1080" max="1080" width="9.25" style="209" customWidth="1"/>
    <col min="1081" max="1083" width="8.5" style="209" customWidth="1"/>
    <col min="1084" max="1084" width="7.875" style="209" customWidth="1"/>
    <col min="1085" max="1085" width="8.5" style="209" customWidth="1"/>
    <col min="1086" max="1086" width="7.375" style="209" customWidth="1"/>
    <col min="1087" max="1087" width="7.625" style="209" customWidth="1"/>
    <col min="1088" max="1088" width="9.875" style="209" customWidth="1"/>
    <col min="1089" max="1089" width="8.25" style="209" customWidth="1"/>
    <col min="1090" max="1092" width="8.875" style="209" customWidth="1"/>
    <col min="1093" max="1093" width="8.75" style="209" customWidth="1"/>
    <col min="1094" max="1094" width="8" style="209" customWidth="1"/>
    <col min="1095" max="1095" width="8.25" style="209" customWidth="1"/>
    <col min="1096" max="1096" width="7.375" style="209" customWidth="1"/>
    <col min="1097" max="1097" width="8.875" style="209" customWidth="1"/>
    <col min="1098" max="1098" width="7.375" style="209" customWidth="1"/>
    <col min="1099" max="1099" width="6.625" style="209" customWidth="1"/>
    <col min="1100" max="1100" width="9.5" style="209" customWidth="1"/>
    <col min="1101" max="1101" width="8" style="209" customWidth="1"/>
    <col min="1102" max="1102" width="8.375" style="209" customWidth="1"/>
    <col min="1103" max="1103" width="8.5" style="209" customWidth="1"/>
    <col min="1104" max="1104" width="8" style="209" customWidth="1"/>
    <col min="1105" max="1105" width="7.875" style="209" customWidth="1"/>
    <col min="1106" max="1106" width="8" style="209" customWidth="1"/>
    <col min="1107" max="1107" width="8.5" style="209" customWidth="1"/>
    <col min="1108" max="1110" width="8.125" style="209" customWidth="1"/>
    <col min="1111" max="1111" width="8" style="209" customWidth="1"/>
    <col min="1112" max="1115" width="8.75" style="209" customWidth="1"/>
    <col min="1116" max="1116" width="7.625" style="209" customWidth="1"/>
    <col min="1117" max="1118" width="8.75" style="209" customWidth="1"/>
    <col min="1119" max="1119" width="7.75" style="209" customWidth="1"/>
    <col min="1120" max="1122" width="8" style="209" customWidth="1"/>
    <col min="1123" max="1123" width="7.875" style="209" customWidth="1"/>
    <col min="1124" max="1125" width="8.75" style="209" customWidth="1"/>
    <col min="1126" max="1126" width="8.375" style="209" customWidth="1"/>
    <col min="1127" max="1127" width="8" style="209" customWidth="1"/>
    <col min="1128" max="1128" width="7.875" style="209" customWidth="1"/>
    <col min="1129" max="1131" width="8.25" style="209" customWidth="1"/>
    <col min="1132" max="1134" width="8.125" style="209" customWidth="1"/>
    <col min="1135" max="1135" width="7.875" style="209" customWidth="1"/>
    <col min="1136" max="1136" width="8.875" style="209" customWidth="1"/>
    <col min="1137" max="1137" width="8.375" style="209" customWidth="1"/>
    <col min="1138" max="1138" width="8.25" style="209" customWidth="1"/>
    <col min="1139" max="1139" width="8.875" style="209" customWidth="1"/>
    <col min="1140" max="1140" width="8.125" style="209" customWidth="1"/>
    <col min="1141" max="1141" width="8.25" style="209" customWidth="1"/>
    <col min="1142" max="1142" width="8.875" style="209" customWidth="1"/>
    <col min="1143" max="1143" width="8" style="209" customWidth="1"/>
    <col min="1144" max="1146" width="7.875" style="209" customWidth="1"/>
    <col min="1147" max="1147" width="7.75" style="209" customWidth="1"/>
    <col min="1148" max="1151" width="8.875" style="209" customWidth="1"/>
    <col min="1152" max="1152" width="8.75" style="209" customWidth="1"/>
    <col min="1153" max="1153" width="8.625" style="209" customWidth="1"/>
    <col min="1154" max="1155" width="8.25" style="209" customWidth="1"/>
    <col min="1156" max="1156" width="7.625" style="209" customWidth="1"/>
    <col min="1157" max="1157" width="8" style="209" customWidth="1"/>
    <col min="1158" max="1158" width="7.125" style="209" customWidth="1"/>
    <col min="1159" max="1159" width="7.625" style="209" customWidth="1"/>
    <col min="1160" max="1160" width="8.875" style="209" customWidth="1"/>
    <col min="1161" max="1161" width="8.125" style="209" customWidth="1"/>
    <col min="1162" max="1166" width="8.875" style="209" customWidth="1"/>
    <col min="1167" max="1167" width="8" style="209" customWidth="1"/>
    <col min="1168" max="1168" width="7.75" style="209" customWidth="1"/>
    <col min="1169" max="1169" width="7.875" style="209" customWidth="1"/>
    <col min="1170" max="1170" width="7.375" style="209" customWidth="1"/>
    <col min="1171" max="1171" width="7.875" style="209" customWidth="1"/>
    <col min="1172" max="1178" width="8.875" style="209" customWidth="1"/>
    <col min="1179" max="1179" width="7.5" style="209" customWidth="1"/>
    <col min="1180" max="1180" width="7.25" style="209" customWidth="1"/>
    <col min="1181" max="1181" width="8.375" style="209" customWidth="1"/>
    <col min="1182" max="1182" width="7.25" style="209" customWidth="1"/>
    <col min="1183" max="1183" width="7.625" style="209" customWidth="1"/>
    <col min="1184" max="1281" width="9" style="209"/>
    <col min="1282" max="1282" width="4.5" style="209" bestFit="1" customWidth="1"/>
    <col min="1283" max="1283" width="69.125" style="209" customWidth="1"/>
    <col min="1284" max="1284" width="9.25" style="209" customWidth="1"/>
    <col min="1285" max="1285" width="8.625" style="209" customWidth="1"/>
    <col min="1286" max="1286" width="9.375" style="209" customWidth="1"/>
    <col min="1287" max="1287" width="10.25" style="209" customWidth="1"/>
    <col min="1288" max="1288" width="10.625" style="209" customWidth="1"/>
    <col min="1289" max="1289" width="10" style="209" customWidth="1"/>
    <col min="1290" max="1291" width="8.5" style="209" customWidth="1"/>
    <col min="1292" max="1292" width="7.5" style="209" customWidth="1"/>
    <col min="1293" max="1293" width="7.125" style="209" customWidth="1"/>
    <col min="1294" max="1294" width="8.125" style="209" customWidth="1"/>
    <col min="1295" max="1296" width="7.5" style="209" customWidth="1"/>
    <col min="1297" max="1297" width="8.625" style="209" customWidth="1"/>
    <col min="1298" max="1300" width="7.5" style="209" customWidth="1"/>
    <col min="1301" max="1301" width="8.375" style="209" customWidth="1"/>
    <col min="1302" max="1302" width="7.5" style="209" customWidth="1"/>
    <col min="1303" max="1303" width="8.25" style="209" customWidth="1"/>
    <col min="1304" max="1306" width="7.5" style="209" customWidth="1"/>
    <col min="1307" max="1307" width="8.25" style="209" customWidth="1"/>
    <col min="1308" max="1308" width="8.125" style="209" customWidth="1"/>
    <col min="1309" max="1309" width="8.25" style="209" customWidth="1"/>
    <col min="1310" max="1310" width="8.75" style="209" customWidth="1"/>
    <col min="1311" max="1311" width="7.125" style="209" customWidth="1"/>
    <col min="1312" max="1312" width="9.5" style="209" customWidth="1"/>
    <col min="1313" max="1313" width="8.625" style="209" customWidth="1"/>
    <col min="1314" max="1314" width="8.875" style="209" customWidth="1"/>
    <col min="1315" max="1315" width="8.125" style="209" customWidth="1"/>
    <col min="1316" max="1318" width="7.625" style="209" customWidth="1"/>
    <col min="1319" max="1319" width="6.5" style="209" customWidth="1"/>
    <col min="1320" max="1328" width="8.5" style="209" customWidth="1"/>
    <col min="1329" max="1329" width="7.5" style="209" customWidth="1"/>
    <col min="1330" max="1330" width="7.25" style="209" customWidth="1"/>
    <col min="1331" max="1331" width="8.5" style="209" customWidth="1"/>
    <col min="1332" max="1332" width="9.375" style="209" customWidth="1"/>
    <col min="1333" max="1335" width="8.5" style="209" customWidth="1"/>
    <col min="1336" max="1336" width="9.25" style="209" customWidth="1"/>
    <col min="1337" max="1339" width="8.5" style="209" customWidth="1"/>
    <col min="1340" max="1340" width="7.875" style="209" customWidth="1"/>
    <col min="1341" max="1341" width="8.5" style="209" customWidth="1"/>
    <col min="1342" max="1342" width="7.375" style="209" customWidth="1"/>
    <col min="1343" max="1343" width="7.625" style="209" customWidth="1"/>
    <col min="1344" max="1344" width="9.875" style="209" customWidth="1"/>
    <col min="1345" max="1345" width="8.25" style="209" customWidth="1"/>
    <col min="1346" max="1348" width="8.875" style="209" customWidth="1"/>
    <col min="1349" max="1349" width="8.75" style="209" customWidth="1"/>
    <col min="1350" max="1350" width="8" style="209" customWidth="1"/>
    <col min="1351" max="1351" width="8.25" style="209" customWidth="1"/>
    <col min="1352" max="1352" width="7.375" style="209" customWidth="1"/>
    <col min="1353" max="1353" width="8.875" style="209" customWidth="1"/>
    <col min="1354" max="1354" width="7.375" style="209" customWidth="1"/>
    <col min="1355" max="1355" width="6.625" style="209" customWidth="1"/>
    <col min="1356" max="1356" width="9.5" style="209" customWidth="1"/>
    <col min="1357" max="1357" width="8" style="209" customWidth="1"/>
    <col min="1358" max="1358" width="8.375" style="209" customWidth="1"/>
    <col min="1359" max="1359" width="8.5" style="209" customWidth="1"/>
    <col min="1360" max="1360" width="8" style="209" customWidth="1"/>
    <col min="1361" max="1361" width="7.875" style="209" customWidth="1"/>
    <col min="1362" max="1362" width="8" style="209" customWidth="1"/>
    <col min="1363" max="1363" width="8.5" style="209" customWidth="1"/>
    <col min="1364" max="1366" width="8.125" style="209" customWidth="1"/>
    <col min="1367" max="1367" width="8" style="209" customWidth="1"/>
    <col min="1368" max="1371" width="8.75" style="209" customWidth="1"/>
    <col min="1372" max="1372" width="7.625" style="209" customWidth="1"/>
    <col min="1373" max="1374" width="8.75" style="209" customWidth="1"/>
    <col min="1375" max="1375" width="7.75" style="209" customWidth="1"/>
    <col min="1376" max="1378" width="8" style="209" customWidth="1"/>
    <col min="1379" max="1379" width="7.875" style="209" customWidth="1"/>
    <col min="1380" max="1381" width="8.75" style="209" customWidth="1"/>
    <col min="1382" max="1382" width="8.375" style="209" customWidth="1"/>
    <col min="1383" max="1383" width="8" style="209" customWidth="1"/>
    <col min="1384" max="1384" width="7.875" style="209" customWidth="1"/>
    <col min="1385" max="1387" width="8.25" style="209" customWidth="1"/>
    <col min="1388" max="1390" width="8.125" style="209" customWidth="1"/>
    <col min="1391" max="1391" width="7.875" style="209" customWidth="1"/>
    <col min="1392" max="1392" width="8.875" style="209" customWidth="1"/>
    <col min="1393" max="1393" width="8.375" style="209" customWidth="1"/>
    <col min="1394" max="1394" width="8.25" style="209" customWidth="1"/>
    <col min="1395" max="1395" width="8.875" style="209" customWidth="1"/>
    <col min="1396" max="1396" width="8.125" style="209" customWidth="1"/>
    <col min="1397" max="1397" width="8.25" style="209" customWidth="1"/>
    <col min="1398" max="1398" width="8.875" style="209" customWidth="1"/>
    <col min="1399" max="1399" width="8" style="209" customWidth="1"/>
    <col min="1400" max="1402" width="7.875" style="209" customWidth="1"/>
    <col min="1403" max="1403" width="7.75" style="209" customWidth="1"/>
    <col min="1404" max="1407" width="8.875" style="209" customWidth="1"/>
    <col min="1408" max="1408" width="8.75" style="209" customWidth="1"/>
    <col min="1409" max="1409" width="8.625" style="209" customWidth="1"/>
    <col min="1410" max="1411" width="8.25" style="209" customWidth="1"/>
    <col min="1412" max="1412" width="7.625" style="209" customWidth="1"/>
    <col min="1413" max="1413" width="8" style="209" customWidth="1"/>
    <col min="1414" max="1414" width="7.125" style="209" customWidth="1"/>
    <col min="1415" max="1415" width="7.625" style="209" customWidth="1"/>
    <col min="1416" max="1416" width="8.875" style="209" customWidth="1"/>
    <col min="1417" max="1417" width="8.125" style="209" customWidth="1"/>
    <col min="1418" max="1422" width="8.875" style="209" customWidth="1"/>
    <col min="1423" max="1423" width="8" style="209" customWidth="1"/>
    <col min="1424" max="1424" width="7.75" style="209" customWidth="1"/>
    <col min="1425" max="1425" width="7.875" style="209" customWidth="1"/>
    <col min="1426" max="1426" width="7.375" style="209" customWidth="1"/>
    <col min="1427" max="1427" width="7.875" style="209" customWidth="1"/>
    <col min="1428" max="1434" width="8.875" style="209" customWidth="1"/>
    <col min="1435" max="1435" width="7.5" style="209" customWidth="1"/>
    <col min="1436" max="1436" width="7.25" style="209" customWidth="1"/>
    <col min="1437" max="1437" width="8.375" style="209" customWidth="1"/>
    <col min="1438" max="1438" width="7.25" style="209" customWidth="1"/>
    <col min="1439" max="1439" width="7.625" style="209" customWidth="1"/>
    <col min="1440" max="1537" width="9" style="209"/>
    <col min="1538" max="1538" width="4.5" style="209" bestFit="1" customWidth="1"/>
    <col min="1539" max="1539" width="69.125" style="209" customWidth="1"/>
    <col min="1540" max="1540" width="9.25" style="209" customWidth="1"/>
    <col min="1541" max="1541" width="8.625" style="209" customWidth="1"/>
    <col min="1542" max="1542" width="9.375" style="209" customWidth="1"/>
    <col min="1543" max="1543" width="10.25" style="209" customWidth="1"/>
    <col min="1544" max="1544" width="10.625" style="209" customWidth="1"/>
    <col min="1545" max="1545" width="10" style="209" customWidth="1"/>
    <col min="1546" max="1547" width="8.5" style="209" customWidth="1"/>
    <col min="1548" max="1548" width="7.5" style="209" customWidth="1"/>
    <col min="1549" max="1549" width="7.125" style="209" customWidth="1"/>
    <col min="1550" max="1550" width="8.125" style="209" customWidth="1"/>
    <col min="1551" max="1552" width="7.5" style="209" customWidth="1"/>
    <col min="1553" max="1553" width="8.625" style="209" customWidth="1"/>
    <col min="1554" max="1556" width="7.5" style="209" customWidth="1"/>
    <col min="1557" max="1557" width="8.375" style="209" customWidth="1"/>
    <col min="1558" max="1558" width="7.5" style="209" customWidth="1"/>
    <col min="1559" max="1559" width="8.25" style="209" customWidth="1"/>
    <col min="1560" max="1562" width="7.5" style="209" customWidth="1"/>
    <col min="1563" max="1563" width="8.25" style="209" customWidth="1"/>
    <col min="1564" max="1564" width="8.125" style="209" customWidth="1"/>
    <col min="1565" max="1565" width="8.25" style="209" customWidth="1"/>
    <col min="1566" max="1566" width="8.75" style="209" customWidth="1"/>
    <col min="1567" max="1567" width="7.125" style="209" customWidth="1"/>
    <col min="1568" max="1568" width="9.5" style="209" customWidth="1"/>
    <col min="1569" max="1569" width="8.625" style="209" customWidth="1"/>
    <col min="1570" max="1570" width="8.875" style="209" customWidth="1"/>
    <col min="1571" max="1571" width="8.125" style="209" customWidth="1"/>
    <col min="1572" max="1574" width="7.625" style="209" customWidth="1"/>
    <col min="1575" max="1575" width="6.5" style="209" customWidth="1"/>
    <col min="1576" max="1584" width="8.5" style="209" customWidth="1"/>
    <col min="1585" max="1585" width="7.5" style="209" customWidth="1"/>
    <col min="1586" max="1586" width="7.25" style="209" customWidth="1"/>
    <col min="1587" max="1587" width="8.5" style="209" customWidth="1"/>
    <col min="1588" max="1588" width="9.375" style="209" customWidth="1"/>
    <col min="1589" max="1591" width="8.5" style="209" customWidth="1"/>
    <col min="1592" max="1592" width="9.25" style="209" customWidth="1"/>
    <col min="1593" max="1595" width="8.5" style="209" customWidth="1"/>
    <col min="1596" max="1596" width="7.875" style="209" customWidth="1"/>
    <col min="1597" max="1597" width="8.5" style="209" customWidth="1"/>
    <col min="1598" max="1598" width="7.375" style="209" customWidth="1"/>
    <col min="1599" max="1599" width="7.625" style="209" customWidth="1"/>
    <col min="1600" max="1600" width="9.875" style="209" customWidth="1"/>
    <col min="1601" max="1601" width="8.25" style="209" customWidth="1"/>
    <col min="1602" max="1604" width="8.875" style="209" customWidth="1"/>
    <col min="1605" max="1605" width="8.75" style="209" customWidth="1"/>
    <col min="1606" max="1606" width="8" style="209" customWidth="1"/>
    <col min="1607" max="1607" width="8.25" style="209" customWidth="1"/>
    <col min="1608" max="1608" width="7.375" style="209" customWidth="1"/>
    <col min="1609" max="1609" width="8.875" style="209" customWidth="1"/>
    <col min="1610" max="1610" width="7.375" style="209" customWidth="1"/>
    <col min="1611" max="1611" width="6.625" style="209" customWidth="1"/>
    <col min="1612" max="1612" width="9.5" style="209" customWidth="1"/>
    <col min="1613" max="1613" width="8" style="209" customWidth="1"/>
    <col min="1614" max="1614" width="8.375" style="209" customWidth="1"/>
    <col min="1615" max="1615" width="8.5" style="209" customWidth="1"/>
    <col min="1616" max="1616" width="8" style="209" customWidth="1"/>
    <col min="1617" max="1617" width="7.875" style="209" customWidth="1"/>
    <col min="1618" max="1618" width="8" style="209" customWidth="1"/>
    <col min="1619" max="1619" width="8.5" style="209" customWidth="1"/>
    <col min="1620" max="1622" width="8.125" style="209" customWidth="1"/>
    <col min="1623" max="1623" width="8" style="209" customWidth="1"/>
    <col min="1624" max="1627" width="8.75" style="209" customWidth="1"/>
    <col min="1628" max="1628" width="7.625" style="209" customWidth="1"/>
    <col min="1629" max="1630" width="8.75" style="209" customWidth="1"/>
    <col min="1631" max="1631" width="7.75" style="209" customWidth="1"/>
    <col min="1632" max="1634" width="8" style="209" customWidth="1"/>
    <col min="1635" max="1635" width="7.875" style="209" customWidth="1"/>
    <col min="1636" max="1637" width="8.75" style="209" customWidth="1"/>
    <col min="1638" max="1638" width="8.375" style="209" customWidth="1"/>
    <col min="1639" max="1639" width="8" style="209" customWidth="1"/>
    <col min="1640" max="1640" width="7.875" style="209" customWidth="1"/>
    <col min="1641" max="1643" width="8.25" style="209" customWidth="1"/>
    <col min="1644" max="1646" width="8.125" style="209" customWidth="1"/>
    <col min="1647" max="1647" width="7.875" style="209" customWidth="1"/>
    <col min="1648" max="1648" width="8.875" style="209" customWidth="1"/>
    <col min="1649" max="1649" width="8.375" style="209" customWidth="1"/>
    <col min="1650" max="1650" width="8.25" style="209" customWidth="1"/>
    <col min="1651" max="1651" width="8.875" style="209" customWidth="1"/>
    <col min="1652" max="1652" width="8.125" style="209" customWidth="1"/>
    <col min="1653" max="1653" width="8.25" style="209" customWidth="1"/>
    <col min="1654" max="1654" width="8.875" style="209" customWidth="1"/>
    <col min="1655" max="1655" width="8" style="209" customWidth="1"/>
    <col min="1656" max="1658" width="7.875" style="209" customWidth="1"/>
    <col min="1659" max="1659" width="7.75" style="209" customWidth="1"/>
    <col min="1660" max="1663" width="8.875" style="209" customWidth="1"/>
    <col min="1664" max="1664" width="8.75" style="209" customWidth="1"/>
    <col min="1665" max="1665" width="8.625" style="209" customWidth="1"/>
    <col min="1666" max="1667" width="8.25" style="209" customWidth="1"/>
    <col min="1668" max="1668" width="7.625" style="209" customWidth="1"/>
    <col min="1669" max="1669" width="8" style="209" customWidth="1"/>
    <col min="1670" max="1670" width="7.125" style="209" customWidth="1"/>
    <col min="1671" max="1671" width="7.625" style="209" customWidth="1"/>
    <col min="1672" max="1672" width="8.875" style="209" customWidth="1"/>
    <col min="1673" max="1673" width="8.125" style="209" customWidth="1"/>
    <col min="1674" max="1678" width="8.875" style="209" customWidth="1"/>
    <col min="1679" max="1679" width="8" style="209" customWidth="1"/>
    <col min="1680" max="1680" width="7.75" style="209" customWidth="1"/>
    <col min="1681" max="1681" width="7.875" style="209" customWidth="1"/>
    <col min="1682" max="1682" width="7.375" style="209" customWidth="1"/>
    <col min="1683" max="1683" width="7.875" style="209" customWidth="1"/>
    <col min="1684" max="1690" width="8.875" style="209" customWidth="1"/>
    <col min="1691" max="1691" width="7.5" style="209" customWidth="1"/>
    <col min="1692" max="1692" width="7.25" style="209" customWidth="1"/>
    <col min="1693" max="1693" width="8.375" style="209" customWidth="1"/>
    <col min="1694" max="1694" width="7.25" style="209" customWidth="1"/>
    <col min="1695" max="1695" width="7.625" style="209" customWidth="1"/>
    <col min="1696" max="1793" width="9" style="209"/>
    <col min="1794" max="1794" width="4.5" style="209" bestFit="1" customWidth="1"/>
    <col min="1795" max="1795" width="69.125" style="209" customWidth="1"/>
    <col min="1796" max="1796" width="9.25" style="209" customWidth="1"/>
    <col min="1797" max="1797" width="8.625" style="209" customWidth="1"/>
    <col min="1798" max="1798" width="9.375" style="209" customWidth="1"/>
    <col min="1799" max="1799" width="10.25" style="209" customWidth="1"/>
    <col min="1800" max="1800" width="10.625" style="209" customWidth="1"/>
    <col min="1801" max="1801" width="10" style="209" customWidth="1"/>
    <col min="1802" max="1803" width="8.5" style="209" customWidth="1"/>
    <col min="1804" max="1804" width="7.5" style="209" customWidth="1"/>
    <col min="1805" max="1805" width="7.125" style="209" customWidth="1"/>
    <col min="1806" max="1806" width="8.125" style="209" customWidth="1"/>
    <col min="1807" max="1808" width="7.5" style="209" customWidth="1"/>
    <col min="1809" max="1809" width="8.625" style="209" customWidth="1"/>
    <col min="1810" max="1812" width="7.5" style="209" customWidth="1"/>
    <col min="1813" max="1813" width="8.375" style="209" customWidth="1"/>
    <col min="1814" max="1814" width="7.5" style="209" customWidth="1"/>
    <col min="1815" max="1815" width="8.25" style="209" customWidth="1"/>
    <col min="1816" max="1818" width="7.5" style="209" customWidth="1"/>
    <col min="1819" max="1819" width="8.25" style="209" customWidth="1"/>
    <col min="1820" max="1820" width="8.125" style="209" customWidth="1"/>
    <col min="1821" max="1821" width="8.25" style="209" customWidth="1"/>
    <col min="1822" max="1822" width="8.75" style="209" customWidth="1"/>
    <col min="1823" max="1823" width="7.125" style="209" customWidth="1"/>
    <col min="1824" max="1824" width="9.5" style="209" customWidth="1"/>
    <col min="1825" max="1825" width="8.625" style="209" customWidth="1"/>
    <col min="1826" max="1826" width="8.875" style="209" customWidth="1"/>
    <col min="1827" max="1827" width="8.125" style="209" customWidth="1"/>
    <col min="1828" max="1830" width="7.625" style="209" customWidth="1"/>
    <col min="1831" max="1831" width="6.5" style="209" customWidth="1"/>
    <col min="1832" max="1840" width="8.5" style="209" customWidth="1"/>
    <col min="1841" max="1841" width="7.5" style="209" customWidth="1"/>
    <col min="1842" max="1842" width="7.25" style="209" customWidth="1"/>
    <col min="1843" max="1843" width="8.5" style="209" customWidth="1"/>
    <col min="1844" max="1844" width="9.375" style="209" customWidth="1"/>
    <col min="1845" max="1847" width="8.5" style="209" customWidth="1"/>
    <col min="1848" max="1848" width="9.25" style="209" customWidth="1"/>
    <col min="1849" max="1851" width="8.5" style="209" customWidth="1"/>
    <col min="1852" max="1852" width="7.875" style="209" customWidth="1"/>
    <col min="1853" max="1853" width="8.5" style="209" customWidth="1"/>
    <col min="1854" max="1854" width="7.375" style="209" customWidth="1"/>
    <col min="1855" max="1855" width="7.625" style="209" customWidth="1"/>
    <col min="1856" max="1856" width="9.875" style="209" customWidth="1"/>
    <col min="1857" max="1857" width="8.25" style="209" customWidth="1"/>
    <col min="1858" max="1860" width="8.875" style="209" customWidth="1"/>
    <col min="1861" max="1861" width="8.75" style="209" customWidth="1"/>
    <col min="1862" max="1862" width="8" style="209" customWidth="1"/>
    <col min="1863" max="1863" width="8.25" style="209" customWidth="1"/>
    <col min="1864" max="1864" width="7.375" style="209" customWidth="1"/>
    <col min="1865" max="1865" width="8.875" style="209" customWidth="1"/>
    <col min="1866" max="1866" width="7.375" style="209" customWidth="1"/>
    <col min="1867" max="1867" width="6.625" style="209" customWidth="1"/>
    <col min="1868" max="1868" width="9.5" style="209" customWidth="1"/>
    <col min="1869" max="1869" width="8" style="209" customWidth="1"/>
    <col min="1870" max="1870" width="8.375" style="209" customWidth="1"/>
    <col min="1871" max="1871" width="8.5" style="209" customWidth="1"/>
    <col min="1872" max="1872" width="8" style="209" customWidth="1"/>
    <col min="1873" max="1873" width="7.875" style="209" customWidth="1"/>
    <col min="1874" max="1874" width="8" style="209" customWidth="1"/>
    <col min="1875" max="1875" width="8.5" style="209" customWidth="1"/>
    <col min="1876" max="1878" width="8.125" style="209" customWidth="1"/>
    <col min="1879" max="1879" width="8" style="209" customWidth="1"/>
    <col min="1880" max="1883" width="8.75" style="209" customWidth="1"/>
    <col min="1884" max="1884" width="7.625" style="209" customWidth="1"/>
    <col min="1885" max="1886" width="8.75" style="209" customWidth="1"/>
    <col min="1887" max="1887" width="7.75" style="209" customWidth="1"/>
    <col min="1888" max="1890" width="8" style="209" customWidth="1"/>
    <col min="1891" max="1891" width="7.875" style="209" customWidth="1"/>
    <col min="1892" max="1893" width="8.75" style="209" customWidth="1"/>
    <col min="1894" max="1894" width="8.375" style="209" customWidth="1"/>
    <col min="1895" max="1895" width="8" style="209" customWidth="1"/>
    <col min="1896" max="1896" width="7.875" style="209" customWidth="1"/>
    <col min="1897" max="1899" width="8.25" style="209" customWidth="1"/>
    <col min="1900" max="1902" width="8.125" style="209" customWidth="1"/>
    <col min="1903" max="1903" width="7.875" style="209" customWidth="1"/>
    <col min="1904" max="1904" width="8.875" style="209" customWidth="1"/>
    <col min="1905" max="1905" width="8.375" style="209" customWidth="1"/>
    <col min="1906" max="1906" width="8.25" style="209" customWidth="1"/>
    <col min="1907" max="1907" width="8.875" style="209" customWidth="1"/>
    <col min="1908" max="1908" width="8.125" style="209" customWidth="1"/>
    <col min="1909" max="1909" width="8.25" style="209" customWidth="1"/>
    <col min="1910" max="1910" width="8.875" style="209" customWidth="1"/>
    <col min="1911" max="1911" width="8" style="209" customWidth="1"/>
    <col min="1912" max="1914" width="7.875" style="209" customWidth="1"/>
    <col min="1915" max="1915" width="7.75" style="209" customWidth="1"/>
    <col min="1916" max="1919" width="8.875" style="209" customWidth="1"/>
    <col min="1920" max="1920" width="8.75" style="209" customWidth="1"/>
    <col min="1921" max="1921" width="8.625" style="209" customWidth="1"/>
    <col min="1922" max="1923" width="8.25" style="209" customWidth="1"/>
    <col min="1924" max="1924" width="7.625" style="209" customWidth="1"/>
    <col min="1925" max="1925" width="8" style="209" customWidth="1"/>
    <col min="1926" max="1926" width="7.125" style="209" customWidth="1"/>
    <col min="1927" max="1927" width="7.625" style="209" customWidth="1"/>
    <col min="1928" max="1928" width="8.875" style="209" customWidth="1"/>
    <col min="1929" max="1929" width="8.125" style="209" customWidth="1"/>
    <col min="1930" max="1934" width="8.875" style="209" customWidth="1"/>
    <col min="1935" max="1935" width="8" style="209" customWidth="1"/>
    <col min="1936" max="1936" width="7.75" style="209" customWidth="1"/>
    <col min="1937" max="1937" width="7.875" style="209" customWidth="1"/>
    <col min="1938" max="1938" width="7.375" style="209" customWidth="1"/>
    <col min="1939" max="1939" width="7.875" style="209" customWidth="1"/>
    <col min="1940" max="1946" width="8.875" style="209" customWidth="1"/>
    <col min="1947" max="1947" width="7.5" style="209" customWidth="1"/>
    <col min="1948" max="1948" width="7.25" style="209" customWidth="1"/>
    <col min="1949" max="1949" width="8.375" style="209" customWidth="1"/>
    <col min="1950" max="1950" width="7.25" style="209" customWidth="1"/>
    <col min="1951" max="1951" width="7.625" style="209" customWidth="1"/>
    <col min="1952" max="2049" width="9" style="209"/>
    <col min="2050" max="2050" width="4.5" style="209" bestFit="1" customWidth="1"/>
    <col min="2051" max="2051" width="69.125" style="209" customWidth="1"/>
    <col min="2052" max="2052" width="9.25" style="209" customWidth="1"/>
    <col min="2053" max="2053" width="8.625" style="209" customWidth="1"/>
    <col min="2054" max="2054" width="9.375" style="209" customWidth="1"/>
    <col min="2055" max="2055" width="10.25" style="209" customWidth="1"/>
    <col min="2056" max="2056" width="10.625" style="209" customWidth="1"/>
    <col min="2057" max="2057" width="10" style="209" customWidth="1"/>
    <col min="2058" max="2059" width="8.5" style="209" customWidth="1"/>
    <col min="2060" max="2060" width="7.5" style="209" customWidth="1"/>
    <col min="2061" max="2061" width="7.125" style="209" customWidth="1"/>
    <col min="2062" max="2062" width="8.125" style="209" customWidth="1"/>
    <col min="2063" max="2064" width="7.5" style="209" customWidth="1"/>
    <col min="2065" max="2065" width="8.625" style="209" customWidth="1"/>
    <col min="2066" max="2068" width="7.5" style="209" customWidth="1"/>
    <col min="2069" max="2069" width="8.375" style="209" customWidth="1"/>
    <col min="2070" max="2070" width="7.5" style="209" customWidth="1"/>
    <col min="2071" max="2071" width="8.25" style="209" customWidth="1"/>
    <col min="2072" max="2074" width="7.5" style="209" customWidth="1"/>
    <col min="2075" max="2075" width="8.25" style="209" customWidth="1"/>
    <col min="2076" max="2076" width="8.125" style="209" customWidth="1"/>
    <col min="2077" max="2077" width="8.25" style="209" customWidth="1"/>
    <col min="2078" max="2078" width="8.75" style="209" customWidth="1"/>
    <col min="2079" max="2079" width="7.125" style="209" customWidth="1"/>
    <col min="2080" max="2080" width="9.5" style="209" customWidth="1"/>
    <col min="2081" max="2081" width="8.625" style="209" customWidth="1"/>
    <col min="2082" max="2082" width="8.875" style="209" customWidth="1"/>
    <col min="2083" max="2083" width="8.125" style="209" customWidth="1"/>
    <col min="2084" max="2086" width="7.625" style="209" customWidth="1"/>
    <col min="2087" max="2087" width="6.5" style="209" customWidth="1"/>
    <col min="2088" max="2096" width="8.5" style="209" customWidth="1"/>
    <col min="2097" max="2097" width="7.5" style="209" customWidth="1"/>
    <col min="2098" max="2098" width="7.25" style="209" customWidth="1"/>
    <col min="2099" max="2099" width="8.5" style="209" customWidth="1"/>
    <col min="2100" max="2100" width="9.375" style="209" customWidth="1"/>
    <col min="2101" max="2103" width="8.5" style="209" customWidth="1"/>
    <col min="2104" max="2104" width="9.25" style="209" customWidth="1"/>
    <col min="2105" max="2107" width="8.5" style="209" customWidth="1"/>
    <col min="2108" max="2108" width="7.875" style="209" customWidth="1"/>
    <col min="2109" max="2109" width="8.5" style="209" customWidth="1"/>
    <col min="2110" max="2110" width="7.375" style="209" customWidth="1"/>
    <col min="2111" max="2111" width="7.625" style="209" customWidth="1"/>
    <col min="2112" max="2112" width="9.875" style="209" customWidth="1"/>
    <col min="2113" max="2113" width="8.25" style="209" customWidth="1"/>
    <col min="2114" max="2116" width="8.875" style="209" customWidth="1"/>
    <col min="2117" max="2117" width="8.75" style="209" customWidth="1"/>
    <col min="2118" max="2118" width="8" style="209" customWidth="1"/>
    <col min="2119" max="2119" width="8.25" style="209" customWidth="1"/>
    <col min="2120" max="2120" width="7.375" style="209" customWidth="1"/>
    <col min="2121" max="2121" width="8.875" style="209" customWidth="1"/>
    <col min="2122" max="2122" width="7.375" style="209" customWidth="1"/>
    <col min="2123" max="2123" width="6.625" style="209" customWidth="1"/>
    <col min="2124" max="2124" width="9.5" style="209" customWidth="1"/>
    <col min="2125" max="2125" width="8" style="209" customWidth="1"/>
    <col min="2126" max="2126" width="8.375" style="209" customWidth="1"/>
    <col min="2127" max="2127" width="8.5" style="209" customWidth="1"/>
    <col min="2128" max="2128" width="8" style="209" customWidth="1"/>
    <col min="2129" max="2129" width="7.875" style="209" customWidth="1"/>
    <col min="2130" max="2130" width="8" style="209" customWidth="1"/>
    <col min="2131" max="2131" width="8.5" style="209" customWidth="1"/>
    <col min="2132" max="2134" width="8.125" style="209" customWidth="1"/>
    <col min="2135" max="2135" width="8" style="209" customWidth="1"/>
    <col min="2136" max="2139" width="8.75" style="209" customWidth="1"/>
    <col min="2140" max="2140" width="7.625" style="209" customWidth="1"/>
    <col min="2141" max="2142" width="8.75" style="209" customWidth="1"/>
    <col min="2143" max="2143" width="7.75" style="209" customWidth="1"/>
    <col min="2144" max="2146" width="8" style="209" customWidth="1"/>
    <col min="2147" max="2147" width="7.875" style="209" customWidth="1"/>
    <col min="2148" max="2149" width="8.75" style="209" customWidth="1"/>
    <col min="2150" max="2150" width="8.375" style="209" customWidth="1"/>
    <col min="2151" max="2151" width="8" style="209" customWidth="1"/>
    <col min="2152" max="2152" width="7.875" style="209" customWidth="1"/>
    <col min="2153" max="2155" width="8.25" style="209" customWidth="1"/>
    <col min="2156" max="2158" width="8.125" style="209" customWidth="1"/>
    <col min="2159" max="2159" width="7.875" style="209" customWidth="1"/>
    <col min="2160" max="2160" width="8.875" style="209" customWidth="1"/>
    <col min="2161" max="2161" width="8.375" style="209" customWidth="1"/>
    <col min="2162" max="2162" width="8.25" style="209" customWidth="1"/>
    <col min="2163" max="2163" width="8.875" style="209" customWidth="1"/>
    <col min="2164" max="2164" width="8.125" style="209" customWidth="1"/>
    <col min="2165" max="2165" width="8.25" style="209" customWidth="1"/>
    <col min="2166" max="2166" width="8.875" style="209" customWidth="1"/>
    <col min="2167" max="2167" width="8" style="209" customWidth="1"/>
    <col min="2168" max="2170" width="7.875" style="209" customWidth="1"/>
    <col min="2171" max="2171" width="7.75" style="209" customWidth="1"/>
    <col min="2172" max="2175" width="8.875" style="209" customWidth="1"/>
    <col min="2176" max="2176" width="8.75" style="209" customWidth="1"/>
    <col min="2177" max="2177" width="8.625" style="209" customWidth="1"/>
    <col min="2178" max="2179" width="8.25" style="209" customWidth="1"/>
    <col min="2180" max="2180" width="7.625" style="209" customWidth="1"/>
    <col min="2181" max="2181" width="8" style="209" customWidth="1"/>
    <col min="2182" max="2182" width="7.125" style="209" customWidth="1"/>
    <col min="2183" max="2183" width="7.625" style="209" customWidth="1"/>
    <col min="2184" max="2184" width="8.875" style="209" customWidth="1"/>
    <col min="2185" max="2185" width="8.125" style="209" customWidth="1"/>
    <col min="2186" max="2190" width="8.875" style="209" customWidth="1"/>
    <col min="2191" max="2191" width="8" style="209" customWidth="1"/>
    <col min="2192" max="2192" width="7.75" style="209" customWidth="1"/>
    <col min="2193" max="2193" width="7.875" style="209" customWidth="1"/>
    <col min="2194" max="2194" width="7.375" style="209" customWidth="1"/>
    <col min="2195" max="2195" width="7.875" style="209" customWidth="1"/>
    <col min="2196" max="2202" width="8.875" style="209" customWidth="1"/>
    <col min="2203" max="2203" width="7.5" style="209" customWidth="1"/>
    <col min="2204" max="2204" width="7.25" style="209" customWidth="1"/>
    <col min="2205" max="2205" width="8.375" style="209" customWidth="1"/>
    <col min="2206" max="2206" width="7.25" style="209" customWidth="1"/>
    <col min="2207" max="2207" width="7.625" style="209" customWidth="1"/>
    <col min="2208" max="2305" width="9" style="209"/>
    <col min="2306" max="2306" width="4.5" style="209" bestFit="1" customWidth="1"/>
    <col min="2307" max="2307" width="69.125" style="209" customWidth="1"/>
    <col min="2308" max="2308" width="9.25" style="209" customWidth="1"/>
    <col min="2309" max="2309" width="8.625" style="209" customWidth="1"/>
    <col min="2310" max="2310" width="9.375" style="209" customWidth="1"/>
    <col min="2311" max="2311" width="10.25" style="209" customWidth="1"/>
    <col min="2312" max="2312" width="10.625" style="209" customWidth="1"/>
    <col min="2313" max="2313" width="10" style="209" customWidth="1"/>
    <col min="2314" max="2315" width="8.5" style="209" customWidth="1"/>
    <col min="2316" max="2316" width="7.5" style="209" customWidth="1"/>
    <col min="2317" max="2317" width="7.125" style="209" customWidth="1"/>
    <col min="2318" max="2318" width="8.125" style="209" customWidth="1"/>
    <col min="2319" max="2320" width="7.5" style="209" customWidth="1"/>
    <col min="2321" max="2321" width="8.625" style="209" customWidth="1"/>
    <col min="2322" max="2324" width="7.5" style="209" customWidth="1"/>
    <col min="2325" max="2325" width="8.375" style="209" customWidth="1"/>
    <col min="2326" max="2326" width="7.5" style="209" customWidth="1"/>
    <col min="2327" max="2327" width="8.25" style="209" customWidth="1"/>
    <col min="2328" max="2330" width="7.5" style="209" customWidth="1"/>
    <col min="2331" max="2331" width="8.25" style="209" customWidth="1"/>
    <col min="2332" max="2332" width="8.125" style="209" customWidth="1"/>
    <col min="2333" max="2333" width="8.25" style="209" customWidth="1"/>
    <col min="2334" max="2334" width="8.75" style="209" customWidth="1"/>
    <col min="2335" max="2335" width="7.125" style="209" customWidth="1"/>
    <col min="2336" max="2336" width="9.5" style="209" customWidth="1"/>
    <col min="2337" max="2337" width="8.625" style="209" customWidth="1"/>
    <col min="2338" max="2338" width="8.875" style="209" customWidth="1"/>
    <col min="2339" max="2339" width="8.125" style="209" customWidth="1"/>
    <col min="2340" max="2342" width="7.625" style="209" customWidth="1"/>
    <col min="2343" max="2343" width="6.5" style="209" customWidth="1"/>
    <col min="2344" max="2352" width="8.5" style="209" customWidth="1"/>
    <col min="2353" max="2353" width="7.5" style="209" customWidth="1"/>
    <col min="2354" max="2354" width="7.25" style="209" customWidth="1"/>
    <col min="2355" max="2355" width="8.5" style="209" customWidth="1"/>
    <col min="2356" max="2356" width="9.375" style="209" customWidth="1"/>
    <col min="2357" max="2359" width="8.5" style="209" customWidth="1"/>
    <col min="2360" max="2360" width="9.25" style="209" customWidth="1"/>
    <col min="2361" max="2363" width="8.5" style="209" customWidth="1"/>
    <col min="2364" max="2364" width="7.875" style="209" customWidth="1"/>
    <col min="2365" max="2365" width="8.5" style="209" customWidth="1"/>
    <col min="2366" max="2366" width="7.375" style="209" customWidth="1"/>
    <col min="2367" max="2367" width="7.625" style="209" customWidth="1"/>
    <col min="2368" max="2368" width="9.875" style="209" customWidth="1"/>
    <col min="2369" max="2369" width="8.25" style="209" customWidth="1"/>
    <col min="2370" max="2372" width="8.875" style="209" customWidth="1"/>
    <col min="2373" max="2373" width="8.75" style="209" customWidth="1"/>
    <col min="2374" max="2374" width="8" style="209" customWidth="1"/>
    <col min="2375" max="2375" width="8.25" style="209" customWidth="1"/>
    <col min="2376" max="2376" width="7.375" style="209" customWidth="1"/>
    <col min="2377" max="2377" width="8.875" style="209" customWidth="1"/>
    <col min="2378" max="2378" width="7.375" style="209" customWidth="1"/>
    <col min="2379" max="2379" width="6.625" style="209" customWidth="1"/>
    <col min="2380" max="2380" width="9.5" style="209" customWidth="1"/>
    <col min="2381" max="2381" width="8" style="209" customWidth="1"/>
    <col min="2382" max="2382" width="8.375" style="209" customWidth="1"/>
    <col min="2383" max="2383" width="8.5" style="209" customWidth="1"/>
    <col min="2384" max="2384" width="8" style="209" customWidth="1"/>
    <col min="2385" max="2385" width="7.875" style="209" customWidth="1"/>
    <col min="2386" max="2386" width="8" style="209" customWidth="1"/>
    <col min="2387" max="2387" width="8.5" style="209" customWidth="1"/>
    <col min="2388" max="2390" width="8.125" style="209" customWidth="1"/>
    <col min="2391" max="2391" width="8" style="209" customWidth="1"/>
    <col min="2392" max="2395" width="8.75" style="209" customWidth="1"/>
    <col min="2396" max="2396" width="7.625" style="209" customWidth="1"/>
    <col min="2397" max="2398" width="8.75" style="209" customWidth="1"/>
    <col min="2399" max="2399" width="7.75" style="209" customWidth="1"/>
    <col min="2400" max="2402" width="8" style="209" customWidth="1"/>
    <col min="2403" max="2403" width="7.875" style="209" customWidth="1"/>
    <col min="2404" max="2405" width="8.75" style="209" customWidth="1"/>
    <col min="2406" max="2406" width="8.375" style="209" customWidth="1"/>
    <col min="2407" max="2407" width="8" style="209" customWidth="1"/>
    <col min="2408" max="2408" width="7.875" style="209" customWidth="1"/>
    <col min="2409" max="2411" width="8.25" style="209" customWidth="1"/>
    <col min="2412" max="2414" width="8.125" style="209" customWidth="1"/>
    <col min="2415" max="2415" width="7.875" style="209" customWidth="1"/>
    <col min="2416" max="2416" width="8.875" style="209" customWidth="1"/>
    <col min="2417" max="2417" width="8.375" style="209" customWidth="1"/>
    <col min="2418" max="2418" width="8.25" style="209" customWidth="1"/>
    <col min="2419" max="2419" width="8.875" style="209" customWidth="1"/>
    <col min="2420" max="2420" width="8.125" style="209" customWidth="1"/>
    <col min="2421" max="2421" width="8.25" style="209" customWidth="1"/>
    <col min="2422" max="2422" width="8.875" style="209" customWidth="1"/>
    <col min="2423" max="2423" width="8" style="209" customWidth="1"/>
    <col min="2424" max="2426" width="7.875" style="209" customWidth="1"/>
    <col min="2427" max="2427" width="7.75" style="209" customWidth="1"/>
    <col min="2428" max="2431" width="8.875" style="209" customWidth="1"/>
    <col min="2432" max="2432" width="8.75" style="209" customWidth="1"/>
    <col min="2433" max="2433" width="8.625" style="209" customWidth="1"/>
    <col min="2434" max="2435" width="8.25" style="209" customWidth="1"/>
    <col min="2436" max="2436" width="7.625" style="209" customWidth="1"/>
    <col min="2437" max="2437" width="8" style="209" customWidth="1"/>
    <col min="2438" max="2438" width="7.125" style="209" customWidth="1"/>
    <col min="2439" max="2439" width="7.625" style="209" customWidth="1"/>
    <col min="2440" max="2440" width="8.875" style="209" customWidth="1"/>
    <col min="2441" max="2441" width="8.125" style="209" customWidth="1"/>
    <col min="2442" max="2446" width="8.875" style="209" customWidth="1"/>
    <col min="2447" max="2447" width="8" style="209" customWidth="1"/>
    <col min="2448" max="2448" width="7.75" style="209" customWidth="1"/>
    <col min="2449" max="2449" width="7.875" style="209" customWidth="1"/>
    <col min="2450" max="2450" width="7.375" style="209" customWidth="1"/>
    <col min="2451" max="2451" width="7.875" style="209" customWidth="1"/>
    <col min="2452" max="2458" width="8.875" style="209" customWidth="1"/>
    <col min="2459" max="2459" width="7.5" style="209" customWidth="1"/>
    <col min="2460" max="2460" width="7.25" style="209" customWidth="1"/>
    <col min="2461" max="2461" width="8.375" style="209" customWidth="1"/>
    <col min="2462" max="2462" width="7.25" style="209" customWidth="1"/>
    <col min="2463" max="2463" width="7.625" style="209" customWidth="1"/>
    <col min="2464" max="2561" width="9" style="209"/>
    <col min="2562" max="2562" width="4.5" style="209" bestFit="1" customWidth="1"/>
    <col min="2563" max="2563" width="69.125" style="209" customWidth="1"/>
    <col min="2564" max="2564" width="9.25" style="209" customWidth="1"/>
    <col min="2565" max="2565" width="8.625" style="209" customWidth="1"/>
    <col min="2566" max="2566" width="9.375" style="209" customWidth="1"/>
    <col min="2567" max="2567" width="10.25" style="209" customWidth="1"/>
    <col min="2568" max="2568" width="10.625" style="209" customWidth="1"/>
    <col min="2569" max="2569" width="10" style="209" customWidth="1"/>
    <col min="2570" max="2571" width="8.5" style="209" customWidth="1"/>
    <col min="2572" max="2572" width="7.5" style="209" customWidth="1"/>
    <col min="2573" max="2573" width="7.125" style="209" customWidth="1"/>
    <col min="2574" max="2574" width="8.125" style="209" customWidth="1"/>
    <col min="2575" max="2576" width="7.5" style="209" customWidth="1"/>
    <col min="2577" max="2577" width="8.625" style="209" customWidth="1"/>
    <col min="2578" max="2580" width="7.5" style="209" customWidth="1"/>
    <col min="2581" max="2581" width="8.375" style="209" customWidth="1"/>
    <col min="2582" max="2582" width="7.5" style="209" customWidth="1"/>
    <col min="2583" max="2583" width="8.25" style="209" customWidth="1"/>
    <col min="2584" max="2586" width="7.5" style="209" customWidth="1"/>
    <col min="2587" max="2587" width="8.25" style="209" customWidth="1"/>
    <col min="2588" max="2588" width="8.125" style="209" customWidth="1"/>
    <col min="2589" max="2589" width="8.25" style="209" customWidth="1"/>
    <col min="2590" max="2590" width="8.75" style="209" customWidth="1"/>
    <col min="2591" max="2591" width="7.125" style="209" customWidth="1"/>
    <col min="2592" max="2592" width="9.5" style="209" customWidth="1"/>
    <col min="2593" max="2593" width="8.625" style="209" customWidth="1"/>
    <col min="2594" max="2594" width="8.875" style="209" customWidth="1"/>
    <col min="2595" max="2595" width="8.125" style="209" customWidth="1"/>
    <col min="2596" max="2598" width="7.625" style="209" customWidth="1"/>
    <col min="2599" max="2599" width="6.5" style="209" customWidth="1"/>
    <col min="2600" max="2608" width="8.5" style="209" customWidth="1"/>
    <col min="2609" max="2609" width="7.5" style="209" customWidth="1"/>
    <col min="2610" max="2610" width="7.25" style="209" customWidth="1"/>
    <col min="2611" max="2611" width="8.5" style="209" customWidth="1"/>
    <col min="2612" max="2612" width="9.375" style="209" customWidth="1"/>
    <col min="2613" max="2615" width="8.5" style="209" customWidth="1"/>
    <col min="2616" max="2616" width="9.25" style="209" customWidth="1"/>
    <col min="2617" max="2619" width="8.5" style="209" customWidth="1"/>
    <col min="2620" max="2620" width="7.875" style="209" customWidth="1"/>
    <col min="2621" max="2621" width="8.5" style="209" customWidth="1"/>
    <col min="2622" max="2622" width="7.375" style="209" customWidth="1"/>
    <col min="2623" max="2623" width="7.625" style="209" customWidth="1"/>
    <col min="2624" max="2624" width="9.875" style="209" customWidth="1"/>
    <col min="2625" max="2625" width="8.25" style="209" customWidth="1"/>
    <col min="2626" max="2628" width="8.875" style="209" customWidth="1"/>
    <col min="2629" max="2629" width="8.75" style="209" customWidth="1"/>
    <col min="2630" max="2630" width="8" style="209" customWidth="1"/>
    <col min="2631" max="2631" width="8.25" style="209" customWidth="1"/>
    <col min="2632" max="2632" width="7.375" style="209" customWidth="1"/>
    <col min="2633" max="2633" width="8.875" style="209" customWidth="1"/>
    <col min="2634" max="2634" width="7.375" style="209" customWidth="1"/>
    <col min="2635" max="2635" width="6.625" style="209" customWidth="1"/>
    <col min="2636" max="2636" width="9.5" style="209" customWidth="1"/>
    <col min="2637" max="2637" width="8" style="209" customWidth="1"/>
    <col min="2638" max="2638" width="8.375" style="209" customWidth="1"/>
    <col min="2639" max="2639" width="8.5" style="209" customWidth="1"/>
    <col min="2640" max="2640" width="8" style="209" customWidth="1"/>
    <col min="2641" max="2641" width="7.875" style="209" customWidth="1"/>
    <col min="2642" max="2642" width="8" style="209" customWidth="1"/>
    <col min="2643" max="2643" width="8.5" style="209" customWidth="1"/>
    <col min="2644" max="2646" width="8.125" style="209" customWidth="1"/>
    <col min="2647" max="2647" width="8" style="209" customWidth="1"/>
    <col min="2648" max="2651" width="8.75" style="209" customWidth="1"/>
    <col min="2652" max="2652" width="7.625" style="209" customWidth="1"/>
    <col min="2653" max="2654" width="8.75" style="209" customWidth="1"/>
    <col min="2655" max="2655" width="7.75" style="209" customWidth="1"/>
    <col min="2656" max="2658" width="8" style="209" customWidth="1"/>
    <col min="2659" max="2659" width="7.875" style="209" customWidth="1"/>
    <col min="2660" max="2661" width="8.75" style="209" customWidth="1"/>
    <col min="2662" max="2662" width="8.375" style="209" customWidth="1"/>
    <col min="2663" max="2663" width="8" style="209" customWidth="1"/>
    <col min="2664" max="2664" width="7.875" style="209" customWidth="1"/>
    <col min="2665" max="2667" width="8.25" style="209" customWidth="1"/>
    <col min="2668" max="2670" width="8.125" style="209" customWidth="1"/>
    <col min="2671" max="2671" width="7.875" style="209" customWidth="1"/>
    <col min="2672" max="2672" width="8.875" style="209" customWidth="1"/>
    <col min="2673" max="2673" width="8.375" style="209" customWidth="1"/>
    <col min="2674" max="2674" width="8.25" style="209" customWidth="1"/>
    <col min="2675" max="2675" width="8.875" style="209" customWidth="1"/>
    <col min="2676" max="2676" width="8.125" style="209" customWidth="1"/>
    <col min="2677" max="2677" width="8.25" style="209" customWidth="1"/>
    <col min="2678" max="2678" width="8.875" style="209" customWidth="1"/>
    <col min="2679" max="2679" width="8" style="209" customWidth="1"/>
    <col min="2680" max="2682" width="7.875" style="209" customWidth="1"/>
    <col min="2683" max="2683" width="7.75" style="209" customWidth="1"/>
    <col min="2684" max="2687" width="8.875" style="209" customWidth="1"/>
    <col min="2688" max="2688" width="8.75" style="209" customWidth="1"/>
    <col min="2689" max="2689" width="8.625" style="209" customWidth="1"/>
    <col min="2690" max="2691" width="8.25" style="209" customWidth="1"/>
    <col min="2692" max="2692" width="7.625" style="209" customWidth="1"/>
    <col min="2693" max="2693" width="8" style="209" customWidth="1"/>
    <col min="2694" max="2694" width="7.125" style="209" customWidth="1"/>
    <col min="2695" max="2695" width="7.625" style="209" customWidth="1"/>
    <col min="2696" max="2696" width="8.875" style="209" customWidth="1"/>
    <col min="2697" max="2697" width="8.125" style="209" customWidth="1"/>
    <col min="2698" max="2702" width="8.875" style="209" customWidth="1"/>
    <col min="2703" max="2703" width="8" style="209" customWidth="1"/>
    <col min="2704" max="2704" width="7.75" style="209" customWidth="1"/>
    <col min="2705" max="2705" width="7.875" style="209" customWidth="1"/>
    <col min="2706" max="2706" width="7.375" style="209" customWidth="1"/>
    <col min="2707" max="2707" width="7.875" style="209" customWidth="1"/>
    <col min="2708" max="2714" width="8.875" style="209" customWidth="1"/>
    <col min="2715" max="2715" width="7.5" style="209" customWidth="1"/>
    <col min="2716" max="2716" width="7.25" style="209" customWidth="1"/>
    <col min="2717" max="2717" width="8.375" style="209" customWidth="1"/>
    <col min="2718" max="2718" width="7.25" style="209" customWidth="1"/>
    <col min="2719" max="2719" width="7.625" style="209" customWidth="1"/>
    <col min="2720" max="2817" width="9" style="209"/>
    <col min="2818" max="2818" width="4.5" style="209" bestFit="1" customWidth="1"/>
    <col min="2819" max="2819" width="69.125" style="209" customWidth="1"/>
    <col min="2820" max="2820" width="9.25" style="209" customWidth="1"/>
    <col min="2821" max="2821" width="8.625" style="209" customWidth="1"/>
    <col min="2822" max="2822" width="9.375" style="209" customWidth="1"/>
    <col min="2823" max="2823" width="10.25" style="209" customWidth="1"/>
    <col min="2824" max="2824" width="10.625" style="209" customWidth="1"/>
    <col min="2825" max="2825" width="10" style="209" customWidth="1"/>
    <col min="2826" max="2827" width="8.5" style="209" customWidth="1"/>
    <col min="2828" max="2828" width="7.5" style="209" customWidth="1"/>
    <col min="2829" max="2829" width="7.125" style="209" customWidth="1"/>
    <col min="2830" max="2830" width="8.125" style="209" customWidth="1"/>
    <col min="2831" max="2832" width="7.5" style="209" customWidth="1"/>
    <col min="2833" max="2833" width="8.625" style="209" customWidth="1"/>
    <col min="2834" max="2836" width="7.5" style="209" customWidth="1"/>
    <col min="2837" max="2837" width="8.375" style="209" customWidth="1"/>
    <col min="2838" max="2838" width="7.5" style="209" customWidth="1"/>
    <col min="2839" max="2839" width="8.25" style="209" customWidth="1"/>
    <col min="2840" max="2842" width="7.5" style="209" customWidth="1"/>
    <col min="2843" max="2843" width="8.25" style="209" customWidth="1"/>
    <col min="2844" max="2844" width="8.125" style="209" customWidth="1"/>
    <col min="2845" max="2845" width="8.25" style="209" customWidth="1"/>
    <col min="2846" max="2846" width="8.75" style="209" customWidth="1"/>
    <col min="2847" max="2847" width="7.125" style="209" customWidth="1"/>
    <col min="2848" max="2848" width="9.5" style="209" customWidth="1"/>
    <col min="2849" max="2849" width="8.625" style="209" customWidth="1"/>
    <col min="2850" max="2850" width="8.875" style="209" customWidth="1"/>
    <col min="2851" max="2851" width="8.125" style="209" customWidth="1"/>
    <col min="2852" max="2854" width="7.625" style="209" customWidth="1"/>
    <col min="2855" max="2855" width="6.5" style="209" customWidth="1"/>
    <col min="2856" max="2864" width="8.5" style="209" customWidth="1"/>
    <col min="2865" max="2865" width="7.5" style="209" customWidth="1"/>
    <col min="2866" max="2866" width="7.25" style="209" customWidth="1"/>
    <col min="2867" max="2867" width="8.5" style="209" customWidth="1"/>
    <col min="2868" max="2868" width="9.375" style="209" customWidth="1"/>
    <col min="2869" max="2871" width="8.5" style="209" customWidth="1"/>
    <col min="2872" max="2872" width="9.25" style="209" customWidth="1"/>
    <col min="2873" max="2875" width="8.5" style="209" customWidth="1"/>
    <col min="2876" max="2876" width="7.875" style="209" customWidth="1"/>
    <col min="2877" max="2877" width="8.5" style="209" customWidth="1"/>
    <col min="2878" max="2878" width="7.375" style="209" customWidth="1"/>
    <col min="2879" max="2879" width="7.625" style="209" customWidth="1"/>
    <col min="2880" max="2880" width="9.875" style="209" customWidth="1"/>
    <col min="2881" max="2881" width="8.25" style="209" customWidth="1"/>
    <col min="2882" max="2884" width="8.875" style="209" customWidth="1"/>
    <col min="2885" max="2885" width="8.75" style="209" customWidth="1"/>
    <col min="2886" max="2886" width="8" style="209" customWidth="1"/>
    <col min="2887" max="2887" width="8.25" style="209" customWidth="1"/>
    <col min="2888" max="2888" width="7.375" style="209" customWidth="1"/>
    <col min="2889" max="2889" width="8.875" style="209" customWidth="1"/>
    <col min="2890" max="2890" width="7.375" style="209" customWidth="1"/>
    <col min="2891" max="2891" width="6.625" style="209" customWidth="1"/>
    <col min="2892" max="2892" width="9.5" style="209" customWidth="1"/>
    <col min="2893" max="2893" width="8" style="209" customWidth="1"/>
    <col min="2894" max="2894" width="8.375" style="209" customWidth="1"/>
    <col min="2895" max="2895" width="8.5" style="209" customWidth="1"/>
    <col min="2896" max="2896" width="8" style="209" customWidth="1"/>
    <col min="2897" max="2897" width="7.875" style="209" customWidth="1"/>
    <col min="2898" max="2898" width="8" style="209" customWidth="1"/>
    <col min="2899" max="2899" width="8.5" style="209" customWidth="1"/>
    <col min="2900" max="2902" width="8.125" style="209" customWidth="1"/>
    <col min="2903" max="2903" width="8" style="209" customWidth="1"/>
    <col min="2904" max="2907" width="8.75" style="209" customWidth="1"/>
    <col min="2908" max="2908" width="7.625" style="209" customWidth="1"/>
    <col min="2909" max="2910" width="8.75" style="209" customWidth="1"/>
    <col min="2911" max="2911" width="7.75" style="209" customWidth="1"/>
    <col min="2912" max="2914" width="8" style="209" customWidth="1"/>
    <col min="2915" max="2915" width="7.875" style="209" customWidth="1"/>
    <col min="2916" max="2917" width="8.75" style="209" customWidth="1"/>
    <col min="2918" max="2918" width="8.375" style="209" customWidth="1"/>
    <col min="2919" max="2919" width="8" style="209" customWidth="1"/>
    <col min="2920" max="2920" width="7.875" style="209" customWidth="1"/>
    <col min="2921" max="2923" width="8.25" style="209" customWidth="1"/>
    <col min="2924" max="2926" width="8.125" style="209" customWidth="1"/>
    <col min="2927" max="2927" width="7.875" style="209" customWidth="1"/>
    <col min="2928" max="2928" width="8.875" style="209" customWidth="1"/>
    <col min="2929" max="2929" width="8.375" style="209" customWidth="1"/>
    <col min="2930" max="2930" width="8.25" style="209" customWidth="1"/>
    <col min="2931" max="2931" width="8.875" style="209" customWidth="1"/>
    <col min="2932" max="2932" width="8.125" style="209" customWidth="1"/>
    <col min="2933" max="2933" width="8.25" style="209" customWidth="1"/>
    <col min="2934" max="2934" width="8.875" style="209" customWidth="1"/>
    <col min="2935" max="2935" width="8" style="209" customWidth="1"/>
    <col min="2936" max="2938" width="7.875" style="209" customWidth="1"/>
    <col min="2939" max="2939" width="7.75" style="209" customWidth="1"/>
    <col min="2940" max="2943" width="8.875" style="209" customWidth="1"/>
    <col min="2944" max="2944" width="8.75" style="209" customWidth="1"/>
    <col min="2945" max="2945" width="8.625" style="209" customWidth="1"/>
    <col min="2946" max="2947" width="8.25" style="209" customWidth="1"/>
    <col min="2948" max="2948" width="7.625" style="209" customWidth="1"/>
    <col min="2949" max="2949" width="8" style="209" customWidth="1"/>
    <col min="2950" max="2950" width="7.125" style="209" customWidth="1"/>
    <col min="2951" max="2951" width="7.625" style="209" customWidth="1"/>
    <col min="2952" max="2952" width="8.875" style="209" customWidth="1"/>
    <col min="2953" max="2953" width="8.125" style="209" customWidth="1"/>
    <col min="2954" max="2958" width="8.875" style="209" customWidth="1"/>
    <col min="2959" max="2959" width="8" style="209" customWidth="1"/>
    <col min="2960" max="2960" width="7.75" style="209" customWidth="1"/>
    <col min="2961" max="2961" width="7.875" style="209" customWidth="1"/>
    <col min="2962" max="2962" width="7.375" style="209" customWidth="1"/>
    <col min="2963" max="2963" width="7.875" style="209" customWidth="1"/>
    <col min="2964" max="2970" width="8.875" style="209" customWidth="1"/>
    <col min="2971" max="2971" width="7.5" style="209" customWidth="1"/>
    <col min="2972" max="2972" width="7.25" style="209" customWidth="1"/>
    <col min="2973" max="2973" width="8.375" style="209" customWidth="1"/>
    <col min="2974" max="2974" width="7.25" style="209" customWidth="1"/>
    <col min="2975" max="2975" width="7.625" style="209" customWidth="1"/>
    <col min="2976" max="3073" width="9" style="209"/>
    <col min="3074" max="3074" width="4.5" style="209" bestFit="1" customWidth="1"/>
    <col min="3075" max="3075" width="69.125" style="209" customWidth="1"/>
    <col min="3076" max="3076" width="9.25" style="209" customWidth="1"/>
    <col min="3077" max="3077" width="8.625" style="209" customWidth="1"/>
    <col min="3078" max="3078" width="9.375" style="209" customWidth="1"/>
    <col min="3079" max="3079" width="10.25" style="209" customWidth="1"/>
    <col min="3080" max="3080" width="10.625" style="209" customWidth="1"/>
    <col min="3081" max="3081" width="10" style="209" customWidth="1"/>
    <col min="3082" max="3083" width="8.5" style="209" customWidth="1"/>
    <col min="3084" max="3084" width="7.5" style="209" customWidth="1"/>
    <col min="3085" max="3085" width="7.125" style="209" customWidth="1"/>
    <col min="3086" max="3086" width="8.125" style="209" customWidth="1"/>
    <col min="3087" max="3088" width="7.5" style="209" customWidth="1"/>
    <col min="3089" max="3089" width="8.625" style="209" customWidth="1"/>
    <col min="3090" max="3092" width="7.5" style="209" customWidth="1"/>
    <col min="3093" max="3093" width="8.375" style="209" customWidth="1"/>
    <col min="3094" max="3094" width="7.5" style="209" customWidth="1"/>
    <col min="3095" max="3095" width="8.25" style="209" customWidth="1"/>
    <col min="3096" max="3098" width="7.5" style="209" customWidth="1"/>
    <col min="3099" max="3099" width="8.25" style="209" customWidth="1"/>
    <col min="3100" max="3100" width="8.125" style="209" customWidth="1"/>
    <col min="3101" max="3101" width="8.25" style="209" customWidth="1"/>
    <col min="3102" max="3102" width="8.75" style="209" customWidth="1"/>
    <col min="3103" max="3103" width="7.125" style="209" customWidth="1"/>
    <col min="3104" max="3104" width="9.5" style="209" customWidth="1"/>
    <col min="3105" max="3105" width="8.625" style="209" customWidth="1"/>
    <col min="3106" max="3106" width="8.875" style="209" customWidth="1"/>
    <col min="3107" max="3107" width="8.125" style="209" customWidth="1"/>
    <col min="3108" max="3110" width="7.625" style="209" customWidth="1"/>
    <col min="3111" max="3111" width="6.5" style="209" customWidth="1"/>
    <col min="3112" max="3120" width="8.5" style="209" customWidth="1"/>
    <col min="3121" max="3121" width="7.5" style="209" customWidth="1"/>
    <col min="3122" max="3122" width="7.25" style="209" customWidth="1"/>
    <col min="3123" max="3123" width="8.5" style="209" customWidth="1"/>
    <col min="3124" max="3124" width="9.375" style="209" customWidth="1"/>
    <col min="3125" max="3127" width="8.5" style="209" customWidth="1"/>
    <col min="3128" max="3128" width="9.25" style="209" customWidth="1"/>
    <col min="3129" max="3131" width="8.5" style="209" customWidth="1"/>
    <col min="3132" max="3132" width="7.875" style="209" customWidth="1"/>
    <col min="3133" max="3133" width="8.5" style="209" customWidth="1"/>
    <col min="3134" max="3134" width="7.375" style="209" customWidth="1"/>
    <col min="3135" max="3135" width="7.625" style="209" customWidth="1"/>
    <col min="3136" max="3136" width="9.875" style="209" customWidth="1"/>
    <col min="3137" max="3137" width="8.25" style="209" customWidth="1"/>
    <col min="3138" max="3140" width="8.875" style="209" customWidth="1"/>
    <col min="3141" max="3141" width="8.75" style="209" customWidth="1"/>
    <col min="3142" max="3142" width="8" style="209" customWidth="1"/>
    <col min="3143" max="3143" width="8.25" style="209" customWidth="1"/>
    <col min="3144" max="3144" width="7.375" style="209" customWidth="1"/>
    <col min="3145" max="3145" width="8.875" style="209" customWidth="1"/>
    <col min="3146" max="3146" width="7.375" style="209" customWidth="1"/>
    <col min="3147" max="3147" width="6.625" style="209" customWidth="1"/>
    <col min="3148" max="3148" width="9.5" style="209" customWidth="1"/>
    <col min="3149" max="3149" width="8" style="209" customWidth="1"/>
    <col min="3150" max="3150" width="8.375" style="209" customWidth="1"/>
    <col min="3151" max="3151" width="8.5" style="209" customWidth="1"/>
    <col min="3152" max="3152" width="8" style="209" customWidth="1"/>
    <col min="3153" max="3153" width="7.875" style="209" customWidth="1"/>
    <col min="3154" max="3154" width="8" style="209" customWidth="1"/>
    <col min="3155" max="3155" width="8.5" style="209" customWidth="1"/>
    <col min="3156" max="3158" width="8.125" style="209" customWidth="1"/>
    <col min="3159" max="3159" width="8" style="209" customWidth="1"/>
    <col min="3160" max="3163" width="8.75" style="209" customWidth="1"/>
    <col min="3164" max="3164" width="7.625" style="209" customWidth="1"/>
    <col min="3165" max="3166" width="8.75" style="209" customWidth="1"/>
    <col min="3167" max="3167" width="7.75" style="209" customWidth="1"/>
    <col min="3168" max="3170" width="8" style="209" customWidth="1"/>
    <col min="3171" max="3171" width="7.875" style="209" customWidth="1"/>
    <col min="3172" max="3173" width="8.75" style="209" customWidth="1"/>
    <col min="3174" max="3174" width="8.375" style="209" customWidth="1"/>
    <col min="3175" max="3175" width="8" style="209" customWidth="1"/>
    <col min="3176" max="3176" width="7.875" style="209" customWidth="1"/>
    <col min="3177" max="3179" width="8.25" style="209" customWidth="1"/>
    <col min="3180" max="3182" width="8.125" style="209" customWidth="1"/>
    <col min="3183" max="3183" width="7.875" style="209" customWidth="1"/>
    <col min="3184" max="3184" width="8.875" style="209" customWidth="1"/>
    <col min="3185" max="3185" width="8.375" style="209" customWidth="1"/>
    <col min="3186" max="3186" width="8.25" style="209" customWidth="1"/>
    <col min="3187" max="3187" width="8.875" style="209" customWidth="1"/>
    <col min="3188" max="3188" width="8.125" style="209" customWidth="1"/>
    <col min="3189" max="3189" width="8.25" style="209" customWidth="1"/>
    <col min="3190" max="3190" width="8.875" style="209" customWidth="1"/>
    <col min="3191" max="3191" width="8" style="209" customWidth="1"/>
    <col min="3192" max="3194" width="7.875" style="209" customWidth="1"/>
    <col min="3195" max="3195" width="7.75" style="209" customWidth="1"/>
    <col min="3196" max="3199" width="8.875" style="209" customWidth="1"/>
    <col min="3200" max="3200" width="8.75" style="209" customWidth="1"/>
    <col min="3201" max="3201" width="8.625" style="209" customWidth="1"/>
    <col min="3202" max="3203" width="8.25" style="209" customWidth="1"/>
    <col min="3204" max="3204" width="7.625" style="209" customWidth="1"/>
    <col min="3205" max="3205" width="8" style="209" customWidth="1"/>
    <col min="3206" max="3206" width="7.125" style="209" customWidth="1"/>
    <col min="3207" max="3207" width="7.625" style="209" customWidth="1"/>
    <col min="3208" max="3208" width="8.875" style="209" customWidth="1"/>
    <col min="3209" max="3209" width="8.125" style="209" customWidth="1"/>
    <col min="3210" max="3214" width="8.875" style="209" customWidth="1"/>
    <col min="3215" max="3215" width="8" style="209" customWidth="1"/>
    <col min="3216" max="3216" width="7.75" style="209" customWidth="1"/>
    <col min="3217" max="3217" width="7.875" style="209" customWidth="1"/>
    <col min="3218" max="3218" width="7.375" style="209" customWidth="1"/>
    <col min="3219" max="3219" width="7.875" style="209" customWidth="1"/>
    <col min="3220" max="3226" width="8.875" style="209" customWidth="1"/>
    <col min="3227" max="3227" width="7.5" style="209" customWidth="1"/>
    <col min="3228" max="3228" width="7.25" style="209" customWidth="1"/>
    <col min="3229" max="3229" width="8.375" style="209" customWidth="1"/>
    <col min="3230" max="3230" width="7.25" style="209" customWidth="1"/>
    <col min="3231" max="3231" width="7.625" style="209" customWidth="1"/>
    <col min="3232" max="3329" width="9" style="209"/>
    <col min="3330" max="3330" width="4.5" style="209" bestFit="1" customWidth="1"/>
    <col min="3331" max="3331" width="69.125" style="209" customWidth="1"/>
    <col min="3332" max="3332" width="9.25" style="209" customWidth="1"/>
    <col min="3333" max="3333" width="8.625" style="209" customWidth="1"/>
    <col min="3334" max="3334" width="9.375" style="209" customWidth="1"/>
    <col min="3335" max="3335" width="10.25" style="209" customWidth="1"/>
    <col min="3336" max="3336" width="10.625" style="209" customWidth="1"/>
    <col min="3337" max="3337" width="10" style="209" customWidth="1"/>
    <col min="3338" max="3339" width="8.5" style="209" customWidth="1"/>
    <col min="3340" max="3340" width="7.5" style="209" customWidth="1"/>
    <col min="3341" max="3341" width="7.125" style="209" customWidth="1"/>
    <col min="3342" max="3342" width="8.125" style="209" customWidth="1"/>
    <col min="3343" max="3344" width="7.5" style="209" customWidth="1"/>
    <col min="3345" max="3345" width="8.625" style="209" customWidth="1"/>
    <col min="3346" max="3348" width="7.5" style="209" customWidth="1"/>
    <col min="3349" max="3349" width="8.375" style="209" customWidth="1"/>
    <col min="3350" max="3350" width="7.5" style="209" customWidth="1"/>
    <col min="3351" max="3351" width="8.25" style="209" customWidth="1"/>
    <col min="3352" max="3354" width="7.5" style="209" customWidth="1"/>
    <col min="3355" max="3355" width="8.25" style="209" customWidth="1"/>
    <col min="3356" max="3356" width="8.125" style="209" customWidth="1"/>
    <col min="3357" max="3357" width="8.25" style="209" customWidth="1"/>
    <col min="3358" max="3358" width="8.75" style="209" customWidth="1"/>
    <col min="3359" max="3359" width="7.125" style="209" customWidth="1"/>
    <col min="3360" max="3360" width="9.5" style="209" customWidth="1"/>
    <col min="3361" max="3361" width="8.625" style="209" customWidth="1"/>
    <col min="3362" max="3362" width="8.875" style="209" customWidth="1"/>
    <col min="3363" max="3363" width="8.125" style="209" customWidth="1"/>
    <col min="3364" max="3366" width="7.625" style="209" customWidth="1"/>
    <col min="3367" max="3367" width="6.5" style="209" customWidth="1"/>
    <col min="3368" max="3376" width="8.5" style="209" customWidth="1"/>
    <col min="3377" max="3377" width="7.5" style="209" customWidth="1"/>
    <col min="3378" max="3378" width="7.25" style="209" customWidth="1"/>
    <col min="3379" max="3379" width="8.5" style="209" customWidth="1"/>
    <col min="3380" max="3380" width="9.375" style="209" customWidth="1"/>
    <col min="3381" max="3383" width="8.5" style="209" customWidth="1"/>
    <col min="3384" max="3384" width="9.25" style="209" customWidth="1"/>
    <col min="3385" max="3387" width="8.5" style="209" customWidth="1"/>
    <col min="3388" max="3388" width="7.875" style="209" customWidth="1"/>
    <col min="3389" max="3389" width="8.5" style="209" customWidth="1"/>
    <col min="3390" max="3390" width="7.375" style="209" customWidth="1"/>
    <col min="3391" max="3391" width="7.625" style="209" customWidth="1"/>
    <col min="3392" max="3392" width="9.875" style="209" customWidth="1"/>
    <col min="3393" max="3393" width="8.25" style="209" customWidth="1"/>
    <col min="3394" max="3396" width="8.875" style="209" customWidth="1"/>
    <col min="3397" max="3397" width="8.75" style="209" customWidth="1"/>
    <col min="3398" max="3398" width="8" style="209" customWidth="1"/>
    <col min="3399" max="3399" width="8.25" style="209" customWidth="1"/>
    <col min="3400" max="3400" width="7.375" style="209" customWidth="1"/>
    <col min="3401" max="3401" width="8.875" style="209" customWidth="1"/>
    <col min="3402" max="3402" width="7.375" style="209" customWidth="1"/>
    <col min="3403" max="3403" width="6.625" style="209" customWidth="1"/>
    <col min="3404" max="3404" width="9.5" style="209" customWidth="1"/>
    <col min="3405" max="3405" width="8" style="209" customWidth="1"/>
    <col min="3406" max="3406" width="8.375" style="209" customWidth="1"/>
    <col min="3407" max="3407" width="8.5" style="209" customWidth="1"/>
    <col min="3408" max="3408" width="8" style="209" customWidth="1"/>
    <col min="3409" max="3409" width="7.875" style="209" customWidth="1"/>
    <col min="3410" max="3410" width="8" style="209" customWidth="1"/>
    <col min="3411" max="3411" width="8.5" style="209" customWidth="1"/>
    <col min="3412" max="3414" width="8.125" style="209" customWidth="1"/>
    <col min="3415" max="3415" width="8" style="209" customWidth="1"/>
    <col min="3416" max="3419" width="8.75" style="209" customWidth="1"/>
    <col min="3420" max="3420" width="7.625" style="209" customWidth="1"/>
    <col min="3421" max="3422" width="8.75" style="209" customWidth="1"/>
    <col min="3423" max="3423" width="7.75" style="209" customWidth="1"/>
    <col min="3424" max="3426" width="8" style="209" customWidth="1"/>
    <col min="3427" max="3427" width="7.875" style="209" customWidth="1"/>
    <col min="3428" max="3429" width="8.75" style="209" customWidth="1"/>
    <col min="3430" max="3430" width="8.375" style="209" customWidth="1"/>
    <col min="3431" max="3431" width="8" style="209" customWidth="1"/>
    <col min="3432" max="3432" width="7.875" style="209" customWidth="1"/>
    <col min="3433" max="3435" width="8.25" style="209" customWidth="1"/>
    <col min="3436" max="3438" width="8.125" style="209" customWidth="1"/>
    <col min="3439" max="3439" width="7.875" style="209" customWidth="1"/>
    <col min="3440" max="3440" width="8.875" style="209" customWidth="1"/>
    <col min="3441" max="3441" width="8.375" style="209" customWidth="1"/>
    <col min="3442" max="3442" width="8.25" style="209" customWidth="1"/>
    <col min="3443" max="3443" width="8.875" style="209" customWidth="1"/>
    <col min="3444" max="3444" width="8.125" style="209" customWidth="1"/>
    <col min="3445" max="3445" width="8.25" style="209" customWidth="1"/>
    <col min="3446" max="3446" width="8.875" style="209" customWidth="1"/>
    <col min="3447" max="3447" width="8" style="209" customWidth="1"/>
    <col min="3448" max="3450" width="7.875" style="209" customWidth="1"/>
    <col min="3451" max="3451" width="7.75" style="209" customWidth="1"/>
    <col min="3452" max="3455" width="8.875" style="209" customWidth="1"/>
    <col min="3456" max="3456" width="8.75" style="209" customWidth="1"/>
    <col min="3457" max="3457" width="8.625" style="209" customWidth="1"/>
    <col min="3458" max="3459" width="8.25" style="209" customWidth="1"/>
    <col min="3460" max="3460" width="7.625" style="209" customWidth="1"/>
    <col min="3461" max="3461" width="8" style="209" customWidth="1"/>
    <col min="3462" max="3462" width="7.125" style="209" customWidth="1"/>
    <col min="3463" max="3463" width="7.625" style="209" customWidth="1"/>
    <col min="3464" max="3464" width="8.875" style="209" customWidth="1"/>
    <col min="3465" max="3465" width="8.125" style="209" customWidth="1"/>
    <col min="3466" max="3470" width="8.875" style="209" customWidth="1"/>
    <col min="3471" max="3471" width="8" style="209" customWidth="1"/>
    <col min="3472" max="3472" width="7.75" style="209" customWidth="1"/>
    <col min="3473" max="3473" width="7.875" style="209" customWidth="1"/>
    <col min="3474" max="3474" width="7.375" style="209" customWidth="1"/>
    <col min="3475" max="3475" width="7.875" style="209" customWidth="1"/>
    <col min="3476" max="3482" width="8.875" style="209" customWidth="1"/>
    <col min="3483" max="3483" width="7.5" style="209" customWidth="1"/>
    <col min="3484" max="3484" width="7.25" style="209" customWidth="1"/>
    <col min="3485" max="3485" width="8.375" style="209" customWidth="1"/>
    <col min="3486" max="3486" width="7.25" style="209" customWidth="1"/>
    <col min="3487" max="3487" width="7.625" style="209" customWidth="1"/>
    <col min="3488" max="3585" width="9" style="209"/>
    <col min="3586" max="3586" width="4.5" style="209" bestFit="1" customWidth="1"/>
    <col min="3587" max="3587" width="69.125" style="209" customWidth="1"/>
    <col min="3588" max="3588" width="9.25" style="209" customWidth="1"/>
    <col min="3589" max="3589" width="8.625" style="209" customWidth="1"/>
    <col min="3590" max="3590" width="9.375" style="209" customWidth="1"/>
    <col min="3591" max="3591" width="10.25" style="209" customWidth="1"/>
    <col min="3592" max="3592" width="10.625" style="209" customWidth="1"/>
    <col min="3593" max="3593" width="10" style="209" customWidth="1"/>
    <col min="3594" max="3595" width="8.5" style="209" customWidth="1"/>
    <col min="3596" max="3596" width="7.5" style="209" customWidth="1"/>
    <col min="3597" max="3597" width="7.125" style="209" customWidth="1"/>
    <col min="3598" max="3598" width="8.125" style="209" customWidth="1"/>
    <col min="3599" max="3600" width="7.5" style="209" customWidth="1"/>
    <col min="3601" max="3601" width="8.625" style="209" customWidth="1"/>
    <col min="3602" max="3604" width="7.5" style="209" customWidth="1"/>
    <col min="3605" max="3605" width="8.375" style="209" customWidth="1"/>
    <col min="3606" max="3606" width="7.5" style="209" customWidth="1"/>
    <col min="3607" max="3607" width="8.25" style="209" customWidth="1"/>
    <col min="3608" max="3610" width="7.5" style="209" customWidth="1"/>
    <col min="3611" max="3611" width="8.25" style="209" customWidth="1"/>
    <col min="3612" max="3612" width="8.125" style="209" customWidth="1"/>
    <col min="3613" max="3613" width="8.25" style="209" customWidth="1"/>
    <col min="3614" max="3614" width="8.75" style="209" customWidth="1"/>
    <col min="3615" max="3615" width="7.125" style="209" customWidth="1"/>
    <col min="3616" max="3616" width="9.5" style="209" customWidth="1"/>
    <col min="3617" max="3617" width="8.625" style="209" customWidth="1"/>
    <col min="3618" max="3618" width="8.875" style="209" customWidth="1"/>
    <col min="3619" max="3619" width="8.125" style="209" customWidth="1"/>
    <col min="3620" max="3622" width="7.625" style="209" customWidth="1"/>
    <col min="3623" max="3623" width="6.5" style="209" customWidth="1"/>
    <col min="3624" max="3632" width="8.5" style="209" customWidth="1"/>
    <col min="3633" max="3633" width="7.5" style="209" customWidth="1"/>
    <col min="3634" max="3634" width="7.25" style="209" customWidth="1"/>
    <col min="3635" max="3635" width="8.5" style="209" customWidth="1"/>
    <col min="3636" max="3636" width="9.375" style="209" customWidth="1"/>
    <col min="3637" max="3639" width="8.5" style="209" customWidth="1"/>
    <col min="3640" max="3640" width="9.25" style="209" customWidth="1"/>
    <col min="3641" max="3643" width="8.5" style="209" customWidth="1"/>
    <col min="3644" max="3644" width="7.875" style="209" customWidth="1"/>
    <col min="3645" max="3645" width="8.5" style="209" customWidth="1"/>
    <col min="3646" max="3646" width="7.375" style="209" customWidth="1"/>
    <col min="3647" max="3647" width="7.625" style="209" customWidth="1"/>
    <col min="3648" max="3648" width="9.875" style="209" customWidth="1"/>
    <col min="3649" max="3649" width="8.25" style="209" customWidth="1"/>
    <col min="3650" max="3652" width="8.875" style="209" customWidth="1"/>
    <col min="3653" max="3653" width="8.75" style="209" customWidth="1"/>
    <col min="3654" max="3654" width="8" style="209" customWidth="1"/>
    <col min="3655" max="3655" width="8.25" style="209" customWidth="1"/>
    <col min="3656" max="3656" width="7.375" style="209" customWidth="1"/>
    <col min="3657" max="3657" width="8.875" style="209" customWidth="1"/>
    <col min="3658" max="3658" width="7.375" style="209" customWidth="1"/>
    <col min="3659" max="3659" width="6.625" style="209" customWidth="1"/>
    <col min="3660" max="3660" width="9.5" style="209" customWidth="1"/>
    <col min="3661" max="3661" width="8" style="209" customWidth="1"/>
    <col min="3662" max="3662" width="8.375" style="209" customWidth="1"/>
    <col min="3663" max="3663" width="8.5" style="209" customWidth="1"/>
    <col min="3664" max="3664" width="8" style="209" customWidth="1"/>
    <col min="3665" max="3665" width="7.875" style="209" customWidth="1"/>
    <col min="3666" max="3666" width="8" style="209" customWidth="1"/>
    <col min="3667" max="3667" width="8.5" style="209" customWidth="1"/>
    <col min="3668" max="3670" width="8.125" style="209" customWidth="1"/>
    <col min="3671" max="3671" width="8" style="209" customWidth="1"/>
    <col min="3672" max="3675" width="8.75" style="209" customWidth="1"/>
    <col min="3676" max="3676" width="7.625" style="209" customWidth="1"/>
    <col min="3677" max="3678" width="8.75" style="209" customWidth="1"/>
    <col min="3679" max="3679" width="7.75" style="209" customWidth="1"/>
    <col min="3680" max="3682" width="8" style="209" customWidth="1"/>
    <col min="3683" max="3683" width="7.875" style="209" customWidth="1"/>
    <col min="3684" max="3685" width="8.75" style="209" customWidth="1"/>
    <col min="3686" max="3686" width="8.375" style="209" customWidth="1"/>
    <col min="3687" max="3687" width="8" style="209" customWidth="1"/>
    <col min="3688" max="3688" width="7.875" style="209" customWidth="1"/>
    <col min="3689" max="3691" width="8.25" style="209" customWidth="1"/>
    <col min="3692" max="3694" width="8.125" style="209" customWidth="1"/>
    <col min="3695" max="3695" width="7.875" style="209" customWidth="1"/>
    <col min="3696" max="3696" width="8.875" style="209" customWidth="1"/>
    <col min="3697" max="3697" width="8.375" style="209" customWidth="1"/>
    <col min="3698" max="3698" width="8.25" style="209" customWidth="1"/>
    <col min="3699" max="3699" width="8.875" style="209" customWidth="1"/>
    <col min="3700" max="3700" width="8.125" style="209" customWidth="1"/>
    <col min="3701" max="3701" width="8.25" style="209" customWidth="1"/>
    <col min="3702" max="3702" width="8.875" style="209" customWidth="1"/>
    <col min="3703" max="3703" width="8" style="209" customWidth="1"/>
    <col min="3704" max="3706" width="7.875" style="209" customWidth="1"/>
    <col min="3707" max="3707" width="7.75" style="209" customWidth="1"/>
    <col min="3708" max="3711" width="8.875" style="209" customWidth="1"/>
    <col min="3712" max="3712" width="8.75" style="209" customWidth="1"/>
    <col min="3713" max="3713" width="8.625" style="209" customWidth="1"/>
    <col min="3714" max="3715" width="8.25" style="209" customWidth="1"/>
    <col min="3716" max="3716" width="7.625" style="209" customWidth="1"/>
    <col min="3717" max="3717" width="8" style="209" customWidth="1"/>
    <col min="3718" max="3718" width="7.125" style="209" customWidth="1"/>
    <col min="3719" max="3719" width="7.625" style="209" customWidth="1"/>
    <col min="3720" max="3720" width="8.875" style="209" customWidth="1"/>
    <col min="3721" max="3721" width="8.125" style="209" customWidth="1"/>
    <col min="3722" max="3726" width="8.875" style="209" customWidth="1"/>
    <col min="3727" max="3727" width="8" style="209" customWidth="1"/>
    <col min="3728" max="3728" width="7.75" style="209" customWidth="1"/>
    <col min="3729" max="3729" width="7.875" style="209" customWidth="1"/>
    <col min="3730" max="3730" width="7.375" style="209" customWidth="1"/>
    <col min="3731" max="3731" width="7.875" style="209" customWidth="1"/>
    <col min="3732" max="3738" width="8.875" style="209" customWidth="1"/>
    <col min="3739" max="3739" width="7.5" style="209" customWidth="1"/>
    <col min="3740" max="3740" width="7.25" style="209" customWidth="1"/>
    <col min="3741" max="3741" width="8.375" style="209" customWidth="1"/>
    <col min="3742" max="3742" width="7.25" style="209" customWidth="1"/>
    <col min="3743" max="3743" width="7.625" style="209" customWidth="1"/>
    <col min="3744" max="3841" width="9" style="209"/>
    <col min="3842" max="3842" width="4.5" style="209" bestFit="1" customWidth="1"/>
    <col min="3843" max="3843" width="69.125" style="209" customWidth="1"/>
    <col min="3844" max="3844" width="9.25" style="209" customWidth="1"/>
    <col min="3845" max="3845" width="8.625" style="209" customWidth="1"/>
    <col min="3846" max="3846" width="9.375" style="209" customWidth="1"/>
    <col min="3847" max="3847" width="10.25" style="209" customWidth="1"/>
    <col min="3848" max="3848" width="10.625" style="209" customWidth="1"/>
    <col min="3849" max="3849" width="10" style="209" customWidth="1"/>
    <col min="3850" max="3851" width="8.5" style="209" customWidth="1"/>
    <col min="3852" max="3852" width="7.5" style="209" customWidth="1"/>
    <col min="3853" max="3853" width="7.125" style="209" customWidth="1"/>
    <col min="3854" max="3854" width="8.125" style="209" customWidth="1"/>
    <col min="3855" max="3856" width="7.5" style="209" customWidth="1"/>
    <col min="3857" max="3857" width="8.625" style="209" customWidth="1"/>
    <col min="3858" max="3860" width="7.5" style="209" customWidth="1"/>
    <col min="3861" max="3861" width="8.375" style="209" customWidth="1"/>
    <col min="3862" max="3862" width="7.5" style="209" customWidth="1"/>
    <col min="3863" max="3863" width="8.25" style="209" customWidth="1"/>
    <col min="3864" max="3866" width="7.5" style="209" customWidth="1"/>
    <col min="3867" max="3867" width="8.25" style="209" customWidth="1"/>
    <col min="3868" max="3868" width="8.125" style="209" customWidth="1"/>
    <col min="3869" max="3869" width="8.25" style="209" customWidth="1"/>
    <col min="3870" max="3870" width="8.75" style="209" customWidth="1"/>
    <col min="3871" max="3871" width="7.125" style="209" customWidth="1"/>
    <col min="3872" max="3872" width="9.5" style="209" customWidth="1"/>
    <col min="3873" max="3873" width="8.625" style="209" customWidth="1"/>
    <col min="3874" max="3874" width="8.875" style="209" customWidth="1"/>
    <col min="3875" max="3875" width="8.125" style="209" customWidth="1"/>
    <col min="3876" max="3878" width="7.625" style="209" customWidth="1"/>
    <col min="3879" max="3879" width="6.5" style="209" customWidth="1"/>
    <col min="3880" max="3888" width="8.5" style="209" customWidth="1"/>
    <col min="3889" max="3889" width="7.5" style="209" customWidth="1"/>
    <col min="3890" max="3890" width="7.25" style="209" customWidth="1"/>
    <col min="3891" max="3891" width="8.5" style="209" customWidth="1"/>
    <col min="3892" max="3892" width="9.375" style="209" customWidth="1"/>
    <col min="3893" max="3895" width="8.5" style="209" customWidth="1"/>
    <col min="3896" max="3896" width="9.25" style="209" customWidth="1"/>
    <col min="3897" max="3899" width="8.5" style="209" customWidth="1"/>
    <col min="3900" max="3900" width="7.875" style="209" customWidth="1"/>
    <col min="3901" max="3901" width="8.5" style="209" customWidth="1"/>
    <col min="3902" max="3902" width="7.375" style="209" customWidth="1"/>
    <col min="3903" max="3903" width="7.625" style="209" customWidth="1"/>
    <col min="3904" max="3904" width="9.875" style="209" customWidth="1"/>
    <col min="3905" max="3905" width="8.25" style="209" customWidth="1"/>
    <col min="3906" max="3908" width="8.875" style="209" customWidth="1"/>
    <col min="3909" max="3909" width="8.75" style="209" customWidth="1"/>
    <col min="3910" max="3910" width="8" style="209" customWidth="1"/>
    <col min="3911" max="3911" width="8.25" style="209" customWidth="1"/>
    <col min="3912" max="3912" width="7.375" style="209" customWidth="1"/>
    <col min="3913" max="3913" width="8.875" style="209" customWidth="1"/>
    <col min="3914" max="3914" width="7.375" style="209" customWidth="1"/>
    <col min="3915" max="3915" width="6.625" style="209" customWidth="1"/>
    <col min="3916" max="3916" width="9.5" style="209" customWidth="1"/>
    <col min="3917" max="3917" width="8" style="209" customWidth="1"/>
    <col min="3918" max="3918" width="8.375" style="209" customWidth="1"/>
    <col min="3919" max="3919" width="8.5" style="209" customWidth="1"/>
    <col min="3920" max="3920" width="8" style="209" customWidth="1"/>
    <col min="3921" max="3921" width="7.875" style="209" customWidth="1"/>
    <col min="3922" max="3922" width="8" style="209" customWidth="1"/>
    <col min="3923" max="3923" width="8.5" style="209" customWidth="1"/>
    <col min="3924" max="3926" width="8.125" style="209" customWidth="1"/>
    <col min="3927" max="3927" width="8" style="209" customWidth="1"/>
    <col min="3928" max="3931" width="8.75" style="209" customWidth="1"/>
    <col min="3932" max="3932" width="7.625" style="209" customWidth="1"/>
    <col min="3933" max="3934" width="8.75" style="209" customWidth="1"/>
    <col min="3935" max="3935" width="7.75" style="209" customWidth="1"/>
    <col min="3936" max="3938" width="8" style="209" customWidth="1"/>
    <col min="3939" max="3939" width="7.875" style="209" customWidth="1"/>
    <col min="3940" max="3941" width="8.75" style="209" customWidth="1"/>
    <col min="3942" max="3942" width="8.375" style="209" customWidth="1"/>
    <col min="3943" max="3943" width="8" style="209" customWidth="1"/>
    <col min="3944" max="3944" width="7.875" style="209" customWidth="1"/>
    <col min="3945" max="3947" width="8.25" style="209" customWidth="1"/>
    <col min="3948" max="3950" width="8.125" style="209" customWidth="1"/>
    <col min="3951" max="3951" width="7.875" style="209" customWidth="1"/>
    <col min="3952" max="3952" width="8.875" style="209" customWidth="1"/>
    <col min="3953" max="3953" width="8.375" style="209" customWidth="1"/>
    <col min="3954" max="3954" width="8.25" style="209" customWidth="1"/>
    <col min="3955" max="3955" width="8.875" style="209" customWidth="1"/>
    <col min="3956" max="3956" width="8.125" style="209" customWidth="1"/>
    <col min="3957" max="3957" width="8.25" style="209" customWidth="1"/>
    <col min="3958" max="3958" width="8.875" style="209" customWidth="1"/>
    <col min="3959" max="3959" width="8" style="209" customWidth="1"/>
    <col min="3960" max="3962" width="7.875" style="209" customWidth="1"/>
    <col min="3963" max="3963" width="7.75" style="209" customWidth="1"/>
    <col min="3964" max="3967" width="8.875" style="209" customWidth="1"/>
    <col min="3968" max="3968" width="8.75" style="209" customWidth="1"/>
    <col min="3969" max="3969" width="8.625" style="209" customWidth="1"/>
    <col min="3970" max="3971" width="8.25" style="209" customWidth="1"/>
    <col min="3972" max="3972" width="7.625" style="209" customWidth="1"/>
    <col min="3973" max="3973" width="8" style="209" customWidth="1"/>
    <col min="3974" max="3974" width="7.125" style="209" customWidth="1"/>
    <col min="3975" max="3975" width="7.625" style="209" customWidth="1"/>
    <col min="3976" max="3976" width="8.875" style="209" customWidth="1"/>
    <col min="3977" max="3977" width="8.125" style="209" customWidth="1"/>
    <col min="3978" max="3982" width="8.875" style="209" customWidth="1"/>
    <col min="3983" max="3983" width="8" style="209" customWidth="1"/>
    <col min="3984" max="3984" width="7.75" style="209" customWidth="1"/>
    <col min="3985" max="3985" width="7.875" style="209" customWidth="1"/>
    <col min="3986" max="3986" width="7.375" style="209" customWidth="1"/>
    <col min="3987" max="3987" width="7.875" style="209" customWidth="1"/>
    <col min="3988" max="3994" width="8.875" style="209" customWidth="1"/>
    <col min="3995" max="3995" width="7.5" style="209" customWidth="1"/>
    <col min="3996" max="3996" width="7.25" style="209" customWidth="1"/>
    <col min="3997" max="3997" width="8.375" style="209" customWidth="1"/>
    <col min="3998" max="3998" width="7.25" style="209" customWidth="1"/>
    <col min="3999" max="3999" width="7.625" style="209" customWidth="1"/>
    <col min="4000" max="4097" width="9" style="209"/>
    <col min="4098" max="4098" width="4.5" style="209" bestFit="1" customWidth="1"/>
    <col min="4099" max="4099" width="69.125" style="209" customWidth="1"/>
    <col min="4100" max="4100" width="9.25" style="209" customWidth="1"/>
    <col min="4101" max="4101" width="8.625" style="209" customWidth="1"/>
    <col min="4102" max="4102" width="9.375" style="209" customWidth="1"/>
    <col min="4103" max="4103" width="10.25" style="209" customWidth="1"/>
    <col min="4104" max="4104" width="10.625" style="209" customWidth="1"/>
    <col min="4105" max="4105" width="10" style="209" customWidth="1"/>
    <col min="4106" max="4107" width="8.5" style="209" customWidth="1"/>
    <col min="4108" max="4108" width="7.5" style="209" customWidth="1"/>
    <col min="4109" max="4109" width="7.125" style="209" customWidth="1"/>
    <col min="4110" max="4110" width="8.125" style="209" customWidth="1"/>
    <col min="4111" max="4112" width="7.5" style="209" customWidth="1"/>
    <col min="4113" max="4113" width="8.625" style="209" customWidth="1"/>
    <col min="4114" max="4116" width="7.5" style="209" customWidth="1"/>
    <col min="4117" max="4117" width="8.375" style="209" customWidth="1"/>
    <col min="4118" max="4118" width="7.5" style="209" customWidth="1"/>
    <col min="4119" max="4119" width="8.25" style="209" customWidth="1"/>
    <col min="4120" max="4122" width="7.5" style="209" customWidth="1"/>
    <col min="4123" max="4123" width="8.25" style="209" customWidth="1"/>
    <col min="4124" max="4124" width="8.125" style="209" customWidth="1"/>
    <col min="4125" max="4125" width="8.25" style="209" customWidth="1"/>
    <col min="4126" max="4126" width="8.75" style="209" customWidth="1"/>
    <col min="4127" max="4127" width="7.125" style="209" customWidth="1"/>
    <col min="4128" max="4128" width="9.5" style="209" customWidth="1"/>
    <col min="4129" max="4129" width="8.625" style="209" customWidth="1"/>
    <col min="4130" max="4130" width="8.875" style="209" customWidth="1"/>
    <col min="4131" max="4131" width="8.125" style="209" customWidth="1"/>
    <col min="4132" max="4134" width="7.625" style="209" customWidth="1"/>
    <col min="4135" max="4135" width="6.5" style="209" customWidth="1"/>
    <col min="4136" max="4144" width="8.5" style="209" customWidth="1"/>
    <col min="4145" max="4145" width="7.5" style="209" customWidth="1"/>
    <col min="4146" max="4146" width="7.25" style="209" customWidth="1"/>
    <col min="4147" max="4147" width="8.5" style="209" customWidth="1"/>
    <col min="4148" max="4148" width="9.375" style="209" customWidth="1"/>
    <col min="4149" max="4151" width="8.5" style="209" customWidth="1"/>
    <col min="4152" max="4152" width="9.25" style="209" customWidth="1"/>
    <col min="4153" max="4155" width="8.5" style="209" customWidth="1"/>
    <col min="4156" max="4156" width="7.875" style="209" customWidth="1"/>
    <col min="4157" max="4157" width="8.5" style="209" customWidth="1"/>
    <col min="4158" max="4158" width="7.375" style="209" customWidth="1"/>
    <col min="4159" max="4159" width="7.625" style="209" customWidth="1"/>
    <col min="4160" max="4160" width="9.875" style="209" customWidth="1"/>
    <col min="4161" max="4161" width="8.25" style="209" customWidth="1"/>
    <col min="4162" max="4164" width="8.875" style="209" customWidth="1"/>
    <col min="4165" max="4165" width="8.75" style="209" customWidth="1"/>
    <col min="4166" max="4166" width="8" style="209" customWidth="1"/>
    <col min="4167" max="4167" width="8.25" style="209" customWidth="1"/>
    <col min="4168" max="4168" width="7.375" style="209" customWidth="1"/>
    <col min="4169" max="4169" width="8.875" style="209" customWidth="1"/>
    <col min="4170" max="4170" width="7.375" style="209" customWidth="1"/>
    <col min="4171" max="4171" width="6.625" style="209" customWidth="1"/>
    <col min="4172" max="4172" width="9.5" style="209" customWidth="1"/>
    <col min="4173" max="4173" width="8" style="209" customWidth="1"/>
    <col min="4174" max="4174" width="8.375" style="209" customWidth="1"/>
    <col min="4175" max="4175" width="8.5" style="209" customWidth="1"/>
    <col min="4176" max="4176" width="8" style="209" customWidth="1"/>
    <col min="4177" max="4177" width="7.875" style="209" customWidth="1"/>
    <col min="4178" max="4178" width="8" style="209" customWidth="1"/>
    <col min="4179" max="4179" width="8.5" style="209" customWidth="1"/>
    <col min="4180" max="4182" width="8.125" style="209" customWidth="1"/>
    <col min="4183" max="4183" width="8" style="209" customWidth="1"/>
    <col min="4184" max="4187" width="8.75" style="209" customWidth="1"/>
    <col min="4188" max="4188" width="7.625" style="209" customWidth="1"/>
    <col min="4189" max="4190" width="8.75" style="209" customWidth="1"/>
    <col min="4191" max="4191" width="7.75" style="209" customWidth="1"/>
    <col min="4192" max="4194" width="8" style="209" customWidth="1"/>
    <col min="4195" max="4195" width="7.875" style="209" customWidth="1"/>
    <col min="4196" max="4197" width="8.75" style="209" customWidth="1"/>
    <col min="4198" max="4198" width="8.375" style="209" customWidth="1"/>
    <col min="4199" max="4199" width="8" style="209" customWidth="1"/>
    <col min="4200" max="4200" width="7.875" style="209" customWidth="1"/>
    <col min="4201" max="4203" width="8.25" style="209" customWidth="1"/>
    <col min="4204" max="4206" width="8.125" style="209" customWidth="1"/>
    <col min="4207" max="4207" width="7.875" style="209" customWidth="1"/>
    <col min="4208" max="4208" width="8.875" style="209" customWidth="1"/>
    <col min="4209" max="4209" width="8.375" style="209" customWidth="1"/>
    <col min="4210" max="4210" width="8.25" style="209" customWidth="1"/>
    <col min="4211" max="4211" width="8.875" style="209" customWidth="1"/>
    <col min="4212" max="4212" width="8.125" style="209" customWidth="1"/>
    <col min="4213" max="4213" width="8.25" style="209" customWidth="1"/>
    <col min="4214" max="4214" width="8.875" style="209" customWidth="1"/>
    <col min="4215" max="4215" width="8" style="209" customWidth="1"/>
    <col min="4216" max="4218" width="7.875" style="209" customWidth="1"/>
    <col min="4219" max="4219" width="7.75" style="209" customWidth="1"/>
    <col min="4220" max="4223" width="8.875" style="209" customWidth="1"/>
    <col min="4224" max="4224" width="8.75" style="209" customWidth="1"/>
    <col min="4225" max="4225" width="8.625" style="209" customWidth="1"/>
    <col min="4226" max="4227" width="8.25" style="209" customWidth="1"/>
    <col min="4228" max="4228" width="7.625" style="209" customWidth="1"/>
    <col min="4229" max="4229" width="8" style="209" customWidth="1"/>
    <col min="4230" max="4230" width="7.125" style="209" customWidth="1"/>
    <col min="4231" max="4231" width="7.625" style="209" customWidth="1"/>
    <col min="4232" max="4232" width="8.875" style="209" customWidth="1"/>
    <col min="4233" max="4233" width="8.125" style="209" customWidth="1"/>
    <col min="4234" max="4238" width="8.875" style="209" customWidth="1"/>
    <col min="4239" max="4239" width="8" style="209" customWidth="1"/>
    <col min="4240" max="4240" width="7.75" style="209" customWidth="1"/>
    <col min="4241" max="4241" width="7.875" style="209" customWidth="1"/>
    <col min="4242" max="4242" width="7.375" style="209" customWidth="1"/>
    <col min="4243" max="4243" width="7.875" style="209" customWidth="1"/>
    <col min="4244" max="4250" width="8.875" style="209" customWidth="1"/>
    <col min="4251" max="4251" width="7.5" style="209" customWidth="1"/>
    <col min="4252" max="4252" width="7.25" style="209" customWidth="1"/>
    <col min="4253" max="4253" width="8.375" style="209" customWidth="1"/>
    <col min="4254" max="4254" width="7.25" style="209" customWidth="1"/>
    <col min="4255" max="4255" width="7.625" style="209" customWidth="1"/>
    <col min="4256" max="4353" width="9" style="209"/>
    <col min="4354" max="4354" width="4.5" style="209" bestFit="1" customWidth="1"/>
    <col min="4355" max="4355" width="69.125" style="209" customWidth="1"/>
    <col min="4356" max="4356" width="9.25" style="209" customWidth="1"/>
    <col min="4357" max="4357" width="8.625" style="209" customWidth="1"/>
    <col min="4358" max="4358" width="9.375" style="209" customWidth="1"/>
    <col min="4359" max="4359" width="10.25" style="209" customWidth="1"/>
    <col min="4360" max="4360" width="10.625" style="209" customWidth="1"/>
    <col min="4361" max="4361" width="10" style="209" customWidth="1"/>
    <col min="4362" max="4363" width="8.5" style="209" customWidth="1"/>
    <col min="4364" max="4364" width="7.5" style="209" customWidth="1"/>
    <col min="4365" max="4365" width="7.125" style="209" customWidth="1"/>
    <col min="4366" max="4366" width="8.125" style="209" customWidth="1"/>
    <col min="4367" max="4368" width="7.5" style="209" customWidth="1"/>
    <col min="4369" max="4369" width="8.625" style="209" customWidth="1"/>
    <col min="4370" max="4372" width="7.5" style="209" customWidth="1"/>
    <col min="4373" max="4373" width="8.375" style="209" customWidth="1"/>
    <col min="4374" max="4374" width="7.5" style="209" customWidth="1"/>
    <col min="4375" max="4375" width="8.25" style="209" customWidth="1"/>
    <col min="4376" max="4378" width="7.5" style="209" customWidth="1"/>
    <col min="4379" max="4379" width="8.25" style="209" customWidth="1"/>
    <col min="4380" max="4380" width="8.125" style="209" customWidth="1"/>
    <col min="4381" max="4381" width="8.25" style="209" customWidth="1"/>
    <col min="4382" max="4382" width="8.75" style="209" customWidth="1"/>
    <col min="4383" max="4383" width="7.125" style="209" customWidth="1"/>
    <col min="4384" max="4384" width="9.5" style="209" customWidth="1"/>
    <col min="4385" max="4385" width="8.625" style="209" customWidth="1"/>
    <col min="4386" max="4386" width="8.875" style="209" customWidth="1"/>
    <col min="4387" max="4387" width="8.125" style="209" customWidth="1"/>
    <col min="4388" max="4390" width="7.625" style="209" customWidth="1"/>
    <col min="4391" max="4391" width="6.5" style="209" customWidth="1"/>
    <col min="4392" max="4400" width="8.5" style="209" customWidth="1"/>
    <col min="4401" max="4401" width="7.5" style="209" customWidth="1"/>
    <col min="4402" max="4402" width="7.25" style="209" customWidth="1"/>
    <col min="4403" max="4403" width="8.5" style="209" customWidth="1"/>
    <col min="4404" max="4404" width="9.375" style="209" customWidth="1"/>
    <col min="4405" max="4407" width="8.5" style="209" customWidth="1"/>
    <col min="4408" max="4408" width="9.25" style="209" customWidth="1"/>
    <col min="4409" max="4411" width="8.5" style="209" customWidth="1"/>
    <col min="4412" max="4412" width="7.875" style="209" customWidth="1"/>
    <col min="4413" max="4413" width="8.5" style="209" customWidth="1"/>
    <col min="4414" max="4414" width="7.375" style="209" customWidth="1"/>
    <col min="4415" max="4415" width="7.625" style="209" customWidth="1"/>
    <col min="4416" max="4416" width="9.875" style="209" customWidth="1"/>
    <col min="4417" max="4417" width="8.25" style="209" customWidth="1"/>
    <col min="4418" max="4420" width="8.875" style="209" customWidth="1"/>
    <col min="4421" max="4421" width="8.75" style="209" customWidth="1"/>
    <col min="4422" max="4422" width="8" style="209" customWidth="1"/>
    <col min="4423" max="4423" width="8.25" style="209" customWidth="1"/>
    <col min="4424" max="4424" width="7.375" style="209" customWidth="1"/>
    <col min="4425" max="4425" width="8.875" style="209" customWidth="1"/>
    <col min="4426" max="4426" width="7.375" style="209" customWidth="1"/>
    <col min="4427" max="4427" width="6.625" style="209" customWidth="1"/>
    <col min="4428" max="4428" width="9.5" style="209" customWidth="1"/>
    <col min="4429" max="4429" width="8" style="209" customWidth="1"/>
    <col min="4430" max="4430" width="8.375" style="209" customWidth="1"/>
    <col min="4431" max="4431" width="8.5" style="209" customWidth="1"/>
    <col min="4432" max="4432" width="8" style="209" customWidth="1"/>
    <col min="4433" max="4433" width="7.875" style="209" customWidth="1"/>
    <col min="4434" max="4434" width="8" style="209" customWidth="1"/>
    <col min="4435" max="4435" width="8.5" style="209" customWidth="1"/>
    <col min="4436" max="4438" width="8.125" style="209" customWidth="1"/>
    <col min="4439" max="4439" width="8" style="209" customWidth="1"/>
    <col min="4440" max="4443" width="8.75" style="209" customWidth="1"/>
    <col min="4444" max="4444" width="7.625" style="209" customWidth="1"/>
    <col min="4445" max="4446" width="8.75" style="209" customWidth="1"/>
    <col min="4447" max="4447" width="7.75" style="209" customWidth="1"/>
    <col min="4448" max="4450" width="8" style="209" customWidth="1"/>
    <col min="4451" max="4451" width="7.875" style="209" customWidth="1"/>
    <col min="4452" max="4453" width="8.75" style="209" customWidth="1"/>
    <col min="4454" max="4454" width="8.375" style="209" customWidth="1"/>
    <col min="4455" max="4455" width="8" style="209" customWidth="1"/>
    <col min="4456" max="4456" width="7.875" style="209" customWidth="1"/>
    <col min="4457" max="4459" width="8.25" style="209" customWidth="1"/>
    <col min="4460" max="4462" width="8.125" style="209" customWidth="1"/>
    <col min="4463" max="4463" width="7.875" style="209" customWidth="1"/>
    <col min="4464" max="4464" width="8.875" style="209" customWidth="1"/>
    <col min="4465" max="4465" width="8.375" style="209" customWidth="1"/>
    <col min="4466" max="4466" width="8.25" style="209" customWidth="1"/>
    <col min="4467" max="4467" width="8.875" style="209" customWidth="1"/>
    <col min="4468" max="4468" width="8.125" style="209" customWidth="1"/>
    <col min="4469" max="4469" width="8.25" style="209" customWidth="1"/>
    <col min="4470" max="4470" width="8.875" style="209" customWidth="1"/>
    <col min="4471" max="4471" width="8" style="209" customWidth="1"/>
    <col min="4472" max="4474" width="7.875" style="209" customWidth="1"/>
    <col min="4475" max="4475" width="7.75" style="209" customWidth="1"/>
    <col min="4476" max="4479" width="8.875" style="209" customWidth="1"/>
    <col min="4480" max="4480" width="8.75" style="209" customWidth="1"/>
    <col min="4481" max="4481" width="8.625" style="209" customWidth="1"/>
    <col min="4482" max="4483" width="8.25" style="209" customWidth="1"/>
    <col min="4484" max="4484" width="7.625" style="209" customWidth="1"/>
    <col min="4485" max="4485" width="8" style="209" customWidth="1"/>
    <col min="4486" max="4486" width="7.125" style="209" customWidth="1"/>
    <col min="4487" max="4487" width="7.625" style="209" customWidth="1"/>
    <col min="4488" max="4488" width="8.875" style="209" customWidth="1"/>
    <col min="4489" max="4489" width="8.125" style="209" customWidth="1"/>
    <col min="4490" max="4494" width="8.875" style="209" customWidth="1"/>
    <col min="4495" max="4495" width="8" style="209" customWidth="1"/>
    <col min="4496" max="4496" width="7.75" style="209" customWidth="1"/>
    <col min="4497" max="4497" width="7.875" style="209" customWidth="1"/>
    <col min="4498" max="4498" width="7.375" style="209" customWidth="1"/>
    <col min="4499" max="4499" width="7.875" style="209" customWidth="1"/>
    <col min="4500" max="4506" width="8.875" style="209" customWidth="1"/>
    <col min="4507" max="4507" width="7.5" style="209" customWidth="1"/>
    <col min="4508" max="4508" width="7.25" style="209" customWidth="1"/>
    <col min="4509" max="4509" width="8.375" style="209" customWidth="1"/>
    <col min="4510" max="4510" width="7.25" style="209" customWidth="1"/>
    <col min="4511" max="4511" width="7.625" style="209" customWidth="1"/>
    <col min="4512" max="4609" width="9" style="209"/>
    <col min="4610" max="4610" width="4.5" style="209" bestFit="1" customWidth="1"/>
    <col min="4611" max="4611" width="69.125" style="209" customWidth="1"/>
    <col min="4612" max="4612" width="9.25" style="209" customWidth="1"/>
    <col min="4613" max="4613" width="8.625" style="209" customWidth="1"/>
    <col min="4614" max="4614" width="9.375" style="209" customWidth="1"/>
    <col min="4615" max="4615" width="10.25" style="209" customWidth="1"/>
    <col min="4616" max="4616" width="10.625" style="209" customWidth="1"/>
    <col min="4617" max="4617" width="10" style="209" customWidth="1"/>
    <col min="4618" max="4619" width="8.5" style="209" customWidth="1"/>
    <col min="4620" max="4620" width="7.5" style="209" customWidth="1"/>
    <col min="4621" max="4621" width="7.125" style="209" customWidth="1"/>
    <col min="4622" max="4622" width="8.125" style="209" customWidth="1"/>
    <col min="4623" max="4624" width="7.5" style="209" customWidth="1"/>
    <col min="4625" max="4625" width="8.625" style="209" customWidth="1"/>
    <col min="4626" max="4628" width="7.5" style="209" customWidth="1"/>
    <col min="4629" max="4629" width="8.375" style="209" customWidth="1"/>
    <col min="4630" max="4630" width="7.5" style="209" customWidth="1"/>
    <col min="4631" max="4631" width="8.25" style="209" customWidth="1"/>
    <col min="4632" max="4634" width="7.5" style="209" customWidth="1"/>
    <col min="4635" max="4635" width="8.25" style="209" customWidth="1"/>
    <col min="4636" max="4636" width="8.125" style="209" customWidth="1"/>
    <col min="4637" max="4637" width="8.25" style="209" customWidth="1"/>
    <col min="4638" max="4638" width="8.75" style="209" customWidth="1"/>
    <col min="4639" max="4639" width="7.125" style="209" customWidth="1"/>
    <col min="4640" max="4640" width="9.5" style="209" customWidth="1"/>
    <col min="4641" max="4641" width="8.625" style="209" customWidth="1"/>
    <col min="4642" max="4642" width="8.875" style="209" customWidth="1"/>
    <col min="4643" max="4643" width="8.125" style="209" customWidth="1"/>
    <col min="4644" max="4646" width="7.625" style="209" customWidth="1"/>
    <col min="4647" max="4647" width="6.5" style="209" customWidth="1"/>
    <col min="4648" max="4656" width="8.5" style="209" customWidth="1"/>
    <col min="4657" max="4657" width="7.5" style="209" customWidth="1"/>
    <col min="4658" max="4658" width="7.25" style="209" customWidth="1"/>
    <col min="4659" max="4659" width="8.5" style="209" customWidth="1"/>
    <col min="4660" max="4660" width="9.375" style="209" customWidth="1"/>
    <col min="4661" max="4663" width="8.5" style="209" customWidth="1"/>
    <col min="4664" max="4664" width="9.25" style="209" customWidth="1"/>
    <col min="4665" max="4667" width="8.5" style="209" customWidth="1"/>
    <col min="4668" max="4668" width="7.875" style="209" customWidth="1"/>
    <col min="4669" max="4669" width="8.5" style="209" customWidth="1"/>
    <col min="4670" max="4670" width="7.375" style="209" customWidth="1"/>
    <col min="4671" max="4671" width="7.625" style="209" customWidth="1"/>
    <col min="4672" max="4672" width="9.875" style="209" customWidth="1"/>
    <col min="4673" max="4673" width="8.25" style="209" customWidth="1"/>
    <col min="4674" max="4676" width="8.875" style="209" customWidth="1"/>
    <col min="4677" max="4677" width="8.75" style="209" customWidth="1"/>
    <col min="4678" max="4678" width="8" style="209" customWidth="1"/>
    <col min="4679" max="4679" width="8.25" style="209" customWidth="1"/>
    <col min="4680" max="4680" width="7.375" style="209" customWidth="1"/>
    <col min="4681" max="4681" width="8.875" style="209" customWidth="1"/>
    <col min="4682" max="4682" width="7.375" style="209" customWidth="1"/>
    <col min="4683" max="4683" width="6.625" style="209" customWidth="1"/>
    <col min="4684" max="4684" width="9.5" style="209" customWidth="1"/>
    <col min="4685" max="4685" width="8" style="209" customWidth="1"/>
    <col min="4686" max="4686" width="8.375" style="209" customWidth="1"/>
    <col min="4687" max="4687" width="8.5" style="209" customWidth="1"/>
    <col min="4688" max="4688" width="8" style="209" customWidth="1"/>
    <col min="4689" max="4689" width="7.875" style="209" customWidth="1"/>
    <col min="4690" max="4690" width="8" style="209" customWidth="1"/>
    <col min="4691" max="4691" width="8.5" style="209" customWidth="1"/>
    <col min="4692" max="4694" width="8.125" style="209" customWidth="1"/>
    <col min="4695" max="4695" width="8" style="209" customWidth="1"/>
    <col min="4696" max="4699" width="8.75" style="209" customWidth="1"/>
    <col min="4700" max="4700" width="7.625" style="209" customWidth="1"/>
    <col min="4701" max="4702" width="8.75" style="209" customWidth="1"/>
    <col min="4703" max="4703" width="7.75" style="209" customWidth="1"/>
    <col min="4704" max="4706" width="8" style="209" customWidth="1"/>
    <col min="4707" max="4707" width="7.875" style="209" customWidth="1"/>
    <col min="4708" max="4709" width="8.75" style="209" customWidth="1"/>
    <col min="4710" max="4710" width="8.375" style="209" customWidth="1"/>
    <col min="4711" max="4711" width="8" style="209" customWidth="1"/>
    <col min="4712" max="4712" width="7.875" style="209" customWidth="1"/>
    <col min="4713" max="4715" width="8.25" style="209" customWidth="1"/>
    <col min="4716" max="4718" width="8.125" style="209" customWidth="1"/>
    <col min="4719" max="4719" width="7.875" style="209" customWidth="1"/>
    <col min="4720" max="4720" width="8.875" style="209" customWidth="1"/>
    <col min="4721" max="4721" width="8.375" style="209" customWidth="1"/>
    <col min="4722" max="4722" width="8.25" style="209" customWidth="1"/>
    <col min="4723" max="4723" width="8.875" style="209" customWidth="1"/>
    <col min="4724" max="4724" width="8.125" style="209" customWidth="1"/>
    <col min="4725" max="4725" width="8.25" style="209" customWidth="1"/>
    <col min="4726" max="4726" width="8.875" style="209" customWidth="1"/>
    <col min="4727" max="4727" width="8" style="209" customWidth="1"/>
    <col min="4728" max="4730" width="7.875" style="209" customWidth="1"/>
    <col min="4731" max="4731" width="7.75" style="209" customWidth="1"/>
    <col min="4732" max="4735" width="8.875" style="209" customWidth="1"/>
    <col min="4736" max="4736" width="8.75" style="209" customWidth="1"/>
    <col min="4737" max="4737" width="8.625" style="209" customWidth="1"/>
    <col min="4738" max="4739" width="8.25" style="209" customWidth="1"/>
    <col min="4740" max="4740" width="7.625" style="209" customWidth="1"/>
    <col min="4741" max="4741" width="8" style="209" customWidth="1"/>
    <col min="4742" max="4742" width="7.125" style="209" customWidth="1"/>
    <col min="4743" max="4743" width="7.625" style="209" customWidth="1"/>
    <col min="4744" max="4744" width="8.875" style="209" customWidth="1"/>
    <col min="4745" max="4745" width="8.125" style="209" customWidth="1"/>
    <col min="4746" max="4750" width="8.875" style="209" customWidth="1"/>
    <col min="4751" max="4751" width="8" style="209" customWidth="1"/>
    <col min="4752" max="4752" width="7.75" style="209" customWidth="1"/>
    <col min="4753" max="4753" width="7.875" style="209" customWidth="1"/>
    <col min="4754" max="4754" width="7.375" style="209" customWidth="1"/>
    <col min="4755" max="4755" width="7.875" style="209" customWidth="1"/>
    <col min="4756" max="4762" width="8.875" style="209" customWidth="1"/>
    <col min="4763" max="4763" width="7.5" style="209" customWidth="1"/>
    <col min="4764" max="4764" width="7.25" style="209" customWidth="1"/>
    <col min="4765" max="4765" width="8.375" style="209" customWidth="1"/>
    <col min="4766" max="4766" width="7.25" style="209" customWidth="1"/>
    <col min="4767" max="4767" width="7.625" style="209" customWidth="1"/>
    <col min="4768" max="4865" width="9" style="209"/>
    <col min="4866" max="4866" width="4.5" style="209" bestFit="1" customWidth="1"/>
    <col min="4867" max="4867" width="69.125" style="209" customWidth="1"/>
    <col min="4868" max="4868" width="9.25" style="209" customWidth="1"/>
    <col min="4869" max="4869" width="8.625" style="209" customWidth="1"/>
    <col min="4870" max="4870" width="9.375" style="209" customWidth="1"/>
    <col min="4871" max="4871" width="10.25" style="209" customWidth="1"/>
    <col min="4872" max="4872" width="10.625" style="209" customWidth="1"/>
    <col min="4873" max="4873" width="10" style="209" customWidth="1"/>
    <col min="4874" max="4875" width="8.5" style="209" customWidth="1"/>
    <col min="4876" max="4876" width="7.5" style="209" customWidth="1"/>
    <col min="4877" max="4877" width="7.125" style="209" customWidth="1"/>
    <col min="4878" max="4878" width="8.125" style="209" customWidth="1"/>
    <col min="4879" max="4880" width="7.5" style="209" customWidth="1"/>
    <col min="4881" max="4881" width="8.625" style="209" customWidth="1"/>
    <col min="4882" max="4884" width="7.5" style="209" customWidth="1"/>
    <col min="4885" max="4885" width="8.375" style="209" customWidth="1"/>
    <col min="4886" max="4886" width="7.5" style="209" customWidth="1"/>
    <col min="4887" max="4887" width="8.25" style="209" customWidth="1"/>
    <col min="4888" max="4890" width="7.5" style="209" customWidth="1"/>
    <col min="4891" max="4891" width="8.25" style="209" customWidth="1"/>
    <col min="4892" max="4892" width="8.125" style="209" customWidth="1"/>
    <col min="4893" max="4893" width="8.25" style="209" customWidth="1"/>
    <col min="4894" max="4894" width="8.75" style="209" customWidth="1"/>
    <col min="4895" max="4895" width="7.125" style="209" customWidth="1"/>
    <col min="4896" max="4896" width="9.5" style="209" customWidth="1"/>
    <col min="4897" max="4897" width="8.625" style="209" customWidth="1"/>
    <col min="4898" max="4898" width="8.875" style="209" customWidth="1"/>
    <col min="4899" max="4899" width="8.125" style="209" customWidth="1"/>
    <col min="4900" max="4902" width="7.625" style="209" customWidth="1"/>
    <col min="4903" max="4903" width="6.5" style="209" customWidth="1"/>
    <col min="4904" max="4912" width="8.5" style="209" customWidth="1"/>
    <col min="4913" max="4913" width="7.5" style="209" customWidth="1"/>
    <col min="4914" max="4914" width="7.25" style="209" customWidth="1"/>
    <col min="4915" max="4915" width="8.5" style="209" customWidth="1"/>
    <col min="4916" max="4916" width="9.375" style="209" customWidth="1"/>
    <col min="4917" max="4919" width="8.5" style="209" customWidth="1"/>
    <col min="4920" max="4920" width="9.25" style="209" customWidth="1"/>
    <col min="4921" max="4923" width="8.5" style="209" customWidth="1"/>
    <col min="4924" max="4924" width="7.875" style="209" customWidth="1"/>
    <col min="4925" max="4925" width="8.5" style="209" customWidth="1"/>
    <col min="4926" max="4926" width="7.375" style="209" customWidth="1"/>
    <col min="4927" max="4927" width="7.625" style="209" customWidth="1"/>
    <col min="4928" max="4928" width="9.875" style="209" customWidth="1"/>
    <col min="4929" max="4929" width="8.25" style="209" customWidth="1"/>
    <col min="4930" max="4932" width="8.875" style="209" customWidth="1"/>
    <col min="4933" max="4933" width="8.75" style="209" customWidth="1"/>
    <col min="4934" max="4934" width="8" style="209" customWidth="1"/>
    <col min="4935" max="4935" width="8.25" style="209" customWidth="1"/>
    <col min="4936" max="4936" width="7.375" style="209" customWidth="1"/>
    <col min="4937" max="4937" width="8.875" style="209" customWidth="1"/>
    <col min="4938" max="4938" width="7.375" style="209" customWidth="1"/>
    <col min="4939" max="4939" width="6.625" style="209" customWidth="1"/>
    <col min="4940" max="4940" width="9.5" style="209" customWidth="1"/>
    <col min="4941" max="4941" width="8" style="209" customWidth="1"/>
    <col min="4942" max="4942" width="8.375" style="209" customWidth="1"/>
    <col min="4943" max="4943" width="8.5" style="209" customWidth="1"/>
    <col min="4944" max="4944" width="8" style="209" customWidth="1"/>
    <col min="4945" max="4945" width="7.875" style="209" customWidth="1"/>
    <col min="4946" max="4946" width="8" style="209" customWidth="1"/>
    <col min="4947" max="4947" width="8.5" style="209" customWidth="1"/>
    <col min="4948" max="4950" width="8.125" style="209" customWidth="1"/>
    <col min="4951" max="4951" width="8" style="209" customWidth="1"/>
    <col min="4952" max="4955" width="8.75" style="209" customWidth="1"/>
    <col min="4956" max="4956" width="7.625" style="209" customWidth="1"/>
    <col min="4957" max="4958" width="8.75" style="209" customWidth="1"/>
    <col min="4959" max="4959" width="7.75" style="209" customWidth="1"/>
    <col min="4960" max="4962" width="8" style="209" customWidth="1"/>
    <col min="4963" max="4963" width="7.875" style="209" customWidth="1"/>
    <col min="4964" max="4965" width="8.75" style="209" customWidth="1"/>
    <col min="4966" max="4966" width="8.375" style="209" customWidth="1"/>
    <col min="4967" max="4967" width="8" style="209" customWidth="1"/>
    <col min="4968" max="4968" width="7.875" style="209" customWidth="1"/>
    <col min="4969" max="4971" width="8.25" style="209" customWidth="1"/>
    <col min="4972" max="4974" width="8.125" style="209" customWidth="1"/>
    <col min="4975" max="4975" width="7.875" style="209" customWidth="1"/>
    <col min="4976" max="4976" width="8.875" style="209" customWidth="1"/>
    <col min="4977" max="4977" width="8.375" style="209" customWidth="1"/>
    <col min="4978" max="4978" width="8.25" style="209" customWidth="1"/>
    <col min="4979" max="4979" width="8.875" style="209" customWidth="1"/>
    <col min="4980" max="4980" width="8.125" style="209" customWidth="1"/>
    <col min="4981" max="4981" width="8.25" style="209" customWidth="1"/>
    <col min="4982" max="4982" width="8.875" style="209" customWidth="1"/>
    <col min="4983" max="4983" width="8" style="209" customWidth="1"/>
    <col min="4984" max="4986" width="7.875" style="209" customWidth="1"/>
    <col min="4987" max="4987" width="7.75" style="209" customWidth="1"/>
    <col min="4988" max="4991" width="8.875" style="209" customWidth="1"/>
    <col min="4992" max="4992" width="8.75" style="209" customWidth="1"/>
    <col min="4993" max="4993" width="8.625" style="209" customWidth="1"/>
    <col min="4994" max="4995" width="8.25" style="209" customWidth="1"/>
    <col min="4996" max="4996" width="7.625" style="209" customWidth="1"/>
    <col min="4997" max="4997" width="8" style="209" customWidth="1"/>
    <col min="4998" max="4998" width="7.125" style="209" customWidth="1"/>
    <col min="4999" max="4999" width="7.625" style="209" customWidth="1"/>
    <col min="5000" max="5000" width="8.875" style="209" customWidth="1"/>
    <col min="5001" max="5001" width="8.125" style="209" customWidth="1"/>
    <col min="5002" max="5006" width="8.875" style="209" customWidth="1"/>
    <col min="5007" max="5007" width="8" style="209" customWidth="1"/>
    <col min="5008" max="5008" width="7.75" style="209" customWidth="1"/>
    <col min="5009" max="5009" width="7.875" style="209" customWidth="1"/>
    <col min="5010" max="5010" width="7.375" style="209" customWidth="1"/>
    <col min="5011" max="5011" width="7.875" style="209" customWidth="1"/>
    <col min="5012" max="5018" width="8.875" style="209" customWidth="1"/>
    <col min="5019" max="5019" width="7.5" style="209" customWidth="1"/>
    <col min="5020" max="5020" width="7.25" style="209" customWidth="1"/>
    <col min="5021" max="5021" width="8.375" style="209" customWidth="1"/>
    <col min="5022" max="5022" width="7.25" style="209" customWidth="1"/>
    <col min="5023" max="5023" width="7.625" style="209" customWidth="1"/>
    <col min="5024" max="5121" width="9" style="209"/>
    <col min="5122" max="5122" width="4.5" style="209" bestFit="1" customWidth="1"/>
    <col min="5123" max="5123" width="69.125" style="209" customWidth="1"/>
    <col min="5124" max="5124" width="9.25" style="209" customWidth="1"/>
    <col min="5125" max="5125" width="8.625" style="209" customWidth="1"/>
    <col min="5126" max="5126" width="9.375" style="209" customWidth="1"/>
    <col min="5127" max="5127" width="10.25" style="209" customWidth="1"/>
    <col min="5128" max="5128" width="10.625" style="209" customWidth="1"/>
    <col min="5129" max="5129" width="10" style="209" customWidth="1"/>
    <col min="5130" max="5131" width="8.5" style="209" customWidth="1"/>
    <col min="5132" max="5132" width="7.5" style="209" customWidth="1"/>
    <col min="5133" max="5133" width="7.125" style="209" customWidth="1"/>
    <col min="5134" max="5134" width="8.125" style="209" customWidth="1"/>
    <col min="5135" max="5136" width="7.5" style="209" customWidth="1"/>
    <col min="5137" max="5137" width="8.625" style="209" customWidth="1"/>
    <col min="5138" max="5140" width="7.5" style="209" customWidth="1"/>
    <col min="5141" max="5141" width="8.375" style="209" customWidth="1"/>
    <col min="5142" max="5142" width="7.5" style="209" customWidth="1"/>
    <col min="5143" max="5143" width="8.25" style="209" customWidth="1"/>
    <col min="5144" max="5146" width="7.5" style="209" customWidth="1"/>
    <col min="5147" max="5147" width="8.25" style="209" customWidth="1"/>
    <col min="5148" max="5148" width="8.125" style="209" customWidth="1"/>
    <col min="5149" max="5149" width="8.25" style="209" customWidth="1"/>
    <col min="5150" max="5150" width="8.75" style="209" customWidth="1"/>
    <col min="5151" max="5151" width="7.125" style="209" customWidth="1"/>
    <col min="5152" max="5152" width="9.5" style="209" customWidth="1"/>
    <col min="5153" max="5153" width="8.625" style="209" customWidth="1"/>
    <col min="5154" max="5154" width="8.875" style="209" customWidth="1"/>
    <col min="5155" max="5155" width="8.125" style="209" customWidth="1"/>
    <col min="5156" max="5158" width="7.625" style="209" customWidth="1"/>
    <col min="5159" max="5159" width="6.5" style="209" customWidth="1"/>
    <col min="5160" max="5168" width="8.5" style="209" customWidth="1"/>
    <col min="5169" max="5169" width="7.5" style="209" customWidth="1"/>
    <col min="5170" max="5170" width="7.25" style="209" customWidth="1"/>
    <col min="5171" max="5171" width="8.5" style="209" customWidth="1"/>
    <col min="5172" max="5172" width="9.375" style="209" customWidth="1"/>
    <col min="5173" max="5175" width="8.5" style="209" customWidth="1"/>
    <col min="5176" max="5176" width="9.25" style="209" customWidth="1"/>
    <col min="5177" max="5179" width="8.5" style="209" customWidth="1"/>
    <col min="5180" max="5180" width="7.875" style="209" customWidth="1"/>
    <col min="5181" max="5181" width="8.5" style="209" customWidth="1"/>
    <col min="5182" max="5182" width="7.375" style="209" customWidth="1"/>
    <col min="5183" max="5183" width="7.625" style="209" customWidth="1"/>
    <col min="5184" max="5184" width="9.875" style="209" customWidth="1"/>
    <col min="5185" max="5185" width="8.25" style="209" customWidth="1"/>
    <col min="5186" max="5188" width="8.875" style="209" customWidth="1"/>
    <col min="5189" max="5189" width="8.75" style="209" customWidth="1"/>
    <col min="5190" max="5190" width="8" style="209" customWidth="1"/>
    <col min="5191" max="5191" width="8.25" style="209" customWidth="1"/>
    <col min="5192" max="5192" width="7.375" style="209" customWidth="1"/>
    <col min="5193" max="5193" width="8.875" style="209" customWidth="1"/>
    <col min="5194" max="5194" width="7.375" style="209" customWidth="1"/>
    <col min="5195" max="5195" width="6.625" style="209" customWidth="1"/>
    <col min="5196" max="5196" width="9.5" style="209" customWidth="1"/>
    <col min="5197" max="5197" width="8" style="209" customWidth="1"/>
    <col min="5198" max="5198" width="8.375" style="209" customWidth="1"/>
    <col min="5199" max="5199" width="8.5" style="209" customWidth="1"/>
    <col min="5200" max="5200" width="8" style="209" customWidth="1"/>
    <col min="5201" max="5201" width="7.875" style="209" customWidth="1"/>
    <col min="5202" max="5202" width="8" style="209" customWidth="1"/>
    <col min="5203" max="5203" width="8.5" style="209" customWidth="1"/>
    <col min="5204" max="5206" width="8.125" style="209" customWidth="1"/>
    <col min="5207" max="5207" width="8" style="209" customWidth="1"/>
    <col min="5208" max="5211" width="8.75" style="209" customWidth="1"/>
    <col min="5212" max="5212" width="7.625" style="209" customWidth="1"/>
    <col min="5213" max="5214" width="8.75" style="209" customWidth="1"/>
    <col min="5215" max="5215" width="7.75" style="209" customWidth="1"/>
    <col min="5216" max="5218" width="8" style="209" customWidth="1"/>
    <col min="5219" max="5219" width="7.875" style="209" customWidth="1"/>
    <col min="5220" max="5221" width="8.75" style="209" customWidth="1"/>
    <col min="5222" max="5222" width="8.375" style="209" customWidth="1"/>
    <col min="5223" max="5223" width="8" style="209" customWidth="1"/>
    <col min="5224" max="5224" width="7.875" style="209" customWidth="1"/>
    <col min="5225" max="5227" width="8.25" style="209" customWidth="1"/>
    <col min="5228" max="5230" width="8.125" style="209" customWidth="1"/>
    <col min="5231" max="5231" width="7.875" style="209" customWidth="1"/>
    <col min="5232" max="5232" width="8.875" style="209" customWidth="1"/>
    <col min="5233" max="5233" width="8.375" style="209" customWidth="1"/>
    <col min="5234" max="5234" width="8.25" style="209" customWidth="1"/>
    <col min="5235" max="5235" width="8.875" style="209" customWidth="1"/>
    <col min="5236" max="5236" width="8.125" style="209" customWidth="1"/>
    <col min="5237" max="5237" width="8.25" style="209" customWidth="1"/>
    <col min="5238" max="5238" width="8.875" style="209" customWidth="1"/>
    <col min="5239" max="5239" width="8" style="209" customWidth="1"/>
    <col min="5240" max="5242" width="7.875" style="209" customWidth="1"/>
    <col min="5243" max="5243" width="7.75" style="209" customWidth="1"/>
    <col min="5244" max="5247" width="8.875" style="209" customWidth="1"/>
    <col min="5248" max="5248" width="8.75" style="209" customWidth="1"/>
    <col min="5249" max="5249" width="8.625" style="209" customWidth="1"/>
    <col min="5250" max="5251" width="8.25" style="209" customWidth="1"/>
    <col min="5252" max="5252" width="7.625" style="209" customWidth="1"/>
    <col min="5253" max="5253" width="8" style="209" customWidth="1"/>
    <col min="5254" max="5254" width="7.125" style="209" customWidth="1"/>
    <col min="5255" max="5255" width="7.625" style="209" customWidth="1"/>
    <col min="5256" max="5256" width="8.875" style="209" customWidth="1"/>
    <col min="5257" max="5257" width="8.125" style="209" customWidth="1"/>
    <col min="5258" max="5262" width="8.875" style="209" customWidth="1"/>
    <col min="5263" max="5263" width="8" style="209" customWidth="1"/>
    <col min="5264" max="5264" width="7.75" style="209" customWidth="1"/>
    <col min="5265" max="5265" width="7.875" style="209" customWidth="1"/>
    <col min="5266" max="5266" width="7.375" style="209" customWidth="1"/>
    <col min="5267" max="5267" width="7.875" style="209" customWidth="1"/>
    <col min="5268" max="5274" width="8.875" style="209" customWidth="1"/>
    <col min="5275" max="5275" width="7.5" style="209" customWidth="1"/>
    <col min="5276" max="5276" width="7.25" style="209" customWidth="1"/>
    <col min="5277" max="5277" width="8.375" style="209" customWidth="1"/>
    <col min="5278" max="5278" width="7.25" style="209" customWidth="1"/>
    <col min="5279" max="5279" width="7.625" style="209" customWidth="1"/>
    <col min="5280" max="5377" width="9" style="209"/>
    <col min="5378" max="5378" width="4.5" style="209" bestFit="1" customWidth="1"/>
    <col min="5379" max="5379" width="69.125" style="209" customWidth="1"/>
    <col min="5380" max="5380" width="9.25" style="209" customWidth="1"/>
    <col min="5381" max="5381" width="8.625" style="209" customWidth="1"/>
    <col min="5382" max="5382" width="9.375" style="209" customWidth="1"/>
    <col min="5383" max="5383" width="10.25" style="209" customWidth="1"/>
    <col min="5384" max="5384" width="10.625" style="209" customWidth="1"/>
    <col min="5385" max="5385" width="10" style="209" customWidth="1"/>
    <col min="5386" max="5387" width="8.5" style="209" customWidth="1"/>
    <col min="5388" max="5388" width="7.5" style="209" customWidth="1"/>
    <col min="5389" max="5389" width="7.125" style="209" customWidth="1"/>
    <col min="5390" max="5390" width="8.125" style="209" customWidth="1"/>
    <col min="5391" max="5392" width="7.5" style="209" customWidth="1"/>
    <col min="5393" max="5393" width="8.625" style="209" customWidth="1"/>
    <col min="5394" max="5396" width="7.5" style="209" customWidth="1"/>
    <col min="5397" max="5397" width="8.375" style="209" customWidth="1"/>
    <col min="5398" max="5398" width="7.5" style="209" customWidth="1"/>
    <col min="5399" max="5399" width="8.25" style="209" customWidth="1"/>
    <col min="5400" max="5402" width="7.5" style="209" customWidth="1"/>
    <col min="5403" max="5403" width="8.25" style="209" customWidth="1"/>
    <col min="5404" max="5404" width="8.125" style="209" customWidth="1"/>
    <col min="5405" max="5405" width="8.25" style="209" customWidth="1"/>
    <col min="5406" max="5406" width="8.75" style="209" customWidth="1"/>
    <col min="5407" max="5407" width="7.125" style="209" customWidth="1"/>
    <col min="5408" max="5408" width="9.5" style="209" customWidth="1"/>
    <col min="5409" max="5409" width="8.625" style="209" customWidth="1"/>
    <col min="5410" max="5410" width="8.875" style="209" customWidth="1"/>
    <col min="5411" max="5411" width="8.125" style="209" customWidth="1"/>
    <col min="5412" max="5414" width="7.625" style="209" customWidth="1"/>
    <col min="5415" max="5415" width="6.5" style="209" customWidth="1"/>
    <col min="5416" max="5424" width="8.5" style="209" customWidth="1"/>
    <col min="5425" max="5425" width="7.5" style="209" customWidth="1"/>
    <col min="5426" max="5426" width="7.25" style="209" customWidth="1"/>
    <col min="5427" max="5427" width="8.5" style="209" customWidth="1"/>
    <col min="5428" max="5428" width="9.375" style="209" customWidth="1"/>
    <col min="5429" max="5431" width="8.5" style="209" customWidth="1"/>
    <col min="5432" max="5432" width="9.25" style="209" customWidth="1"/>
    <col min="5433" max="5435" width="8.5" style="209" customWidth="1"/>
    <col min="5436" max="5436" width="7.875" style="209" customWidth="1"/>
    <col min="5437" max="5437" width="8.5" style="209" customWidth="1"/>
    <col min="5438" max="5438" width="7.375" style="209" customWidth="1"/>
    <col min="5439" max="5439" width="7.625" style="209" customWidth="1"/>
    <col min="5440" max="5440" width="9.875" style="209" customWidth="1"/>
    <col min="5441" max="5441" width="8.25" style="209" customWidth="1"/>
    <col min="5442" max="5444" width="8.875" style="209" customWidth="1"/>
    <col min="5445" max="5445" width="8.75" style="209" customWidth="1"/>
    <col min="5446" max="5446" width="8" style="209" customWidth="1"/>
    <col min="5447" max="5447" width="8.25" style="209" customWidth="1"/>
    <col min="5448" max="5448" width="7.375" style="209" customWidth="1"/>
    <col min="5449" max="5449" width="8.875" style="209" customWidth="1"/>
    <col min="5450" max="5450" width="7.375" style="209" customWidth="1"/>
    <col min="5451" max="5451" width="6.625" style="209" customWidth="1"/>
    <col min="5452" max="5452" width="9.5" style="209" customWidth="1"/>
    <col min="5453" max="5453" width="8" style="209" customWidth="1"/>
    <col min="5454" max="5454" width="8.375" style="209" customWidth="1"/>
    <col min="5455" max="5455" width="8.5" style="209" customWidth="1"/>
    <col min="5456" max="5456" width="8" style="209" customWidth="1"/>
    <col min="5457" max="5457" width="7.875" style="209" customWidth="1"/>
    <col min="5458" max="5458" width="8" style="209" customWidth="1"/>
    <col min="5459" max="5459" width="8.5" style="209" customWidth="1"/>
    <col min="5460" max="5462" width="8.125" style="209" customWidth="1"/>
    <col min="5463" max="5463" width="8" style="209" customWidth="1"/>
    <col min="5464" max="5467" width="8.75" style="209" customWidth="1"/>
    <col min="5468" max="5468" width="7.625" style="209" customWidth="1"/>
    <col min="5469" max="5470" width="8.75" style="209" customWidth="1"/>
    <col min="5471" max="5471" width="7.75" style="209" customWidth="1"/>
    <col min="5472" max="5474" width="8" style="209" customWidth="1"/>
    <col min="5475" max="5475" width="7.875" style="209" customWidth="1"/>
    <col min="5476" max="5477" width="8.75" style="209" customWidth="1"/>
    <col min="5478" max="5478" width="8.375" style="209" customWidth="1"/>
    <col min="5479" max="5479" width="8" style="209" customWidth="1"/>
    <col min="5480" max="5480" width="7.875" style="209" customWidth="1"/>
    <col min="5481" max="5483" width="8.25" style="209" customWidth="1"/>
    <col min="5484" max="5486" width="8.125" style="209" customWidth="1"/>
    <col min="5487" max="5487" width="7.875" style="209" customWidth="1"/>
    <col min="5488" max="5488" width="8.875" style="209" customWidth="1"/>
    <col min="5489" max="5489" width="8.375" style="209" customWidth="1"/>
    <col min="5490" max="5490" width="8.25" style="209" customWidth="1"/>
    <col min="5491" max="5491" width="8.875" style="209" customWidth="1"/>
    <col min="5492" max="5492" width="8.125" style="209" customWidth="1"/>
    <col min="5493" max="5493" width="8.25" style="209" customWidth="1"/>
    <col min="5494" max="5494" width="8.875" style="209" customWidth="1"/>
    <col min="5495" max="5495" width="8" style="209" customWidth="1"/>
    <col min="5496" max="5498" width="7.875" style="209" customWidth="1"/>
    <col min="5499" max="5499" width="7.75" style="209" customWidth="1"/>
    <col min="5500" max="5503" width="8.875" style="209" customWidth="1"/>
    <col min="5504" max="5504" width="8.75" style="209" customWidth="1"/>
    <col min="5505" max="5505" width="8.625" style="209" customWidth="1"/>
    <col min="5506" max="5507" width="8.25" style="209" customWidth="1"/>
    <col min="5508" max="5508" width="7.625" style="209" customWidth="1"/>
    <col min="5509" max="5509" width="8" style="209" customWidth="1"/>
    <col min="5510" max="5510" width="7.125" style="209" customWidth="1"/>
    <col min="5511" max="5511" width="7.625" style="209" customWidth="1"/>
    <col min="5512" max="5512" width="8.875" style="209" customWidth="1"/>
    <col min="5513" max="5513" width="8.125" style="209" customWidth="1"/>
    <col min="5514" max="5518" width="8.875" style="209" customWidth="1"/>
    <col min="5519" max="5519" width="8" style="209" customWidth="1"/>
    <col min="5520" max="5520" width="7.75" style="209" customWidth="1"/>
    <col min="5521" max="5521" width="7.875" style="209" customWidth="1"/>
    <col min="5522" max="5522" width="7.375" style="209" customWidth="1"/>
    <col min="5523" max="5523" width="7.875" style="209" customWidth="1"/>
    <col min="5524" max="5530" width="8.875" style="209" customWidth="1"/>
    <col min="5531" max="5531" width="7.5" style="209" customWidth="1"/>
    <col min="5532" max="5532" width="7.25" style="209" customWidth="1"/>
    <col min="5533" max="5533" width="8.375" style="209" customWidth="1"/>
    <col min="5534" max="5534" width="7.25" style="209" customWidth="1"/>
    <col min="5535" max="5535" width="7.625" style="209" customWidth="1"/>
    <col min="5536" max="5633" width="9" style="209"/>
    <col min="5634" max="5634" width="4.5" style="209" bestFit="1" customWidth="1"/>
    <col min="5635" max="5635" width="69.125" style="209" customWidth="1"/>
    <col min="5636" max="5636" width="9.25" style="209" customWidth="1"/>
    <col min="5637" max="5637" width="8.625" style="209" customWidth="1"/>
    <col min="5638" max="5638" width="9.375" style="209" customWidth="1"/>
    <col min="5639" max="5639" width="10.25" style="209" customWidth="1"/>
    <col min="5640" max="5640" width="10.625" style="209" customWidth="1"/>
    <col min="5641" max="5641" width="10" style="209" customWidth="1"/>
    <col min="5642" max="5643" width="8.5" style="209" customWidth="1"/>
    <col min="5644" max="5644" width="7.5" style="209" customWidth="1"/>
    <col min="5645" max="5645" width="7.125" style="209" customWidth="1"/>
    <col min="5646" max="5646" width="8.125" style="209" customWidth="1"/>
    <col min="5647" max="5648" width="7.5" style="209" customWidth="1"/>
    <col min="5649" max="5649" width="8.625" style="209" customWidth="1"/>
    <col min="5650" max="5652" width="7.5" style="209" customWidth="1"/>
    <col min="5653" max="5653" width="8.375" style="209" customWidth="1"/>
    <col min="5654" max="5654" width="7.5" style="209" customWidth="1"/>
    <col min="5655" max="5655" width="8.25" style="209" customWidth="1"/>
    <col min="5656" max="5658" width="7.5" style="209" customWidth="1"/>
    <col min="5659" max="5659" width="8.25" style="209" customWidth="1"/>
    <col min="5660" max="5660" width="8.125" style="209" customWidth="1"/>
    <col min="5661" max="5661" width="8.25" style="209" customWidth="1"/>
    <col min="5662" max="5662" width="8.75" style="209" customWidth="1"/>
    <col min="5663" max="5663" width="7.125" style="209" customWidth="1"/>
    <col min="5664" max="5664" width="9.5" style="209" customWidth="1"/>
    <col min="5665" max="5665" width="8.625" style="209" customWidth="1"/>
    <col min="5666" max="5666" width="8.875" style="209" customWidth="1"/>
    <col min="5667" max="5667" width="8.125" style="209" customWidth="1"/>
    <col min="5668" max="5670" width="7.625" style="209" customWidth="1"/>
    <col min="5671" max="5671" width="6.5" style="209" customWidth="1"/>
    <col min="5672" max="5680" width="8.5" style="209" customWidth="1"/>
    <col min="5681" max="5681" width="7.5" style="209" customWidth="1"/>
    <col min="5682" max="5682" width="7.25" style="209" customWidth="1"/>
    <col min="5683" max="5683" width="8.5" style="209" customWidth="1"/>
    <col min="5684" max="5684" width="9.375" style="209" customWidth="1"/>
    <col min="5685" max="5687" width="8.5" style="209" customWidth="1"/>
    <col min="5688" max="5688" width="9.25" style="209" customWidth="1"/>
    <col min="5689" max="5691" width="8.5" style="209" customWidth="1"/>
    <col min="5692" max="5692" width="7.875" style="209" customWidth="1"/>
    <col min="5693" max="5693" width="8.5" style="209" customWidth="1"/>
    <col min="5694" max="5694" width="7.375" style="209" customWidth="1"/>
    <col min="5695" max="5695" width="7.625" style="209" customWidth="1"/>
    <col min="5696" max="5696" width="9.875" style="209" customWidth="1"/>
    <col min="5697" max="5697" width="8.25" style="209" customWidth="1"/>
    <col min="5698" max="5700" width="8.875" style="209" customWidth="1"/>
    <col min="5701" max="5701" width="8.75" style="209" customWidth="1"/>
    <col min="5702" max="5702" width="8" style="209" customWidth="1"/>
    <col min="5703" max="5703" width="8.25" style="209" customWidth="1"/>
    <col min="5704" max="5704" width="7.375" style="209" customWidth="1"/>
    <col min="5705" max="5705" width="8.875" style="209" customWidth="1"/>
    <col min="5706" max="5706" width="7.375" style="209" customWidth="1"/>
    <col min="5707" max="5707" width="6.625" style="209" customWidth="1"/>
    <col min="5708" max="5708" width="9.5" style="209" customWidth="1"/>
    <col min="5709" max="5709" width="8" style="209" customWidth="1"/>
    <col min="5710" max="5710" width="8.375" style="209" customWidth="1"/>
    <col min="5711" max="5711" width="8.5" style="209" customWidth="1"/>
    <col min="5712" max="5712" width="8" style="209" customWidth="1"/>
    <col min="5713" max="5713" width="7.875" style="209" customWidth="1"/>
    <col min="5714" max="5714" width="8" style="209" customWidth="1"/>
    <col min="5715" max="5715" width="8.5" style="209" customWidth="1"/>
    <col min="5716" max="5718" width="8.125" style="209" customWidth="1"/>
    <col min="5719" max="5719" width="8" style="209" customWidth="1"/>
    <col min="5720" max="5723" width="8.75" style="209" customWidth="1"/>
    <col min="5724" max="5724" width="7.625" style="209" customWidth="1"/>
    <col min="5725" max="5726" width="8.75" style="209" customWidth="1"/>
    <col min="5727" max="5727" width="7.75" style="209" customWidth="1"/>
    <col min="5728" max="5730" width="8" style="209" customWidth="1"/>
    <col min="5731" max="5731" width="7.875" style="209" customWidth="1"/>
    <col min="5732" max="5733" width="8.75" style="209" customWidth="1"/>
    <col min="5734" max="5734" width="8.375" style="209" customWidth="1"/>
    <col min="5735" max="5735" width="8" style="209" customWidth="1"/>
    <col min="5736" max="5736" width="7.875" style="209" customWidth="1"/>
    <col min="5737" max="5739" width="8.25" style="209" customWidth="1"/>
    <col min="5740" max="5742" width="8.125" style="209" customWidth="1"/>
    <col min="5743" max="5743" width="7.875" style="209" customWidth="1"/>
    <col min="5744" max="5744" width="8.875" style="209" customWidth="1"/>
    <col min="5745" max="5745" width="8.375" style="209" customWidth="1"/>
    <col min="5746" max="5746" width="8.25" style="209" customWidth="1"/>
    <col min="5747" max="5747" width="8.875" style="209" customWidth="1"/>
    <col min="5748" max="5748" width="8.125" style="209" customWidth="1"/>
    <col min="5749" max="5749" width="8.25" style="209" customWidth="1"/>
    <col min="5750" max="5750" width="8.875" style="209" customWidth="1"/>
    <col min="5751" max="5751" width="8" style="209" customWidth="1"/>
    <col min="5752" max="5754" width="7.875" style="209" customWidth="1"/>
    <col min="5755" max="5755" width="7.75" style="209" customWidth="1"/>
    <col min="5756" max="5759" width="8.875" style="209" customWidth="1"/>
    <col min="5760" max="5760" width="8.75" style="209" customWidth="1"/>
    <col min="5761" max="5761" width="8.625" style="209" customWidth="1"/>
    <col min="5762" max="5763" width="8.25" style="209" customWidth="1"/>
    <col min="5764" max="5764" width="7.625" style="209" customWidth="1"/>
    <col min="5765" max="5765" width="8" style="209" customWidth="1"/>
    <col min="5766" max="5766" width="7.125" style="209" customWidth="1"/>
    <col min="5767" max="5767" width="7.625" style="209" customWidth="1"/>
    <col min="5768" max="5768" width="8.875" style="209" customWidth="1"/>
    <col min="5769" max="5769" width="8.125" style="209" customWidth="1"/>
    <col min="5770" max="5774" width="8.875" style="209" customWidth="1"/>
    <col min="5775" max="5775" width="8" style="209" customWidth="1"/>
    <col min="5776" max="5776" width="7.75" style="209" customWidth="1"/>
    <col min="5777" max="5777" width="7.875" style="209" customWidth="1"/>
    <col min="5778" max="5778" width="7.375" style="209" customWidth="1"/>
    <col min="5779" max="5779" width="7.875" style="209" customWidth="1"/>
    <col min="5780" max="5786" width="8.875" style="209" customWidth="1"/>
    <col min="5787" max="5787" width="7.5" style="209" customWidth="1"/>
    <col min="5788" max="5788" width="7.25" style="209" customWidth="1"/>
    <col min="5789" max="5789" width="8.375" style="209" customWidth="1"/>
    <col min="5790" max="5790" width="7.25" style="209" customWidth="1"/>
    <col min="5791" max="5791" width="7.625" style="209" customWidth="1"/>
    <col min="5792" max="5889" width="9" style="209"/>
    <col min="5890" max="5890" width="4.5" style="209" bestFit="1" customWidth="1"/>
    <col min="5891" max="5891" width="69.125" style="209" customWidth="1"/>
    <col min="5892" max="5892" width="9.25" style="209" customWidth="1"/>
    <col min="5893" max="5893" width="8.625" style="209" customWidth="1"/>
    <col min="5894" max="5894" width="9.375" style="209" customWidth="1"/>
    <col min="5895" max="5895" width="10.25" style="209" customWidth="1"/>
    <col min="5896" max="5896" width="10.625" style="209" customWidth="1"/>
    <col min="5897" max="5897" width="10" style="209" customWidth="1"/>
    <col min="5898" max="5899" width="8.5" style="209" customWidth="1"/>
    <col min="5900" max="5900" width="7.5" style="209" customWidth="1"/>
    <col min="5901" max="5901" width="7.125" style="209" customWidth="1"/>
    <col min="5902" max="5902" width="8.125" style="209" customWidth="1"/>
    <col min="5903" max="5904" width="7.5" style="209" customWidth="1"/>
    <col min="5905" max="5905" width="8.625" style="209" customWidth="1"/>
    <col min="5906" max="5908" width="7.5" style="209" customWidth="1"/>
    <col min="5909" max="5909" width="8.375" style="209" customWidth="1"/>
    <col min="5910" max="5910" width="7.5" style="209" customWidth="1"/>
    <col min="5911" max="5911" width="8.25" style="209" customWidth="1"/>
    <col min="5912" max="5914" width="7.5" style="209" customWidth="1"/>
    <col min="5915" max="5915" width="8.25" style="209" customWidth="1"/>
    <col min="5916" max="5916" width="8.125" style="209" customWidth="1"/>
    <col min="5917" max="5917" width="8.25" style="209" customWidth="1"/>
    <col min="5918" max="5918" width="8.75" style="209" customWidth="1"/>
    <col min="5919" max="5919" width="7.125" style="209" customWidth="1"/>
    <col min="5920" max="5920" width="9.5" style="209" customWidth="1"/>
    <col min="5921" max="5921" width="8.625" style="209" customWidth="1"/>
    <col min="5922" max="5922" width="8.875" style="209" customWidth="1"/>
    <col min="5923" max="5923" width="8.125" style="209" customWidth="1"/>
    <col min="5924" max="5926" width="7.625" style="209" customWidth="1"/>
    <col min="5927" max="5927" width="6.5" style="209" customWidth="1"/>
    <col min="5928" max="5936" width="8.5" style="209" customWidth="1"/>
    <col min="5937" max="5937" width="7.5" style="209" customWidth="1"/>
    <col min="5938" max="5938" width="7.25" style="209" customWidth="1"/>
    <col min="5939" max="5939" width="8.5" style="209" customWidth="1"/>
    <col min="5940" max="5940" width="9.375" style="209" customWidth="1"/>
    <col min="5941" max="5943" width="8.5" style="209" customWidth="1"/>
    <col min="5944" max="5944" width="9.25" style="209" customWidth="1"/>
    <col min="5945" max="5947" width="8.5" style="209" customWidth="1"/>
    <col min="5948" max="5948" width="7.875" style="209" customWidth="1"/>
    <col min="5949" max="5949" width="8.5" style="209" customWidth="1"/>
    <col min="5950" max="5950" width="7.375" style="209" customWidth="1"/>
    <col min="5951" max="5951" width="7.625" style="209" customWidth="1"/>
    <col min="5952" max="5952" width="9.875" style="209" customWidth="1"/>
    <col min="5953" max="5953" width="8.25" style="209" customWidth="1"/>
    <col min="5954" max="5956" width="8.875" style="209" customWidth="1"/>
    <col min="5957" max="5957" width="8.75" style="209" customWidth="1"/>
    <col min="5958" max="5958" width="8" style="209" customWidth="1"/>
    <col min="5959" max="5959" width="8.25" style="209" customWidth="1"/>
    <col min="5960" max="5960" width="7.375" style="209" customWidth="1"/>
    <col min="5961" max="5961" width="8.875" style="209" customWidth="1"/>
    <col min="5962" max="5962" width="7.375" style="209" customWidth="1"/>
    <col min="5963" max="5963" width="6.625" style="209" customWidth="1"/>
    <col min="5964" max="5964" width="9.5" style="209" customWidth="1"/>
    <col min="5965" max="5965" width="8" style="209" customWidth="1"/>
    <col min="5966" max="5966" width="8.375" style="209" customWidth="1"/>
    <col min="5967" max="5967" width="8.5" style="209" customWidth="1"/>
    <col min="5968" max="5968" width="8" style="209" customWidth="1"/>
    <col min="5969" max="5969" width="7.875" style="209" customWidth="1"/>
    <col min="5970" max="5970" width="8" style="209" customWidth="1"/>
    <col min="5971" max="5971" width="8.5" style="209" customWidth="1"/>
    <col min="5972" max="5974" width="8.125" style="209" customWidth="1"/>
    <col min="5975" max="5975" width="8" style="209" customWidth="1"/>
    <col min="5976" max="5979" width="8.75" style="209" customWidth="1"/>
    <col min="5980" max="5980" width="7.625" style="209" customWidth="1"/>
    <col min="5981" max="5982" width="8.75" style="209" customWidth="1"/>
    <col min="5983" max="5983" width="7.75" style="209" customWidth="1"/>
    <col min="5984" max="5986" width="8" style="209" customWidth="1"/>
    <col min="5987" max="5987" width="7.875" style="209" customWidth="1"/>
    <col min="5988" max="5989" width="8.75" style="209" customWidth="1"/>
    <col min="5990" max="5990" width="8.375" style="209" customWidth="1"/>
    <col min="5991" max="5991" width="8" style="209" customWidth="1"/>
    <col min="5992" max="5992" width="7.875" style="209" customWidth="1"/>
    <col min="5993" max="5995" width="8.25" style="209" customWidth="1"/>
    <col min="5996" max="5998" width="8.125" style="209" customWidth="1"/>
    <col min="5999" max="5999" width="7.875" style="209" customWidth="1"/>
    <col min="6000" max="6000" width="8.875" style="209" customWidth="1"/>
    <col min="6001" max="6001" width="8.375" style="209" customWidth="1"/>
    <col min="6002" max="6002" width="8.25" style="209" customWidth="1"/>
    <col min="6003" max="6003" width="8.875" style="209" customWidth="1"/>
    <col min="6004" max="6004" width="8.125" style="209" customWidth="1"/>
    <col min="6005" max="6005" width="8.25" style="209" customWidth="1"/>
    <col min="6006" max="6006" width="8.875" style="209" customWidth="1"/>
    <col min="6007" max="6007" width="8" style="209" customWidth="1"/>
    <col min="6008" max="6010" width="7.875" style="209" customWidth="1"/>
    <col min="6011" max="6011" width="7.75" style="209" customWidth="1"/>
    <col min="6012" max="6015" width="8.875" style="209" customWidth="1"/>
    <col min="6016" max="6016" width="8.75" style="209" customWidth="1"/>
    <col min="6017" max="6017" width="8.625" style="209" customWidth="1"/>
    <col min="6018" max="6019" width="8.25" style="209" customWidth="1"/>
    <col min="6020" max="6020" width="7.625" style="209" customWidth="1"/>
    <col min="6021" max="6021" width="8" style="209" customWidth="1"/>
    <col min="6022" max="6022" width="7.125" style="209" customWidth="1"/>
    <col min="6023" max="6023" width="7.625" style="209" customWidth="1"/>
    <col min="6024" max="6024" width="8.875" style="209" customWidth="1"/>
    <col min="6025" max="6025" width="8.125" style="209" customWidth="1"/>
    <col min="6026" max="6030" width="8.875" style="209" customWidth="1"/>
    <col min="6031" max="6031" width="8" style="209" customWidth="1"/>
    <col min="6032" max="6032" width="7.75" style="209" customWidth="1"/>
    <col min="6033" max="6033" width="7.875" style="209" customWidth="1"/>
    <col min="6034" max="6034" width="7.375" style="209" customWidth="1"/>
    <col min="6035" max="6035" width="7.875" style="209" customWidth="1"/>
    <col min="6036" max="6042" width="8.875" style="209" customWidth="1"/>
    <col min="6043" max="6043" width="7.5" style="209" customWidth="1"/>
    <col min="6044" max="6044" width="7.25" style="209" customWidth="1"/>
    <col min="6045" max="6045" width="8.375" style="209" customWidth="1"/>
    <col min="6046" max="6046" width="7.25" style="209" customWidth="1"/>
    <col min="6047" max="6047" width="7.625" style="209" customWidth="1"/>
    <col min="6048" max="6145" width="9" style="209"/>
    <col min="6146" max="6146" width="4.5" style="209" bestFit="1" customWidth="1"/>
    <col min="6147" max="6147" width="69.125" style="209" customWidth="1"/>
    <col min="6148" max="6148" width="9.25" style="209" customWidth="1"/>
    <col min="6149" max="6149" width="8.625" style="209" customWidth="1"/>
    <col min="6150" max="6150" width="9.375" style="209" customWidth="1"/>
    <col min="6151" max="6151" width="10.25" style="209" customWidth="1"/>
    <col min="6152" max="6152" width="10.625" style="209" customWidth="1"/>
    <col min="6153" max="6153" width="10" style="209" customWidth="1"/>
    <col min="6154" max="6155" width="8.5" style="209" customWidth="1"/>
    <col min="6156" max="6156" width="7.5" style="209" customWidth="1"/>
    <col min="6157" max="6157" width="7.125" style="209" customWidth="1"/>
    <col min="6158" max="6158" width="8.125" style="209" customWidth="1"/>
    <col min="6159" max="6160" width="7.5" style="209" customWidth="1"/>
    <col min="6161" max="6161" width="8.625" style="209" customWidth="1"/>
    <col min="6162" max="6164" width="7.5" style="209" customWidth="1"/>
    <col min="6165" max="6165" width="8.375" style="209" customWidth="1"/>
    <col min="6166" max="6166" width="7.5" style="209" customWidth="1"/>
    <col min="6167" max="6167" width="8.25" style="209" customWidth="1"/>
    <col min="6168" max="6170" width="7.5" style="209" customWidth="1"/>
    <col min="6171" max="6171" width="8.25" style="209" customWidth="1"/>
    <col min="6172" max="6172" width="8.125" style="209" customWidth="1"/>
    <col min="6173" max="6173" width="8.25" style="209" customWidth="1"/>
    <col min="6174" max="6174" width="8.75" style="209" customWidth="1"/>
    <col min="6175" max="6175" width="7.125" style="209" customWidth="1"/>
    <col min="6176" max="6176" width="9.5" style="209" customWidth="1"/>
    <col min="6177" max="6177" width="8.625" style="209" customWidth="1"/>
    <col min="6178" max="6178" width="8.875" style="209" customWidth="1"/>
    <col min="6179" max="6179" width="8.125" style="209" customWidth="1"/>
    <col min="6180" max="6182" width="7.625" style="209" customWidth="1"/>
    <col min="6183" max="6183" width="6.5" style="209" customWidth="1"/>
    <col min="6184" max="6192" width="8.5" style="209" customWidth="1"/>
    <col min="6193" max="6193" width="7.5" style="209" customWidth="1"/>
    <col min="6194" max="6194" width="7.25" style="209" customWidth="1"/>
    <col min="6195" max="6195" width="8.5" style="209" customWidth="1"/>
    <col min="6196" max="6196" width="9.375" style="209" customWidth="1"/>
    <col min="6197" max="6199" width="8.5" style="209" customWidth="1"/>
    <col min="6200" max="6200" width="9.25" style="209" customWidth="1"/>
    <col min="6201" max="6203" width="8.5" style="209" customWidth="1"/>
    <col min="6204" max="6204" width="7.875" style="209" customWidth="1"/>
    <col min="6205" max="6205" width="8.5" style="209" customWidth="1"/>
    <col min="6206" max="6206" width="7.375" style="209" customWidth="1"/>
    <col min="6207" max="6207" width="7.625" style="209" customWidth="1"/>
    <col min="6208" max="6208" width="9.875" style="209" customWidth="1"/>
    <col min="6209" max="6209" width="8.25" style="209" customWidth="1"/>
    <col min="6210" max="6212" width="8.875" style="209" customWidth="1"/>
    <col min="6213" max="6213" width="8.75" style="209" customWidth="1"/>
    <col min="6214" max="6214" width="8" style="209" customWidth="1"/>
    <col min="6215" max="6215" width="8.25" style="209" customWidth="1"/>
    <col min="6216" max="6216" width="7.375" style="209" customWidth="1"/>
    <col min="6217" max="6217" width="8.875" style="209" customWidth="1"/>
    <col min="6218" max="6218" width="7.375" style="209" customWidth="1"/>
    <col min="6219" max="6219" width="6.625" style="209" customWidth="1"/>
    <col min="6220" max="6220" width="9.5" style="209" customWidth="1"/>
    <col min="6221" max="6221" width="8" style="209" customWidth="1"/>
    <col min="6222" max="6222" width="8.375" style="209" customWidth="1"/>
    <col min="6223" max="6223" width="8.5" style="209" customWidth="1"/>
    <col min="6224" max="6224" width="8" style="209" customWidth="1"/>
    <col min="6225" max="6225" width="7.875" style="209" customWidth="1"/>
    <col min="6226" max="6226" width="8" style="209" customWidth="1"/>
    <col min="6227" max="6227" width="8.5" style="209" customWidth="1"/>
    <col min="6228" max="6230" width="8.125" style="209" customWidth="1"/>
    <col min="6231" max="6231" width="8" style="209" customWidth="1"/>
    <col min="6232" max="6235" width="8.75" style="209" customWidth="1"/>
    <col min="6236" max="6236" width="7.625" style="209" customWidth="1"/>
    <col min="6237" max="6238" width="8.75" style="209" customWidth="1"/>
    <col min="6239" max="6239" width="7.75" style="209" customWidth="1"/>
    <col min="6240" max="6242" width="8" style="209" customWidth="1"/>
    <col min="6243" max="6243" width="7.875" style="209" customWidth="1"/>
    <col min="6244" max="6245" width="8.75" style="209" customWidth="1"/>
    <col min="6246" max="6246" width="8.375" style="209" customWidth="1"/>
    <col min="6247" max="6247" width="8" style="209" customWidth="1"/>
    <col min="6248" max="6248" width="7.875" style="209" customWidth="1"/>
    <col min="6249" max="6251" width="8.25" style="209" customWidth="1"/>
    <col min="6252" max="6254" width="8.125" style="209" customWidth="1"/>
    <col min="6255" max="6255" width="7.875" style="209" customWidth="1"/>
    <col min="6256" max="6256" width="8.875" style="209" customWidth="1"/>
    <col min="6257" max="6257" width="8.375" style="209" customWidth="1"/>
    <col min="6258" max="6258" width="8.25" style="209" customWidth="1"/>
    <col min="6259" max="6259" width="8.875" style="209" customWidth="1"/>
    <col min="6260" max="6260" width="8.125" style="209" customWidth="1"/>
    <col min="6261" max="6261" width="8.25" style="209" customWidth="1"/>
    <col min="6262" max="6262" width="8.875" style="209" customWidth="1"/>
    <col min="6263" max="6263" width="8" style="209" customWidth="1"/>
    <col min="6264" max="6266" width="7.875" style="209" customWidth="1"/>
    <col min="6267" max="6267" width="7.75" style="209" customWidth="1"/>
    <col min="6268" max="6271" width="8.875" style="209" customWidth="1"/>
    <col min="6272" max="6272" width="8.75" style="209" customWidth="1"/>
    <col min="6273" max="6273" width="8.625" style="209" customWidth="1"/>
    <col min="6274" max="6275" width="8.25" style="209" customWidth="1"/>
    <col min="6276" max="6276" width="7.625" style="209" customWidth="1"/>
    <col min="6277" max="6277" width="8" style="209" customWidth="1"/>
    <col min="6278" max="6278" width="7.125" style="209" customWidth="1"/>
    <col min="6279" max="6279" width="7.625" style="209" customWidth="1"/>
    <col min="6280" max="6280" width="8.875" style="209" customWidth="1"/>
    <col min="6281" max="6281" width="8.125" style="209" customWidth="1"/>
    <col min="6282" max="6286" width="8.875" style="209" customWidth="1"/>
    <col min="6287" max="6287" width="8" style="209" customWidth="1"/>
    <col min="6288" max="6288" width="7.75" style="209" customWidth="1"/>
    <col min="6289" max="6289" width="7.875" style="209" customWidth="1"/>
    <col min="6290" max="6290" width="7.375" style="209" customWidth="1"/>
    <col min="6291" max="6291" width="7.875" style="209" customWidth="1"/>
    <col min="6292" max="6298" width="8.875" style="209" customWidth="1"/>
    <col min="6299" max="6299" width="7.5" style="209" customWidth="1"/>
    <col min="6300" max="6300" width="7.25" style="209" customWidth="1"/>
    <col min="6301" max="6301" width="8.375" style="209" customWidth="1"/>
    <col min="6302" max="6302" width="7.25" style="209" customWidth="1"/>
    <col min="6303" max="6303" width="7.625" style="209" customWidth="1"/>
    <col min="6304" max="6401" width="9" style="209"/>
    <col min="6402" max="6402" width="4.5" style="209" bestFit="1" customWidth="1"/>
    <col min="6403" max="6403" width="69.125" style="209" customWidth="1"/>
    <col min="6404" max="6404" width="9.25" style="209" customWidth="1"/>
    <col min="6405" max="6405" width="8.625" style="209" customWidth="1"/>
    <col min="6406" max="6406" width="9.375" style="209" customWidth="1"/>
    <col min="6407" max="6407" width="10.25" style="209" customWidth="1"/>
    <col min="6408" max="6408" width="10.625" style="209" customWidth="1"/>
    <col min="6409" max="6409" width="10" style="209" customWidth="1"/>
    <col min="6410" max="6411" width="8.5" style="209" customWidth="1"/>
    <col min="6412" max="6412" width="7.5" style="209" customWidth="1"/>
    <col min="6413" max="6413" width="7.125" style="209" customWidth="1"/>
    <col min="6414" max="6414" width="8.125" style="209" customWidth="1"/>
    <col min="6415" max="6416" width="7.5" style="209" customWidth="1"/>
    <col min="6417" max="6417" width="8.625" style="209" customWidth="1"/>
    <col min="6418" max="6420" width="7.5" style="209" customWidth="1"/>
    <col min="6421" max="6421" width="8.375" style="209" customWidth="1"/>
    <col min="6422" max="6422" width="7.5" style="209" customWidth="1"/>
    <col min="6423" max="6423" width="8.25" style="209" customWidth="1"/>
    <col min="6424" max="6426" width="7.5" style="209" customWidth="1"/>
    <col min="6427" max="6427" width="8.25" style="209" customWidth="1"/>
    <col min="6428" max="6428" width="8.125" style="209" customWidth="1"/>
    <col min="6429" max="6429" width="8.25" style="209" customWidth="1"/>
    <col min="6430" max="6430" width="8.75" style="209" customWidth="1"/>
    <col min="6431" max="6431" width="7.125" style="209" customWidth="1"/>
    <col min="6432" max="6432" width="9.5" style="209" customWidth="1"/>
    <col min="6433" max="6433" width="8.625" style="209" customWidth="1"/>
    <col min="6434" max="6434" width="8.875" style="209" customWidth="1"/>
    <col min="6435" max="6435" width="8.125" style="209" customWidth="1"/>
    <col min="6436" max="6438" width="7.625" style="209" customWidth="1"/>
    <col min="6439" max="6439" width="6.5" style="209" customWidth="1"/>
    <col min="6440" max="6448" width="8.5" style="209" customWidth="1"/>
    <col min="6449" max="6449" width="7.5" style="209" customWidth="1"/>
    <col min="6450" max="6450" width="7.25" style="209" customWidth="1"/>
    <col min="6451" max="6451" width="8.5" style="209" customWidth="1"/>
    <col min="6452" max="6452" width="9.375" style="209" customWidth="1"/>
    <col min="6453" max="6455" width="8.5" style="209" customWidth="1"/>
    <col min="6456" max="6456" width="9.25" style="209" customWidth="1"/>
    <col min="6457" max="6459" width="8.5" style="209" customWidth="1"/>
    <col min="6460" max="6460" width="7.875" style="209" customWidth="1"/>
    <col min="6461" max="6461" width="8.5" style="209" customWidth="1"/>
    <col min="6462" max="6462" width="7.375" style="209" customWidth="1"/>
    <col min="6463" max="6463" width="7.625" style="209" customWidth="1"/>
    <col min="6464" max="6464" width="9.875" style="209" customWidth="1"/>
    <col min="6465" max="6465" width="8.25" style="209" customWidth="1"/>
    <col min="6466" max="6468" width="8.875" style="209" customWidth="1"/>
    <col min="6469" max="6469" width="8.75" style="209" customWidth="1"/>
    <col min="6470" max="6470" width="8" style="209" customWidth="1"/>
    <col min="6471" max="6471" width="8.25" style="209" customWidth="1"/>
    <col min="6472" max="6472" width="7.375" style="209" customWidth="1"/>
    <col min="6473" max="6473" width="8.875" style="209" customWidth="1"/>
    <col min="6474" max="6474" width="7.375" style="209" customWidth="1"/>
    <col min="6475" max="6475" width="6.625" style="209" customWidth="1"/>
    <col min="6476" max="6476" width="9.5" style="209" customWidth="1"/>
    <col min="6477" max="6477" width="8" style="209" customWidth="1"/>
    <col min="6478" max="6478" width="8.375" style="209" customWidth="1"/>
    <col min="6479" max="6479" width="8.5" style="209" customWidth="1"/>
    <col min="6480" max="6480" width="8" style="209" customWidth="1"/>
    <col min="6481" max="6481" width="7.875" style="209" customWidth="1"/>
    <col min="6482" max="6482" width="8" style="209" customWidth="1"/>
    <col min="6483" max="6483" width="8.5" style="209" customWidth="1"/>
    <col min="6484" max="6486" width="8.125" style="209" customWidth="1"/>
    <col min="6487" max="6487" width="8" style="209" customWidth="1"/>
    <col min="6488" max="6491" width="8.75" style="209" customWidth="1"/>
    <col min="6492" max="6492" width="7.625" style="209" customWidth="1"/>
    <col min="6493" max="6494" width="8.75" style="209" customWidth="1"/>
    <col min="6495" max="6495" width="7.75" style="209" customWidth="1"/>
    <col min="6496" max="6498" width="8" style="209" customWidth="1"/>
    <col min="6499" max="6499" width="7.875" style="209" customWidth="1"/>
    <col min="6500" max="6501" width="8.75" style="209" customWidth="1"/>
    <col min="6502" max="6502" width="8.375" style="209" customWidth="1"/>
    <col min="6503" max="6503" width="8" style="209" customWidth="1"/>
    <col min="6504" max="6504" width="7.875" style="209" customWidth="1"/>
    <col min="6505" max="6507" width="8.25" style="209" customWidth="1"/>
    <col min="6508" max="6510" width="8.125" style="209" customWidth="1"/>
    <col min="6511" max="6511" width="7.875" style="209" customWidth="1"/>
    <col min="6512" max="6512" width="8.875" style="209" customWidth="1"/>
    <col min="6513" max="6513" width="8.375" style="209" customWidth="1"/>
    <col min="6514" max="6514" width="8.25" style="209" customWidth="1"/>
    <col min="6515" max="6515" width="8.875" style="209" customWidth="1"/>
    <col min="6516" max="6516" width="8.125" style="209" customWidth="1"/>
    <col min="6517" max="6517" width="8.25" style="209" customWidth="1"/>
    <col min="6518" max="6518" width="8.875" style="209" customWidth="1"/>
    <col min="6519" max="6519" width="8" style="209" customWidth="1"/>
    <col min="6520" max="6522" width="7.875" style="209" customWidth="1"/>
    <col min="6523" max="6523" width="7.75" style="209" customWidth="1"/>
    <col min="6524" max="6527" width="8.875" style="209" customWidth="1"/>
    <col min="6528" max="6528" width="8.75" style="209" customWidth="1"/>
    <col min="6529" max="6529" width="8.625" style="209" customWidth="1"/>
    <col min="6530" max="6531" width="8.25" style="209" customWidth="1"/>
    <col min="6532" max="6532" width="7.625" style="209" customWidth="1"/>
    <col min="6533" max="6533" width="8" style="209" customWidth="1"/>
    <col min="6534" max="6534" width="7.125" style="209" customWidth="1"/>
    <col min="6535" max="6535" width="7.625" style="209" customWidth="1"/>
    <col min="6536" max="6536" width="8.875" style="209" customWidth="1"/>
    <col min="6537" max="6537" width="8.125" style="209" customWidth="1"/>
    <col min="6538" max="6542" width="8.875" style="209" customWidth="1"/>
    <col min="6543" max="6543" width="8" style="209" customWidth="1"/>
    <col min="6544" max="6544" width="7.75" style="209" customWidth="1"/>
    <col min="6545" max="6545" width="7.875" style="209" customWidth="1"/>
    <col min="6546" max="6546" width="7.375" style="209" customWidth="1"/>
    <col min="6547" max="6547" width="7.875" style="209" customWidth="1"/>
    <col min="6548" max="6554" width="8.875" style="209" customWidth="1"/>
    <col min="6555" max="6555" width="7.5" style="209" customWidth="1"/>
    <col min="6556" max="6556" width="7.25" style="209" customWidth="1"/>
    <col min="6557" max="6557" width="8.375" style="209" customWidth="1"/>
    <col min="6558" max="6558" width="7.25" style="209" customWidth="1"/>
    <col min="6559" max="6559" width="7.625" style="209" customWidth="1"/>
    <col min="6560" max="6657" width="9" style="209"/>
    <col min="6658" max="6658" width="4.5" style="209" bestFit="1" customWidth="1"/>
    <col min="6659" max="6659" width="69.125" style="209" customWidth="1"/>
    <col min="6660" max="6660" width="9.25" style="209" customWidth="1"/>
    <col min="6661" max="6661" width="8.625" style="209" customWidth="1"/>
    <col min="6662" max="6662" width="9.375" style="209" customWidth="1"/>
    <col min="6663" max="6663" width="10.25" style="209" customWidth="1"/>
    <col min="6664" max="6664" width="10.625" style="209" customWidth="1"/>
    <col min="6665" max="6665" width="10" style="209" customWidth="1"/>
    <col min="6666" max="6667" width="8.5" style="209" customWidth="1"/>
    <col min="6668" max="6668" width="7.5" style="209" customWidth="1"/>
    <col min="6669" max="6669" width="7.125" style="209" customWidth="1"/>
    <col min="6670" max="6670" width="8.125" style="209" customWidth="1"/>
    <col min="6671" max="6672" width="7.5" style="209" customWidth="1"/>
    <col min="6673" max="6673" width="8.625" style="209" customWidth="1"/>
    <col min="6674" max="6676" width="7.5" style="209" customWidth="1"/>
    <col min="6677" max="6677" width="8.375" style="209" customWidth="1"/>
    <col min="6678" max="6678" width="7.5" style="209" customWidth="1"/>
    <col min="6679" max="6679" width="8.25" style="209" customWidth="1"/>
    <col min="6680" max="6682" width="7.5" style="209" customWidth="1"/>
    <col min="6683" max="6683" width="8.25" style="209" customWidth="1"/>
    <col min="6684" max="6684" width="8.125" style="209" customWidth="1"/>
    <col min="6685" max="6685" width="8.25" style="209" customWidth="1"/>
    <col min="6686" max="6686" width="8.75" style="209" customWidth="1"/>
    <col min="6687" max="6687" width="7.125" style="209" customWidth="1"/>
    <col min="6688" max="6688" width="9.5" style="209" customWidth="1"/>
    <col min="6689" max="6689" width="8.625" style="209" customWidth="1"/>
    <col min="6690" max="6690" width="8.875" style="209" customWidth="1"/>
    <col min="6691" max="6691" width="8.125" style="209" customWidth="1"/>
    <col min="6692" max="6694" width="7.625" style="209" customWidth="1"/>
    <col min="6695" max="6695" width="6.5" style="209" customWidth="1"/>
    <col min="6696" max="6704" width="8.5" style="209" customWidth="1"/>
    <col min="6705" max="6705" width="7.5" style="209" customWidth="1"/>
    <col min="6706" max="6706" width="7.25" style="209" customWidth="1"/>
    <col min="6707" max="6707" width="8.5" style="209" customWidth="1"/>
    <col min="6708" max="6708" width="9.375" style="209" customWidth="1"/>
    <col min="6709" max="6711" width="8.5" style="209" customWidth="1"/>
    <col min="6712" max="6712" width="9.25" style="209" customWidth="1"/>
    <col min="6713" max="6715" width="8.5" style="209" customWidth="1"/>
    <col min="6716" max="6716" width="7.875" style="209" customWidth="1"/>
    <col min="6717" max="6717" width="8.5" style="209" customWidth="1"/>
    <col min="6718" max="6718" width="7.375" style="209" customWidth="1"/>
    <col min="6719" max="6719" width="7.625" style="209" customWidth="1"/>
    <col min="6720" max="6720" width="9.875" style="209" customWidth="1"/>
    <col min="6721" max="6721" width="8.25" style="209" customWidth="1"/>
    <col min="6722" max="6724" width="8.875" style="209" customWidth="1"/>
    <col min="6725" max="6725" width="8.75" style="209" customWidth="1"/>
    <col min="6726" max="6726" width="8" style="209" customWidth="1"/>
    <col min="6727" max="6727" width="8.25" style="209" customWidth="1"/>
    <col min="6728" max="6728" width="7.375" style="209" customWidth="1"/>
    <col min="6729" max="6729" width="8.875" style="209" customWidth="1"/>
    <col min="6730" max="6730" width="7.375" style="209" customWidth="1"/>
    <col min="6731" max="6731" width="6.625" style="209" customWidth="1"/>
    <col min="6732" max="6732" width="9.5" style="209" customWidth="1"/>
    <col min="6733" max="6733" width="8" style="209" customWidth="1"/>
    <col min="6734" max="6734" width="8.375" style="209" customWidth="1"/>
    <col min="6735" max="6735" width="8.5" style="209" customWidth="1"/>
    <col min="6736" max="6736" width="8" style="209" customWidth="1"/>
    <col min="6737" max="6737" width="7.875" style="209" customWidth="1"/>
    <col min="6738" max="6738" width="8" style="209" customWidth="1"/>
    <col min="6739" max="6739" width="8.5" style="209" customWidth="1"/>
    <col min="6740" max="6742" width="8.125" style="209" customWidth="1"/>
    <col min="6743" max="6743" width="8" style="209" customWidth="1"/>
    <col min="6744" max="6747" width="8.75" style="209" customWidth="1"/>
    <col min="6748" max="6748" width="7.625" style="209" customWidth="1"/>
    <col min="6749" max="6750" width="8.75" style="209" customWidth="1"/>
    <col min="6751" max="6751" width="7.75" style="209" customWidth="1"/>
    <col min="6752" max="6754" width="8" style="209" customWidth="1"/>
    <col min="6755" max="6755" width="7.875" style="209" customWidth="1"/>
    <col min="6756" max="6757" width="8.75" style="209" customWidth="1"/>
    <col min="6758" max="6758" width="8.375" style="209" customWidth="1"/>
    <col min="6759" max="6759" width="8" style="209" customWidth="1"/>
    <col min="6760" max="6760" width="7.875" style="209" customWidth="1"/>
    <col min="6761" max="6763" width="8.25" style="209" customWidth="1"/>
    <col min="6764" max="6766" width="8.125" style="209" customWidth="1"/>
    <col min="6767" max="6767" width="7.875" style="209" customWidth="1"/>
    <col min="6768" max="6768" width="8.875" style="209" customWidth="1"/>
    <col min="6769" max="6769" width="8.375" style="209" customWidth="1"/>
    <col min="6770" max="6770" width="8.25" style="209" customWidth="1"/>
    <col min="6771" max="6771" width="8.875" style="209" customWidth="1"/>
    <col min="6772" max="6772" width="8.125" style="209" customWidth="1"/>
    <col min="6773" max="6773" width="8.25" style="209" customWidth="1"/>
    <col min="6774" max="6774" width="8.875" style="209" customWidth="1"/>
    <col min="6775" max="6775" width="8" style="209" customWidth="1"/>
    <col min="6776" max="6778" width="7.875" style="209" customWidth="1"/>
    <col min="6779" max="6779" width="7.75" style="209" customWidth="1"/>
    <col min="6780" max="6783" width="8.875" style="209" customWidth="1"/>
    <col min="6784" max="6784" width="8.75" style="209" customWidth="1"/>
    <col min="6785" max="6785" width="8.625" style="209" customWidth="1"/>
    <col min="6786" max="6787" width="8.25" style="209" customWidth="1"/>
    <col min="6788" max="6788" width="7.625" style="209" customWidth="1"/>
    <col min="6789" max="6789" width="8" style="209" customWidth="1"/>
    <col min="6790" max="6790" width="7.125" style="209" customWidth="1"/>
    <col min="6791" max="6791" width="7.625" style="209" customWidth="1"/>
    <col min="6792" max="6792" width="8.875" style="209" customWidth="1"/>
    <col min="6793" max="6793" width="8.125" style="209" customWidth="1"/>
    <col min="6794" max="6798" width="8.875" style="209" customWidth="1"/>
    <col min="6799" max="6799" width="8" style="209" customWidth="1"/>
    <col min="6800" max="6800" width="7.75" style="209" customWidth="1"/>
    <col min="6801" max="6801" width="7.875" style="209" customWidth="1"/>
    <col min="6802" max="6802" width="7.375" style="209" customWidth="1"/>
    <col min="6803" max="6803" width="7.875" style="209" customWidth="1"/>
    <col min="6804" max="6810" width="8.875" style="209" customWidth="1"/>
    <col min="6811" max="6811" width="7.5" style="209" customWidth="1"/>
    <col min="6812" max="6812" width="7.25" style="209" customWidth="1"/>
    <col min="6813" max="6813" width="8.375" style="209" customWidth="1"/>
    <col min="6814" max="6814" width="7.25" style="209" customWidth="1"/>
    <col min="6815" max="6815" width="7.625" style="209" customWidth="1"/>
    <col min="6816" max="6913" width="9" style="209"/>
    <col min="6914" max="6914" width="4.5" style="209" bestFit="1" customWidth="1"/>
    <col min="6915" max="6915" width="69.125" style="209" customWidth="1"/>
    <col min="6916" max="6916" width="9.25" style="209" customWidth="1"/>
    <col min="6917" max="6917" width="8.625" style="209" customWidth="1"/>
    <col min="6918" max="6918" width="9.375" style="209" customWidth="1"/>
    <col min="6919" max="6919" width="10.25" style="209" customWidth="1"/>
    <col min="6920" max="6920" width="10.625" style="209" customWidth="1"/>
    <col min="6921" max="6921" width="10" style="209" customWidth="1"/>
    <col min="6922" max="6923" width="8.5" style="209" customWidth="1"/>
    <col min="6924" max="6924" width="7.5" style="209" customWidth="1"/>
    <col min="6925" max="6925" width="7.125" style="209" customWidth="1"/>
    <col min="6926" max="6926" width="8.125" style="209" customWidth="1"/>
    <col min="6927" max="6928" width="7.5" style="209" customWidth="1"/>
    <col min="6929" max="6929" width="8.625" style="209" customWidth="1"/>
    <col min="6930" max="6932" width="7.5" style="209" customWidth="1"/>
    <col min="6933" max="6933" width="8.375" style="209" customWidth="1"/>
    <col min="6934" max="6934" width="7.5" style="209" customWidth="1"/>
    <col min="6935" max="6935" width="8.25" style="209" customWidth="1"/>
    <col min="6936" max="6938" width="7.5" style="209" customWidth="1"/>
    <col min="6939" max="6939" width="8.25" style="209" customWidth="1"/>
    <col min="6940" max="6940" width="8.125" style="209" customWidth="1"/>
    <col min="6941" max="6941" width="8.25" style="209" customWidth="1"/>
    <col min="6942" max="6942" width="8.75" style="209" customWidth="1"/>
    <col min="6943" max="6943" width="7.125" style="209" customWidth="1"/>
    <col min="6944" max="6944" width="9.5" style="209" customWidth="1"/>
    <col min="6945" max="6945" width="8.625" style="209" customWidth="1"/>
    <col min="6946" max="6946" width="8.875" style="209" customWidth="1"/>
    <col min="6947" max="6947" width="8.125" style="209" customWidth="1"/>
    <col min="6948" max="6950" width="7.625" style="209" customWidth="1"/>
    <col min="6951" max="6951" width="6.5" style="209" customWidth="1"/>
    <col min="6952" max="6960" width="8.5" style="209" customWidth="1"/>
    <col min="6961" max="6961" width="7.5" style="209" customWidth="1"/>
    <col min="6962" max="6962" width="7.25" style="209" customWidth="1"/>
    <col min="6963" max="6963" width="8.5" style="209" customWidth="1"/>
    <col min="6964" max="6964" width="9.375" style="209" customWidth="1"/>
    <col min="6965" max="6967" width="8.5" style="209" customWidth="1"/>
    <col min="6968" max="6968" width="9.25" style="209" customWidth="1"/>
    <col min="6969" max="6971" width="8.5" style="209" customWidth="1"/>
    <col min="6972" max="6972" width="7.875" style="209" customWidth="1"/>
    <col min="6973" max="6973" width="8.5" style="209" customWidth="1"/>
    <col min="6974" max="6974" width="7.375" style="209" customWidth="1"/>
    <col min="6975" max="6975" width="7.625" style="209" customWidth="1"/>
    <col min="6976" max="6976" width="9.875" style="209" customWidth="1"/>
    <col min="6977" max="6977" width="8.25" style="209" customWidth="1"/>
    <col min="6978" max="6980" width="8.875" style="209" customWidth="1"/>
    <col min="6981" max="6981" width="8.75" style="209" customWidth="1"/>
    <col min="6982" max="6982" width="8" style="209" customWidth="1"/>
    <col min="6983" max="6983" width="8.25" style="209" customWidth="1"/>
    <col min="6984" max="6984" width="7.375" style="209" customWidth="1"/>
    <col min="6985" max="6985" width="8.875" style="209" customWidth="1"/>
    <col min="6986" max="6986" width="7.375" style="209" customWidth="1"/>
    <col min="6987" max="6987" width="6.625" style="209" customWidth="1"/>
    <col min="6988" max="6988" width="9.5" style="209" customWidth="1"/>
    <col min="6989" max="6989" width="8" style="209" customWidth="1"/>
    <col min="6990" max="6990" width="8.375" style="209" customWidth="1"/>
    <col min="6991" max="6991" width="8.5" style="209" customWidth="1"/>
    <col min="6992" max="6992" width="8" style="209" customWidth="1"/>
    <col min="6993" max="6993" width="7.875" style="209" customWidth="1"/>
    <col min="6994" max="6994" width="8" style="209" customWidth="1"/>
    <col min="6995" max="6995" width="8.5" style="209" customWidth="1"/>
    <col min="6996" max="6998" width="8.125" style="209" customWidth="1"/>
    <col min="6999" max="6999" width="8" style="209" customWidth="1"/>
    <col min="7000" max="7003" width="8.75" style="209" customWidth="1"/>
    <col min="7004" max="7004" width="7.625" style="209" customWidth="1"/>
    <col min="7005" max="7006" width="8.75" style="209" customWidth="1"/>
    <col min="7007" max="7007" width="7.75" style="209" customWidth="1"/>
    <col min="7008" max="7010" width="8" style="209" customWidth="1"/>
    <col min="7011" max="7011" width="7.875" style="209" customWidth="1"/>
    <col min="7012" max="7013" width="8.75" style="209" customWidth="1"/>
    <col min="7014" max="7014" width="8.375" style="209" customWidth="1"/>
    <col min="7015" max="7015" width="8" style="209" customWidth="1"/>
    <col min="7016" max="7016" width="7.875" style="209" customWidth="1"/>
    <col min="7017" max="7019" width="8.25" style="209" customWidth="1"/>
    <col min="7020" max="7022" width="8.125" style="209" customWidth="1"/>
    <col min="7023" max="7023" width="7.875" style="209" customWidth="1"/>
    <col min="7024" max="7024" width="8.875" style="209" customWidth="1"/>
    <col min="7025" max="7025" width="8.375" style="209" customWidth="1"/>
    <col min="7026" max="7026" width="8.25" style="209" customWidth="1"/>
    <col min="7027" max="7027" width="8.875" style="209" customWidth="1"/>
    <col min="7028" max="7028" width="8.125" style="209" customWidth="1"/>
    <col min="7029" max="7029" width="8.25" style="209" customWidth="1"/>
    <col min="7030" max="7030" width="8.875" style="209" customWidth="1"/>
    <col min="7031" max="7031" width="8" style="209" customWidth="1"/>
    <col min="7032" max="7034" width="7.875" style="209" customWidth="1"/>
    <col min="7035" max="7035" width="7.75" style="209" customWidth="1"/>
    <col min="7036" max="7039" width="8.875" style="209" customWidth="1"/>
    <col min="7040" max="7040" width="8.75" style="209" customWidth="1"/>
    <col min="7041" max="7041" width="8.625" style="209" customWidth="1"/>
    <col min="7042" max="7043" width="8.25" style="209" customWidth="1"/>
    <col min="7044" max="7044" width="7.625" style="209" customWidth="1"/>
    <col min="7045" max="7045" width="8" style="209" customWidth="1"/>
    <col min="7046" max="7046" width="7.125" style="209" customWidth="1"/>
    <col min="7047" max="7047" width="7.625" style="209" customWidth="1"/>
    <col min="7048" max="7048" width="8.875" style="209" customWidth="1"/>
    <col min="7049" max="7049" width="8.125" style="209" customWidth="1"/>
    <col min="7050" max="7054" width="8.875" style="209" customWidth="1"/>
    <col min="7055" max="7055" width="8" style="209" customWidth="1"/>
    <col min="7056" max="7056" width="7.75" style="209" customWidth="1"/>
    <col min="7057" max="7057" width="7.875" style="209" customWidth="1"/>
    <col min="7058" max="7058" width="7.375" style="209" customWidth="1"/>
    <col min="7059" max="7059" width="7.875" style="209" customWidth="1"/>
    <col min="7060" max="7066" width="8.875" style="209" customWidth="1"/>
    <col min="7067" max="7067" width="7.5" style="209" customWidth="1"/>
    <col min="7068" max="7068" width="7.25" style="209" customWidth="1"/>
    <col min="7069" max="7069" width="8.375" style="209" customWidth="1"/>
    <col min="7070" max="7070" width="7.25" style="209" customWidth="1"/>
    <col min="7071" max="7071" width="7.625" style="209" customWidth="1"/>
    <col min="7072" max="7169" width="9" style="209"/>
    <col min="7170" max="7170" width="4.5" style="209" bestFit="1" customWidth="1"/>
    <col min="7171" max="7171" width="69.125" style="209" customWidth="1"/>
    <col min="7172" max="7172" width="9.25" style="209" customWidth="1"/>
    <col min="7173" max="7173" width="8.625" style="209" customWidth="1"/>
    <col min="7174" max="7174" width="9.375" style="209" customWidth="1"/>
    <col min="7175" max="7175" width="10.25" style="209" customWidth="1"/>
    <col min="7176" max="7176" width="10.625" style="209" customWidth="1"/>
    <col min="7177" max="7177" width="10" style="209" customWidth="1"/>
    <col min="7178" max="7179" width="8.5" style="209" customWidth="1"/>
    <col min="7180" max="7180" width="7.5" style="209" customWidth="1"/>
    <col min="7181" max="7181" width="7.125" style="209" customWidth="1"/>
    <col min="7182" max="7182" width="8.125" style="209" customWidth="1"/>
    <col min="7183" max="7184" width="7.5" style="209" customWidth="1"/>
    <col min="7185" max="7185" width="8.625" style="209" customWidth="1"/>
    <col min="7186" max="7188" width="7.5" style="209" customWidth="1"/>
    <col min="7189" max="7189" width="8.375" style="209" customWidth="1"/>
    <col min="7190" max="7190" width="7.5" style="209" customWidth="1"/>
    <col min="7191" max="7191" width="8.25" style="209" customWidth="1"/>
    <col min="7192" max="7194" width="7.5" style="209" customWidth="1"/>
    <col min="7195" max="7195" width="8.25" style="209" customWidth="1"/>
    <col min="7196" max="7196" width="8.125" style="209" customWidth="1"/>
    <col min="7197" max="7197" width="8.25" style="209" customWidth="1"/>
    <col min="7198" max="7198" width="8.75" style="209" customWidth="1"/>
    <col min="7199" max="7199" width="7.125" style="209" customWidth="1"/>
    <col min="7200" max="7200" width="9.5" style="209" customWidth="1"/>
    <col min="7201" max="7201" width="8.625" style="209" customWidth="1"/>
    <col min="7202" max="7202" width="8.875" style="209" customWidth="1"/>
    <col min="7203" max="7203" width="8.125" style="209" customWidth="1"/>
    <col min="7204" max="7206" width="7.625" style="209" customWidth="1"/>
    <col min="7207" max="7207" width="6.5" style="209" customWidth="1"/>
    <col min="7208" max="7216" width="8.5" style="209" customWidth="1"/>
    <col min="7217" max="7217" width="7.5" style="209" customWidth="1"/>
    <col min="7218" max="7218" width="7.25" style="209" customWidth="1"/>
    <col min="7219" max="7219" width="8.5" style="209" customWidth="1"/>
    <col min="7220" max="7220" width="9.375" style="209" customWidth="1"/>
    <col min="7221" max="7223" width="8.5" style="209" customWidth="1"/>
    <col min="7224" max="7224" width="9.25" style="209" customWidth="1"/>
    <col min="7225" max="7227" width="8.5" style="209" customWidth="1"/>
    <col min="7228" max="7228" width="7.875" style="209" customWidth="1"/>
    <col min="7229" max="7229" width="8.5" style="209" customWidth="1"/>
    <col min="7230" max="7230" width="7.375" style="209" customWidth="1"/>
    <col min="7231" max="7231" width="7.625" style="209" customWidth="1"/>
    <col min="7232" max="7232" width="9.875" style="209" customWidth="1"/>
    <col min="7233" max="7233" width="8.25" style="209" customWidth="1"/>
    <col min="7234" max="7236" width="8.875" style="209" customWidth="1"/>
    <col min="7237" max="7237" width="8.75" style="209" customWidth="1"/>
    <col min="7238" max="7238" width="8" style="209" customWidth="1"/>
    <col min="7239" max="7239" width="8.25" style="209" customWidth="1"/>
    <col min="7240" max="7240" width="7.375" style="209" customWidth="1"/>
    <col min="7241" max="7241" width="8.875" style="209" customWidth="1"/>
    <col min="7242" max="7242" width="7.375" style="209" customWidth="1"/>
    <col min="7243" max="7243" width="6.625" style="209" customWidth="1"/>
    <col min="7244" max="7244" width="9.5" style="209" customWidth="1"/>
    <col min="7245" max="7245" width="8" style="209" customWidth="1"/>
    <col min="7246" max="7246" width="8.375" style="209" customWidth="1"/>
    <col min="7247" max="7247" width="8.5" style="209" customWidth="1"/>
    <col min="7248" max="7248" width="8" style="209" customWidth="1"/>
    <col min="7249" max="7249" width="7.875" style="209" customWidth="1"/>
    <col min="7250" max="7250" width="8" style="209" customWidth="1"/>
    <col min="7251" max="7251" width="8.5" style="209" customWidth="1"/>
    <col min="7252" max="7254" width="8.125" style="209" customWidth="1"/>
    <col min="7255" max="7255" width="8" style="209" customWidth="1"/>
    <col min="7256" max="7259" width="8.75" style="209" customWidth="1"/>
    <col min="7260" max="7260" width="7.625" style="209" customWidth="1"/>
    <col min="7261" max="7262" width="8.75" style="209" customWidth="1"/>
    <col min="7263" max="7263" width="7.75" style="209" customWidth="1"/>
    <col min="7264" max="7266" width="8" style="209" customWidth="1"/>
    <col min="7267" max="7267" width="7.875" style="209" customWidth="1"/>
    <col min="7268" max="7269" width="8.75" style="209" customWidth="1"/>
    <col min="7270" max="7270" width="8.375" style="209" customWidth="1"/>
    <col min="7271" max="7271" width="8" style="209" customWidth="1"/>
    <col min="7272" max="7272" width="7.875" style="209" customWidth="1"/>
    <col min="7273" max="7275" width="8.25" style="209" customWidth="1"/>
    <col min="7276" max="7278" width="8.125" style="209" customWidth="1"/>
    <col min="7279" max="7279" width="7.875" style="209" customWidth="1"/>
    <col min="7280" max="7280" width="8.875" style="209" customWidth="1"/>
    <col min="7281" max="7281" width="8.375" style="209" customWidth="1"/>
    <col min="7282" max="7282" width="8.25" style="209" customWidth="1"/>
    <col min="7283" max="7283" width="8.875" style="209" customWidth="1"/>
    <col min="7284" max="7284" width="8.125" style="209" customWidth="1"/>
    <col min="7285" max="7285" width="8.25" style="209" customWidth="1"/>
    <col min="7286" max="7286" width="8.875" style="209" customWidth="1"/>
    <col min="7287" max="7287" width="8" style="209" customWidth="1"/>
    <col min="7288" max="7290" width="7.875" style="209" customWidth="1"/>
    <col min="7291" max="7291" width="7.75" style="209" customWidth="1"/>
    <col min="7292" max="7295" width="8.875" style="209" customWidth="1"/>
    <col min="7296" max="7296" width="8.75" style="209" customWidth="1"/>
    <col min="7297" max="7297" width="8.625" style="209" customWidth="1"/>
    <col min="7298" max="7299" width="8.25" style="209" customWidth="1"/>
    <col min="7300" max="7300" width="7.625" style="209" customWidth="1"/>
    <col min="7301" max="7301" width="8" style="209" customWidth="1"/>
    <col min="7302" max="7302" width="7.125" style="209" customWidth="1"/>
    <col min="7303" max="7303" width="7.625" style="209" customWidth="1"/>
    <col min="7304" max="7304" width="8.875" style="209" customWidth="1"/>
    <col min="7305" max="7305" width="8.125" style="209" customWidth="1"/>
    <col min="7306" max="7310" width="8.875" style="209" customWidth="1"/>
    <col min="7311" max="7311" width="8" style="209" customWidth="1"/>
    <col min="7312" max="7312" width="7.75" style="209" customWidth="1"/>
    <col min="7313" max="7313" width="7.875" style="209" customWidth="1"/>
    <col min="7314" max="7314" width="7.375" style="209" customWidth="1"/>
    <col min="7315" max="7315" width="7.875" style="209" customWidth="1"/>
    <col min="7316" max="7322" width="8.875" style="209" customWidth="1"/>
    <col min="7323" max="7323" width="7.5" style="209" customWidth="1"/>
    <col min="7324" max="7324" width="7.25" style="209" customWidth="1"/>
    <col min="7325" max="7325" width="8.375" style="209" customWidth="1"/>
    <col min="7326" max="7326" width="7.25" style="209" customWidth="1"/>
    <col min="7327" max="7327" width="7.625" style="209" customWidth="1"/>
    <col min="7328" max="7425" width="9" style="209"/>
    <col min="7426" max="7426" width="4.5" style="209" bestFit="1" customWidth="1"/>
    <col min="7427" max="7427" width="69.125" style="209" customWidth="1"/>
    <col min="7428" max="7428" width="9.25" style="209" customWidth="1"/>
    <col min="7429" max="7429" width="8.625" style="209" customWidth="1"/>
    <col min="7430" max="7430" width="9.375" style="209" customWidth="1"/>
    <col min="7431" max="7431" width="10.25" style="209" customWidth="1"/>
    <col min="7432" max="7432" width="10.625" style="209" customWidth="1"/>
    <col min="7433" max="7433" width="10" style="209" customWidth="1"/>
    <col min="7434" max="7435" width="8.5" style="209" customWidth="1"/>
    <col min="7436" max="7436" width="7.5" style="209" customWidth="1"/>
    <col min="7437" max="7437" width="7.125" style="209" customWidth="1"/>
    <col min="7438" max="7438" width="8.125" style="209" customWidth="1"/>
    <col min="7439" max="7440" width="7.5" style="209" customWidth="1"/>
    <col min="7441" max="7441" width="8.625" style="209" customWidth="1"/>
    <col min="7442" max="7444" width="7.5" style="209" customWidth="1"/>
    <col min="7445" max="7445" width="8.375" style="209" customWidth="1"/>
    <col min="7446" max="7446" width="7.5" style="209" customWidth="1"/>
    <col min="7447" max="7447" width="8.25" style="209" customWidth="1"/>
    <col min="7448" max="7450" width="7.5" style="209" customWidth="1"/>
    <col min="7451" max="7451" width="8.25" style="209" customWidth="1"/>
    <col min="7452" max="7452" width="8.125" style="209" customWidth="1"/>
    <col min="7453" max="7453" width="8.25" style="209" customWidth="1"/>
    <col min="7454" max="7454" width="8.75" style="209" customWidth="1"/>
    <col min="7455" max="7455" width="7.125" style="209" customWidth="1"/>
    <col min="7456" max="7456" width="9.5" style="209" customWidth="1"/>
    <col min="7457" max="7457" width="8.625" style="209" customWidth="1"/>
    <col min="7458" max="7458" width="8.875" style="209" customWidth="1"/>
    <col min="7459" max="7459" width="8.125" style="209" customWidth="1"/>
    <col min="7460" max="7462" width="7.625" style="209" customWidth="1"/>
    <col min="7463" max="7463" width="6.5" style="209" customWidth="1"/>
    <col min="7464" max="7472" width="8.5" style="209" customWidth="1"/>
    <col min="7473" max="7473" width="7.5" style="209" customWidth="1"/>
    <col min="7474" max="7474" width="7.25" style="209" customWidth="1"/>
    <col min="7475" max="7475" width="8.5" style="209" customWidth="1"/>
    <col min="7476" max="7476" width="9.375" style="209" customWidth="1"/>
    <col min="7477" max="7479" width="8.5" style="209" customWidth="1"/>
    <col min="7480" max="7480" width="9.25" style="209" customWidth="1"/>
    <col min="7481" max="7483" width="8.5" style="209" customWidth="1"/>
    <col min="7484" max="7484" width="7.875" style="209" customWidth="1"/>
    <col min="7485" max="7485" width="8.5" style="209" customWidth="1"/>
    <col min="7486" max="7486" width="7.375" style="209" customWidth="1"/>
    <col min="7487" max="7487" width="7.625" style="209" customWidth="1"/>
    <col min="7488" max="7488" width="9.875" style="209" customWidth="1"/>
    <col min="7489" max="7489" width="8.25" style="209" customWidth="1"/>
    <col min="7490" max="7492" width="8.875" style="209" customWidth="1"/>
    <col min="7493" max="7493" width="8.75" style="209" customWidth="1"/>
    <col min="7494" max="7494" width="8" style="209" customWidth="1"/>
    <col min="7495" max="7495" width="8.25" style="209" customWidth="1"/>
    <col min="7496" max="7496" width="7.375" style="209" customWidth="1"/>
    <col min="7497" max="7497" width="8.875" style="209" customWidth="1"/>
    <col min="7498" max="7498" width="7.375" style="209" customWidth="1"/>
    <col min="7499" max="7499" width="6.625" style="209" customWidth="1"/>
    <col min="7500" max="7500" width="9.5" style="209" customWidth="1"/>
    <col min="7501" max="7501" width="8" style="209" customWidth="1"/>
    <col min="7502" max="7502" width="8.375" style="209" customWidth="1"/>
    <col min="7503" max="7503" width="8.5" style="209" customWidth="1"/>
    <col min="7504" max="7504" width="8" style="209" customWidth="1"/>
    <col min="7505" max="7505" width="7.875" style="209" customWidth="1"/>
    <col min="7506" max="7506" width="8" style="209" customWidth="1"/>
    <col min="7507" max="7507" width="8.5" style="209" customWidth="1"/>
    <col min="7508" max="7510" width="8.125" style="209" customWidth="1"/>
    <col min="7511" max="7511" width="8" style="209" customWidth="1"/>
    <col min="7512" max="7515" width="8.75" style="209" customWidth="1"/>
    <col min="7516" max="7516" width="7.625" style="209" customWidth="1"/>
    <col min="7517" max="7518" width="8.75" style="209" customWidth="1"/>
    <col min="7519" max="7519" width="7.75" style="209" customWidth="1"/>
    <col min="7520" max="7522" width="8" style="209" customWidth="1"/>
    <col min="7523" max="7523" width="7.875" style="209" customWidth="1"/>
    <col min="7524" max="7525" width="8.75" style="209" customWidth="1"/>
    <col min="7526" max="7526" width="8.375" style="209" customWidth="1"/>
    <col min="7527" max="7527" width="8" style="209" customWidth="1"/>
    <col min="7528" max="7528" width="7.875" style="209" customWidth="1"/>
    <col min="7529" max="7531" width="8.25" style="209" customWidth="1"/>
    <col min="7532" max="7534" width="8.125" style="209" customWidth="1"/>
    <col min="7535" max="7535" width="7.875" style="209" customWidth="1"/>
    <col min="7536" max="7536" width="8.875" style="209" customWidth="1"/>
    <col min="7537" max="7537" width="8.375" style="209" customWidth="1"/>
    <col min="7538" max="7538" width="8.25" style="209" customWidth="1"/>
    <col min="7539" max="7539" width="8.875" style="209" customWidth="1"/>
    <col min="7540" max="7540" width="8.125" style="209" customWidth="1"/>
    <col min="7541" max="7541" width="8.25" style="209" customWidth="1"/>
    <col min="7542" max="7542" width="8.875" style="209" customWidth="1"/>
    <col min="7543" max="7543" width="8" style="209" customWidth="1"/>
    <col min="7544" max="7546" width="7.875" style="209" customWidth="1"/>
    <col min="7547" max="7547" width="7.75" style="209" customWidth="1"/>
    <col min="7548" max="7551" width="8.875" style="209" customWidth="1"/>
    <col min="7552" max="7552" width="8.75" style="209" customWidth="1"/>
    <col min="7553" max="7553" width="8.625" style="209" customWidth="1"/>
    <col min="7554" max="7555" width="8.25" style="209" customWidth="1"/>
    <col min="7556" max="7556" width="7.625" style="209" customWidth="1"/>
    <col min="7557" max="7557" width="8" style="209" customWidth="1"/>
    <col min="7558" max="7558" width="7.125" style="209" customWidth="1"/>
    <col min="7559" max="7559" width="7.625" style="209" customWidth="1"/>
    <col min="7560" max="7560" width="8.875" style="209" customWidth="1"/>
    <col min="7561" max="7561" width="8.125" style="209" customWidth="1"/>
    <col min="7562" max="7566" width="8.875" style="209" customWidth="1"/>
    <col min="7567" max="7567" width="8" style="209" customWidth="1"/>
    <col min="7568" max="7568" width="7.75" style="209" customWidth="1"/>
    <col min="7569" max="7569" width="7.875" style="209" customWidth="1"/>
    <col min="7570" max="7570" width="7.375" style="209" customWidth="1"/>
    <col min="7571" max="7571" width="7.875" style="209" customWidth="1"/>
    <col min="7572" max="7578" width="8.875" style="209" customWidth="1"/>
    <col min="7579" max="7579" width="7.5" style="209" customWidth="1"/>
    <col min="7580" max="7580" width="7.25" style="209" customWidth="1"/>
    <col min="7581" max="7581" width="8.375" style="209" customWidth="1"/>
    <col min="7582" max="7582" width="7.25" style="209" customWidth="1"/>
    <col min="7583" max="7583" width="7.625" style="209" customWidth="1"/>
    <col min="7584" max="7681" width="9" style="209"/>
    <col min="7682" max="7682" width="4.5" style="209" bestFit="1" customWidth="1"/>
    <col min="7683" max="7683" width="69.125" style="209" customWidth="1"/>
    <col min="7684" max="7684" width="9.25" style="209" customWidth="1"/>
    <col min="7685" max="7685" width="8.625" style="209" customWidth="1"/>
    <col min="7686" max="7686" width="9.375" style="209" customWidth="1"/>
    <col min="7687" max="7687" width="10.25" style="209" customWidth="1"/>
    <col min="7688" max="7688" width="10.625" style="209" customWidth="1"/>
    <col min="7689" max="7689" width="10" style="209" customWidth="1"/>
    <col min="7690" max="7691" width="8.5" style="209" customWidth="1"/>
    <col min="7692" max="7692" width="7.5" style="209" customWidth="1"/>
    <col min="7693" max="7693" width="7.125" style="209" customWidth="1"/>
    <col min="7694" max="7694" width="8.125" style="209" customWidth="1"/>
    <col min="7695" max="7696" width="7.5" style="209" customWidth="1"/>
    <col min="7697" max="7697" width="8.625" style="209" customWidth="1"/>
    <col min="7698" max="7700" width="7.5" style="209" customWidth="1"/>
    <col min="7701" max="7701" width="8.375" style="209" customWidth="1"/>
    <col min="7702" max="7702" width="7.5" style="209" customWidth="1"/>
    <col min="7703" max="7703" width="8.25" style="209" customWidth="1"/>
    <col min="7704" max="7706" width="7.5" style="209" customWidth="1"/>
    <col min="7707" max="7707" width="8.25" style="209" customWidth="1"/>
    <col min="7708" max="7708" width="8.125" style="209" customWidth="1"/>
    <col min="7709" max="7709" width="8.25" style="209" customWidth="1"/>
    <col min="7710" max="7710" width="8.75" style="209" customWidth="1"/>
    <col min="7711" max="7711" width="7.125" style="209" customWidth="1"/>
    <col min="7712" max="7712" width="9.5" style="209" customWidth="1"/>
    <col min="7713" max="7713" width="8.625" style="209" customWidth="1"/>
    <col min="7714" max="7714" width="8.875" style="209" customWidth="1"/>
    <col min="7715" max="7715" width="8.125" style="209" customWidth="1"/>
    <col min="7716" max="7718" width="7.625" style="209" customWidth="1"/>
    <col min="7719" max="7719" width="6.5" style="209" customWidth="1"/>
    <col min="7720" max="7728" width="8.5" style="209" customWidth="1"/>
    <col min="7729" max="7729" width="7.5" style="209" customWidth="1"/>
    <col min="7730" max="7730" width="7.25" style="209" customWidth="1"/>
    <col min="7731" max="7731" width="8.5" style="209" customWidth="1"/>
    <col min="7732" max="7732" width="9.375" style="209" customWidth="1"/>
    <col min="7733" max="7735" width="8.5" style="209" customWidth="1"/>
    <col min="7736" max="7736" width="9.25" style="209" customWidth="1"/>
    <col min="7737" max="7739" width="8.5" style="209" customWidth="1"/>
    <col min="7740" max="7740" width="7.875" style="209" customWidth="1"/>
    <col min="7741" max="7741" width="8.5" style="209" customWidth="1"/>
    <col min="7742" max="7742" width="7.375" style="209" customWidth="1"/>
    <col min="7743" max="7743" width="7.625" style="209" customWidth="1"/>
    <col min="7744" max="7744" width="9.875" style="209" customWidth="1"/>
    <col min="7745" max="7745" width="8.25" style="209" customWidth="1"/>
    <col min="7746" max="7748" width="8.875" style="209" customWidth="1"/>
    <col min="7749" max="7749" width="8.75" style="209" customWidth="1"/>
    <col min="7750" max="7750" width="8" style="209" customWidth="1"/>
    <col min="7751" max="7751" width="8.25" style="209" customWidth="1"/>
    <col min="7752" max="7752" width="7.375" style="209" customWidth="1"/>
    <col min="7753" max="7753" width="8.875" style="209" customWidth="1"/>
    <col min="7754" max="7754" width="7.375" style="209" customWidth="1"/>
    <col min="7755" max="7755" width="6.625" style="209" customWidth="1"/>
    <col min="7756" max="7756" width="9.5" style="209" customWidth="1"/>
    <col min="7757" max="7757" width="8" style="209" customWidth="1"/>
    <col min="7758" max="7758" width="8.375" style="209" customWidth="1"/>
    <col min="7759" max="7759" width="8.5" style="209" customWidth="1"/>
    <col min="7760" max="7760" width="8" style="209" customWidth="1"/>
    <col min="7761" max="7761" width="7.875" style="209" customWidth="1"/>
    <col min="7762" max="7762" width="8" style="209" customWidth="1"/>
    <col min="7763" max="7763" width="8.5" style="209" customWidth="1"/>
    <col min="7764" max="7766" width="8.125" style="209" customWidth="1"/>
    <col min="7767" max="7767" width="8" style="209" customWidth="1"/>
    <col min="7768" max="7771" width="8.75" style="209" customWidth="1"/>
    <col min="7772" max="7772" width="7.625" style="209" customWidth="1"/>
    <col min="7773" max="7774" width="8.75" style="209" customWidth="1"/>
    <col min="7775" max="7775" width="7.75" style="209" customWidth="1"/>
    <col min="7776" max="7778" width="8" style="209" customWidth="1"/>
    <col min="7779" max="7779" width="7.875" style="209" customWidth="1"/>
    <col min="7780" max="7781" width="8.75" style="209" customWidth="1"/>
    <col min="7782" max="7782" width="8.375" style="209" customWidth="1"/>
    <col min="7783" max="7783" width="8" style="209" customWidth="1"/>
    <col min="7784" max="7784" width="7.875" style="209" customWidth="1"/>
    <col min="7785" max="7787" width="8.25" style="209" customWidth="1"/>
    <col min="7788" max="7790" width="8.125" style="209" customWidth="1"/>
    <col min="7791" max="7791" width="7.875" style="209" customWidth="1"/>
    <col min="7792" max="7792" width="8.875" style="209" customWidth="1"/>
    <col min="7793" max="7793" width="8.375" style="209" customWidth="1"/>
    <col min="7794" max="7794" width="8.25" style="209" customWidth="1"/>
    <col min="7795" max="7795" width="8.875" style="209" customWidth="1"/>
    <col min="7796" max="7796" width="8.125" style="209" customWidth="1"/>
    <col min="7797" max="7797" width="8.25" style="209" customWidth="1"/>
    <col min="7798" max="7798" width="8.875" style="209" customWidth="1"/>
    <col min="7799" max="7799" width="8" style="209" customWidth="1"/>
    <col min="7800" max="7802" width="7.875" style="209" customWidth="1"/>
    <col min="7803" max="7803" width="7.75" style="209" customWidth="1"/>
    <col min="7804" max="7807" width="8.875" style="209" customWidth="1"/>
    <col min="7808" max="7808" width="8.75" style="209" customWidth="1"/>
    <col min="7809" max="7809" width="8.625" style="209" customWidth="1"/>
    <col min="7810" max="7811" width="8.25" style="209" customWidth="1"/>
    <col min="7812" max="7812" width="7.625" style="209" customWidth="1"/>
    <col min="7813" max="7813" width="8" style="209" customWidth="1"/>
    <col min="7814" max="7814" width="7.125" style="209" customWidth="1"/>
    <col min="7815" max="7815" width="7.625" style="209" customWidth="1"/>
    <col min="7816" max="7816" width="8.875" style="209" customWidth="1"/>
    <col min="7817" max="7817" width="8.125" style="209" customWidth="1"/>
    <col min="7818" max="7822" width="8.875" style="209" customWidth="1"/>
    <col min="7823" max="7823" width="8" style="209" customWidth="1"/>
    <col min="7824" max="7824" width="7.75" style="209" customWidth="1"/>
    <col min="7825" max="7825" width="7.875" style="209" customWidth="1"/>
    <col min="7826" max="7826" width="7.375" style="209" customWidth="1"/>
    <col min="7827" max="7827" width="7.875" style="209" customWidth="1"/>
    <col min="7828" max="7834" width="8.875" style="209" customWidth="1"/>
    <col min="7835" max="7835" width="7.5" style="209" customWidth="1"/>
    <col min="7836" max="7836" width="7.25" style="209" customWidth="1"/>
    <col min="7837" max="7837" width="8.375" style="209" customWidth="1"/>
    <col min="7838" max="7838" width="7.25" style="209" customWidth="1"/>
    <col min="7839" max="7839" width="7.625" style="209" customWidth="1"/>
    <col min="7840" max="7937" width="9" style="209"/>
    <col min="7938" max="7938" width="4.5" style="209" bestFit="1" customWidth="1"/>
    <col min="7939" max="7939" width="69.125" style="209" customWidth="1"/>
    <col min="7940" max="7940" width="9.25" style="209" customWidth="1"/>
    <col min="7941" max="7941" width="8.625" style="209" customWidth="1"/>
    <col min="7942" max="7942" width="9.375" style="209" customWidth="1"/>
    <col min="7943" max="7943" width="10.25" style="209" customWidth="1"/>
    <col min="7944" max="7944" width="10.625" style="209" customWidth="1"/>
    <col min="7945" max="7945" width="10" style="209" customWidth="1"/>
    <col min="7946" max="7947" width="8.5" style="209" customWidth="1"/>
    <col min="7948" max="7948" width="7.5" style="209" customWidth="1"/>
    <col min="7949" max="7949" width="7.125" style="209" customWidth="1"/>
    <col min="7950" max="7950" width="8.125" style="209" customWidth="1"/>
    <col min="7951" max="7952" width="7.5" style="209" customWidth="1"/>
    <col min="7953" max="7953" width="8.625" style="209" customWidth="1"/>
    <col min="7954" max="7956" width="7.5" style="209" customWidth="1"/>
    <col min="7957" max="7957" width="8.375" style="209" customWidth="1"/>
    <col min="7958" max="7958" width="7.5" style="209" customWidth="1"/>
    <col min="7959" max="7959" width="8.25" style="209" customWidth="1"/>
    <col min="7960" max="7962" width="7.5" style="209" customWidth="1"/>
    <col min="7963" max="7963" width="8.25" style="209" customWidth="1"/>
    <col min="7964" max="7964" width="8.125" style="209" customWidth="1"/>
    <col min="7965" max="7965" width="8.25" style="209" customWidth="1"/>
    <col min="7966" max="7966" width="8.75" style="209" customWidth="1"/>
    <col min="7967" max="7967" width="7.125" style="209" customWidth="1"/>
    <col min="7968" max="7968" width="9.5" style="209" customWidth="1"/>
    <col min="7969" max="7969" width="8.625" style="209" customWidth="1"/>
    <col min="7970" max="7970" width="8.875" style="209" customWidth="1"/>
    <col min="7971" max="7971" width="8.125" style="209" customWidth="1"/>
    <col min="7972" max="7974" width="7.625" style="209" customWidth="1"/>
    <col min="7975" max="7975" width="6.5" style="209" customWidth="1"/>
    <col min="7976" max="7984" width="8.5" style="209" customWidth="1"/>
    <col min="7985" max="7985" width="7.5" style="209" customWidth="1"/>
    <col min="7986" max="7986" width="7.25" style="209" customWidth="1"/>
    <col min="7987" max="7987" width="8.5" style="209" customWidth="1"/>
    <col min="7988" max="7988" width="9.375" style="209" customWidth="1"/>
    <col min="7989" max="7991" width="8.5" style="209" customWidth="1"/>
    <col min="7992" max="7992" width="9.25" style="209" customWidth="1"/>
    <col min="7993" max="7995" width="8.5" style="209" customWidth="1"/>
    <col min="7996" max="7996" width="7.875" style="209" customWidth="1"/>
    <col min="7997" max="7997" width="8.5" style="209" customWidth="1"/>
    <col min="7998" max="7998" width="7.375" style="209" customWidth="1"/>
    <col min="7999" max="7999" width="7.625" style="209" customWidth="1"/>
    <col min="8000" max="8000" width="9.875" style="209" customWidth="1"/>
    <col min="8001" max="8001" width="8.25" style="209" customWidth="1"/>
    <col min="8002" max="8004" width="8.875" style="209" customWidth="1"/>
    <col min="8005" max="8005" width="8.75" style="209" customWidth="1"/>
    <col min="8006" max="8006" width="8" style="209" customWidth="1"/>
    <col min="8007" max="8007" width="8.25" style="209" customWidth="1"/>
    <col min="8008" max="8008" width="7.375" style="209" customWidth="1"/>
    <col min="8009" max="8009" width="8.875" style="209" customWidth="1"/>
    <col min="8010" max="8010" width="7.375" style="209" customWidth="1"/>
    <col min="8011" max="8011" width="6.625" style="209" customWidth="1"/>
    <col min="8012" max="8012" width="9.5" style="209" customWidth="1"/>
    <col min="8013" max="8013" width="8" style="209" customWidth="1"/>
    <col min="8014" max="8014" width="8.375" style="209" customWidth="1"/>
    <col min="8015" max="8015" width="8.5" style="209" customWidth="1"/>
    <col min="8016" max="8016" width="8" style="209" customWidth="1"/>
    <col min="8017" max="8017" width="7.875" style="209" customWidth="1"/>
    <col min="8018" max="8018" width="8" style="209" customWidth="1"/>
    <col min="8019" max="8019" width="8.5" style="209" customWidth="1"/>
    <col min="8020" max="8022" width="8.125" style="209" customWidth="1"/>
    <col min="8023" max="8023" width="8" style="209" customWidth="1"/>
    <col min="8024" max="8027" width="8.75" style="209" customWidth="1"/>
    <col min="8028" max="8028" width="7.625" style="209" customWidth="1"/>
    <col min="8029" max="8030" width="8.75" style="209" customWidth="1"/>
    <col min="8031" max="8031" width="7.75" style="209" customWidth="1"/>
    <col min="8032" max="8034" width="8" style="209" customWidth="1"/>
    <col min="8035" max="8035" width="7.875" style="209" customWidth="1"/>
    <col min="8036" max="8037" width="8.75" style="209" customWidth="1"/>
    <col min="8038" max="8038" width="8.375" style="209" customWidth="1"/>
    <col min="8039" max="8039" width="8" style="209" customWidth="1"/>
    <col min="8040" max="8040" width="7.875" style="209" customWidth="1"/>
    <col min="8041" max="8043" width="8.25" style="209" customWidth="1"/>
    <col min="8044" max="8046" width="8.125" style="209" customWidth="1"/>
    <col min="8047" max="8047" width="7.875" style="209" customWidth="1"/>
    <col min="8048" max="8048" width="8.875" style="209" customWidth="1"/>
    <col min="8049" max="8049" width="8.375" style="209" customWidth="1"/>
    <col min="8050" max="8050" width="8.25" style="209" customWidth="1"/>
    <col min="8051" max="8051" width="8.875" style="209" customWidth="1"/>
    <col min="8052" max="8052" width="8.125" style="209" customWidth="1"/>
    <col min="8053" max="8053" width="8.25" style="209" customWidth="1"/>
    <col min="8054" max="8054" width="8.875" style="209" customWidth="1"/>
    <col min="8055" max="8055" width="8" style="209" customWidth="1"/>
    <col min="8056" max="8058" width="7.875" style="209" customWidth="1"/>
    <col min="8059" max="8059" width="7.75" style="209" customWidth="1"/>
    <col min="8060" max="8063" width="8.875" style="209" customWidth="1"/>
    <col min="8064" max="8064" width="8.75" style="209" customWidth="1"/>
    <col min="8065" max="8065" width="8.625" style="209" customWidth="1"/>
    <col min="8066" max="8067" width="8.25" style="209" customWidth="1"/>
    <col min="8068" max="8068" width="7.625" style="209" customWidth="1"/>
    <col min="8069" max="8069" width="8" style="209" customWidth="1"/>
    <col min="8070" max="8070" width="7.125" style="209" customWidth="1"/>
    <col min="8071" max="8071" width="7.625" style="209" customWidth="1"/>
    <col min="8072" max="8072" width="8.875" style="209" customWidth="1"/>
    <col min="8073" max="8073" width="8.125" style="209" customWidth="1"/>
    <col min="8074" max="8078" width="8.875" style="209" customWidth="1"/>
    <col min="8079" max="8079" width="8" style="209" customWidth="1"/>
    <col min="8080" max="8080" width="7.75" style="209" customWidth="1"/>
    <col min="8081" max="8081" width="7.875" style="209" customWidth="1"/>
    <col min="8082" max="8082" width="7.375" style="209" customWidth="1"/>
    <col min="8083" max="8083" width="7.875" style="209" customWidth="1"/>
    <col min="8084" max="8090" width="8.875" style="209" customWidth="1"/>
    <col min="8091" max="8091" width="7.5" style="209" customWidth="1"/>
    <col min="8092" max="8092" width="7.25" style="209" customWidth="1"/>
    <col min="8093" max="8093" width="8.375" style="209" customWidth="1"/>
    <col min="8094" max="8094" width="7.25" style="209" customWidth="1"/>
    <col min="8095" max="8095" width="7.625" style="209" customWidth="1"/>
    <col min="8096" max="8193" width="9" style="209"/>
    <col min="8194" max="8194" width="4.5" style="209" bestFit="1" customWidth="1"/>
    <col min="8195" max="8195" width="69.125" style="209" customWidth="1"/>
    <col min="8196" max="8196" width="9.25" style="209" customWidth="1"/>
    <col min="8197" max="8197" width="8.625" style="209" customWidth="1"/>
    <col min="8198" max="8198" width="9.375" style="209" customWidth="1"/>
    <col min="8199" max="8199" width="10.25" style="209" customWidth="1"/>
    <col min="8200" max="8200" width="10.625" style="209" customWidth="1"/>
    <col min="8201" max="8201" width="10" style="209" customWidth="1"/>
    <col min="8202" max="8203" width="8.5" style="209" customWidth="1"/>
    <col min="8204" max="8204" width="7.5" style="209" customWidth="1"/>
    <col min="8205" max="8205" width="7.125" style="209" customWidth="1"/>
    <col min="8206" max="8206" width="8.125" style="209" customWidth="1"/>
    <col min="8207" max="8208" width="7.5" style="209" customWidth="1"/>
    <col min="8209" max="8209" width="8.625" style="209" customWidth="1"/>
    <col min="8210" max="8212" width="7.5" style="209" customWidth="1"/>
    <col min="8213" max="8213" width="8.375" style="209" customWidth="1"/>
    <col min="8214" max="8214" width="7.5" style="209" customWidth="1"/>
    <col min="8215" max="8215" width="8.25" style="209" customWidth="1"/>
    <col min="8216" max="8218" width="7.5" style="209" customWidth="1"/>
    <col min="8219" max="8219" width="8.25" style="209" customWidth="1"/>
    <col min="8220" max="8220" width="8.125" style="209" customWidth="1"/>
    <col min="8221" max="8221" width="8.25" style="209" customWidth="1"/>
    <col min="8222" max="8222" width="8.75" style="209" customWidth="1"/>
    <col min="8223" max="8223" width="7.125" style="209" customWidth="1"/>
    <col min="8224" max="8224" width="9.5" style="209" customWidth="1"/>
    <col min="8225" max="8225" width="8.625" style="209" customWidth="1"/>
    <col min="8226" max="8226" width="8.875" style="209" customWidth="1"/>
    <col min="8227" max="8227" width="8.125" style="209" customWidth="1"/>
    <col min="8228" max="8230" width="7.625" style="209" customWidth="1"/>
    <col min="8231" max="8231" width="6.5" style="209" customWidth="1"/>
    <col min="8232" max="8240" width="8.5" style="209" customWidth="1"/>
    <col min="8241" max="8241" width="7.5" style="209" customWidth="1"/>
    <col min="8242" max="8242" width="7.25" style="209" customWidth="1"/>
    <col min="8243" max="8243" width="8.5" style="209" customWidth="1"/>
    <col min="8244" max="8244" width="9.375" style="209" customWidth="1"/>
    <col min="8245" max="8247" width="8.5" style="209" customWidth="1"/>
    <col min="8248" max="8248" width="9.25" style="209" customWidth="1"/>
    <col min="8249" max="8251" width="8.5" style="209" customWidth="1"/>
    <col min="8252" max="8252" width="7.875" style="209" customWidth="1"/>
    <col min="8253" max="8253" width="8.5" style="209" customWidth="1"/>
    <col min="8254" max="8254" width="7.375" style="209" customWidth="1"/>
    <col min="8255" max="8255" width="7.625" style="209" customWidth="1"/>
    <col min="8256" max="8256" width="9.875" style="209" customWidth="1"/>
    <col min="8257" max="8257" width="8.25" style="209" customWidth="1"/>
    <col min="8258" max="8260" width="8.875" style="209" customWidth="1"/>
    <col min="8261" max="8261" width="8.75" style="209" customWidth="1"/>
    <col min="8262" max="8262" width="8" style="209" customWidth="1"/>
    <col min="8263" max="8263" width="8.25" style="209" customWidth="1"/>
    <col min="8264" max="8264" width="7.375" style="209" customWidth="1"/>
    <col min="8265" max="8265" width="8.875" style="209" customWidth="1"/>
    <col min="8266" max="8266" width="7.375" style="209" customWidth="1"/>
    <col min="8267" max="8267" width="6.625" style="209" customWidth="1"/>
    <col min="8268" max="8268" width="9.5" style="209" customWidth="1"/>
    <col min="8269" max="8269" width="8" style="209" customWidth="1"/>
    <col min="8270" max="8270" width="8.375" style="209" customWidth="1"/>
    <col min="8271" max="8271" width="8.5" style="209" customWidth="1"/>
    <col min="8272" max="8272" width="8" style="209" customWidth="1"/>
    <col min="8273" max="8273" width="7.875" style="209" customWidth="1"/>
    <col min="8274" max="8274" width="8" style="209" customWidth="1"/>
    <col min="8275" max="8275" width="8.5" style="209" customWidth="1"/>
    <col min="8276" max="8278" width="8.125" style="209" customWidth="1"/>
    <col min="8279" max="8279" width="8" style="209" customWidth="1"/>
    <col min="8280" max="8283" width="8.75" style="209" customWidth="1"/>
    <col min="8284" max="8284" width="7.625" style="209" customWidth="1"/>
    <col min="8285" max="8286" width="8.75" style="209" customWidth="1"/>
    <col min="8287" max="8287" width="7.75" style="209" customWidth="1"/>
    <col min="8288" max="8290" width="8" style="209" customWidth="1"/>
    <col min="8291" max="8291" width="7.875" style="209" customWidth="1"/>
    <col min="8292" max="8293" width="8.75" style="209" customWidth="1"/>
    <col min="8294" max="8294" width="8.375" style="209" customWidth="1"/>
    <col min="8295" max="8295" width="8" style="209" customWidth="1"/>
    <col min="8296" max="8296" width="7.875" style="209" customWidth="1"/>
    <col min="8297" max="8299" width="8.25" style="209" customWidth="1"/>
    <col min="8300" max="8302" width="8.125" style="209" customWidth="1"/>
    <col min="8303" max="8303" width="7.875" style="209" customWidth="1"/>
    <col min="8304" max="8304" width="8.875" style="209" customWidth="1"/>
    <col min="8305" max="8305" width="8.375" style="209" customWidth="1"/>
    <col min="8306" max="8306" width="8.25" style="209" customWidth="1"/>
    <col min="8307" max="8307" width="8.875" style="209" customWidth="1"/>
    <col min="8308" max="8308" width="8.125" style="209" customWidth="1"/>
    <col min="8309" max="8309" width="8.25" style="209" customWidth="1"/>
    <col min="8310" max="8310" width="8.875" style="209" customWidth="1"/>
    <col min="8311" max="8311" width="8" style="209" customWidth="1"/>
    <col min="8312" max="8314" width="7.875" style="209" customWidth="1"/>
    <col min="8315" max="8315" width="7.75" style="209" customWidth="1"/>
    <col min="8316" max="8319" width="8.875" style="209" customWidth="1"/>
    <col min="8320" max="8320" width="8.75" style="209" customWidth="1"/>
    <col min="8321" max="8321" width="8.625" style="209" customWidth="1"/>
    <col min="8322" max="8323" width="8.25" style="209" customWidth="1"/>
    <col min="8324" max="8324" width="7.625" style="209" customWidth="1"/>
    <col min="8325" max="8325" width="8" style="209" customWidth="1"/>
    <col min="8326" max="8326" width="7.125" style="209" customWidth="1"/>
    <col min="8327" max="8327" width="7.625" style="209" customWidth="1"/>
    <col min="8328" max="8328" width="8.875" style="209" customWidth="1"/>
    <col min="8329" max="8329" width="8.125" style="209" customWidth="1"/>
    <col min="8330" max="8334" width="8.875" style="209" customWidth="1"/>
    <col min="8335" max="8335" width="8" style="209" customWidth="1"/>
    <col min="8336" max="8336" width="7.75" style="209" customWidth="1"/>
    <col min="8337" max="8337" width="7.875" style="209" customWidth="1"/>
    <col min="8338" max="8338" width="7.375" style="209" customWidth="1"/>
    <col min="8339" max="8339" width="7.875" style="209" customWidth="1"/>
    <col min="8340" max="8346" width="8.875" style="209" customWidth="1"/>
    <col min="8347" max="8347" width="7.5" style="209" customWidth="1"/>
    <col min="8348" max="8348" width="7.25" style="209" customWidth="1"/>
    <col min="8349" max="8349" width="8.375" style="209" customWidth="1"/>
    <col min="8350" max="8350" width="7.25" style="209" customWidth="1"/>
    <col min="8351" max="8351" width="7.625" style="209" customWidth="1"/>
    <col min="8352" max="8449" width="9" style="209"/>
    <col min="8450" max="8450" width="4.5" style="209" bestFit="1" customWidth="1"/>
    <col min="8451" max="8451" width="69.125" style="209" customWidth="1"/>
    <col min="8452" max="8452" width="9.25" style="209" customWidth="1"/>
    <col min="8453" max="8453" width="8.625" style="209" customWidth="1"/>
    <col min="8454" max="8454" width="9.375" style="209" customWidth="1"/>
    <col min="8455" max="8455" width="10.25" style="209" customWidth="1"/>
    <col min="8456" max="8456" width="10.625" style="209" customWidth="1"/>
    <col min="8457" max="8457" width="10" style="209" customWidth="1"/>
    <col min="8458" max="8459" width="8.5" style="209" customWidth="1"/>
    <col min="8460" max="8460" width="7.5" style="209" customWidth="1"/>
    <col min="8461" max="8461" width="7.125" style="209" customWidth="1"/>
    <col min="8462" max="8462" width="8.125" style="209" customWidth="1"/>
    <col min="8463" max="8464" width="7.5" style="209" customWidth="1"/>
    <col min="8465" max="8465" width="8.625" style="209" customWidth="1"/>
    <col min="8466" max="8468" width="7.5" style="209" customWidth="1"/>
    <col min="8469" max="8469" width="8.375" style="209" customWidth="1"/>
    <col min="8470" max="8470" width="7.5" style="209" customWidth="1"/>
    <col min="8471" max="8471" width="8.25" style="209" customWidth="1"/>
    <col min="8472" max="8474" width="7.5" style="209" customWidth="1"/>
    <col min="8475" max="8475" width="8.25" style="209" customWidth="1"/>
    <col min="8476" max="8476" width="8.125" style="209" customWidth="1"/>
    <col min="8477" max="8477" width="8.25" style="209" customWidth="1"/>
    <col min="8478" max="8478" width="8.75" style="209" customWidth="1"/>
    <col min="8479" max="8479" width="7.125" style="209" customWidth="1"/>
    <col min="8480" max="8480" width="9.5" style="209" customWidth="1"/>
    <col min="8481" max="8481" width="8.625" style="209" customWidth="1"/>
    <col min="8482" max="8482" width="8.875" style="209" customWidth="1"/>
    <col min="8483" max="8483" width="8.125" style="209" customWidth="1"/>
    <col min="8484" max="8486" width="7.625" style="209" customWidth="1"/>
    <col min="8487" max="8487" width="6.5" style="209" customWidth="1"/>
    <col min="8488" max="8496" width="8.5" style="209" customWidth="1"/>
    <col min="8497" max="8497" width="7.5" style="209" customWidth="1"/>
    <col min="8498" max="8498" width="7.25" style="209" customWidth="1"/>
    <col min="8499" max="8499" width="8.5" style="209" customWidth="1"/>
    <col min="8500" max="8500" width="9.375" style="209" customWidth="1"/>
    <col min="8501" max="8503" width="8.5" style="209" customWidth="1"/>
    <col min="8504" max="8504" width="9.25" style="209" customWidth="1"/>
    <col min="8505" max="8507" width="8.5" style="209" customWidth="1"/>
    <col min="8508" max="8508" width="7.875" style="209" customWidth="1"/>
    <col min="8509" max="8509" width="8.5" style="209" customWidth="1"/>
    <col min="8510" max="8510" width="7.375" style="209" customWidth="1"/>
    <col min="8511" max="8511" width="7.625" style="209" customWidth="1"/>
    <col min="8512" max="8512" width="9.875" style="209" customWidth="1"/>
    <col min="8513" max="8513" width="8.25" style="209" customWidth="1"/>
    <col min="8514" max="8516" width="8.875" style="209" customWidth="1"/>
    <col min="8517" max="8517" width="8.75" style="209" customWidth="1"/>
    <col min="8518" max="8518" width="8" style="209" customWidth="1"/>
    <col min="8519" max="8519" width="8.25" style="209" customWidth="1"/>
    <col min="8520" max="8520" width="7.375" style="209" customWidth="1"/>
    <col min="8521" max="8521" width="8.875" style="209" customWidth="1"/>
    <col min="8522" max="8522" width="7.375" style="209" customWidth="1"/>
    <col min="8523" max="8523" width="6.625" style="209" customWidth="1"/>
    <col min="8524" max="8524" width="9.5" style="209" customWidth="1"/>
    <col min="8525" max="8525" width="8" style="209" customWidth="1"/>
    <col min="8526" max="8526" width="8.375" style="209" customWidth="1"/>
    <col min="8527" max="8527" width="8.5" style="209" customWidth="1"/>
    <col min="8528" max="8528" width="8" style="209" customWidth="1"/>
    <col min="8529" max="8529" width="7.875" style="209" customWidth="1"/>
    <col min="8530" max="8530" width="8" style="209" customWidth="1"/>
    <col min="8531" max="8531" width="8.5" style="209" customWidth="1"/>
    <col min="8532" max="8534" width="8.125" style="209" customWidth="1"/>
    <col min="8535" max="8535" width="8" style="209" customWidth="1"/>
    <col min="8536" max="8539" width="8.75" style="209" customWidth="1"/>
    <col min="8540" max="8540" width="7.625" style="209" customWidth="1"/>
    <col min="8541" max="8542" width="8.75" style="209" customWidth="1"/>
    <col min="8543" max="8543" width="7.75" style="209" customWidth="1"/>
    <col min="8544" max="8546" width="8" style="209" customWidth="1"/>
    <col min="8547" max="8547" width="7.875" style="209" customWidth="1"/>
    <col min="8548" max="8549" width="8.75" style="209" customWidth="1"/>
    <col min="8550" max="8550" width="8.375" style="209" customWidth="1"/>
    <col min="8551" max="8551" width="8" style="209" customWidth="1"/>
    <col min="8552" max="8552" width="7.875" style="209" customWidth="1"/>
    <col min="8553" max="8555" width="8.25" style="209" customWidth="1"/>
    <col min="8556" max="8558" width="8.125" style="209" customWidth="1"/>
    <col min="8559" max="8559" width="7.875" style="209" customWidth="1"/>
    <col min="8560" max="8560" width="8.875" style="209" customWidth="1"/>
    <col min="8561" max="8561" width="8.375" style="209" customWidth="1"/>
    <col min="8562" max="8562" width="8.25" style="209" customWidth="1"/>
    <col min="8563" max="8563" width="8.875" style="209" customWidth="1"/>
    <col min="8564" max="8564" width="8.125" style="209" customWidth="1"/>
    <col min="8565" max="8565" width="8.25" style="209" customWidth="1"/>
    <col min="8566" max="8566" width="8.875" style="209" customWidth="1"/>
    <col min="8567" max="8567" width="8" style="209" customWidth="1"/>
    <col min="8568" max="8570" width="7.875" style="209" customWidth="1"/>
    <col min="8571" max="8571" width="7.75" style="209" customWidth="1"/>
    <col min="8572" max="8575" width="8.875" style="209" customWidth="1"/>
    <col min="8576" max="8576" width="8.75" style="209" customWidth="1"/>
    <col min="8577" max="8577" width="8.625" style="209" customWidth="1"/>
    <col min="8578" max="8579" width="8.25" style="209" customWidth="1"/>
    <col min="8580" max="8580" width="7.625" style="209" customWidth="1"/>
    <col min="8581" max="8581" width="8" style="209" customWidth="1"/>
    <col min="8582" max="8582" width="7.125" style="209" customWidth="1"/>
    <col min="8583" max="8583" width="7.625" style="209" customWidth="1"/>
    <col min="8584" max="8584" width="8.875" style="209" customWidth="1"/>
    <col min="8585" max="8585" width="8.125" style="209" customWidth="1"/>
    <col min="8586" max="8590" width="8.875" style="209" customWidth="1"/>
    <col min="8591" max="8591" width="8" style="209" customWidth="1"/>
    <col min="8592" max="8592" width="7.75" style="209" customWidth="1"/>
    <col min="8593" max="8593" width="7.875" style="209" customWidth="1"/>
    <col min="8594" max="8594" width="7.375" style="209" customWidth="1"/>
    <col min="8595" max="8595" width="7.875" style="209" customWidth="1"/>
    <col min="8596" max="8602" width="8.875" style="209" customWidth="1"/>
    <col min="8603" max="8603" width="7.5" style="209" customWidth="1"/>
    <col min="8604" max="8604" width="7.25" style="209" customWidth="1"/>
    <col min="8605" max="8605" width="8.375" style="209" customWidth="1"/>
    <col min="8606" max="8606" width="7.25" style="209" customWidth="1"/>
    <col min="8607" max="8607" width="7.625" style="209" customWidth="1"/>
    <col min="8608" max="8705" width="9" style="209"/>
    <col min="8706" max="8706" width="4.5" style="209" bestFit="1" customWidth="1"/>
    <col min="8707" max="8707" width="69.125" style="209" customWidth="1"/>
    <col min="8708" max="8708" width="9.25" style="209" customWidth="1"/>
    <col min="8709" max="8709" width="8.625" style="209" customWidth="1"/>
    <col min="8710" max="8710" width="9.375" style="209" customWidth="1"/>
    <col min="8711" max="8711" width="10.25" style="209" customWidth="1"/>
    <col min="8712" max="8712" width="10.625" style="209" customWidth="1"/>
    <col min="8713" max="8713" width="10" style="209" customWidth="1"/>
    <col min="8714" max="8715" width="8.5" style="209" customWidth="1"/>
    <col min="8716" max="8716" width="7.5" style="209" customWidth="1"/>
    <col min="8717" max="8717" width="7.125" style="209" customWidth="1"/>
    <col min="8718" max="8718" width="8.125" style="209" customWidth="1"/>
    <col min="8719" max="8720" width="7.5" style="209" customWidth="1"/>
    <col min="8721" max="8721" width="8.625" style="209" customWidth="1"/>
    <col min="8722" max="8724" width="7.5" style="209" customWidth="1"/>
    <col min="8725" max="8725" width="8.375" style="209" customWidth="1"/>
    <col min="8726" max="8726" width="7.5" style="209" customWidth="1"/>
    <col min="8727" max="8727" width="8.25" style="209" customWidth="1"/>
    <col min="8728" max="8730" width="7.5" style="209" customWidth="1"/>
    <col min="8731" max="8731" width="8.25" style="209" customWidth="1"/>
    <col min="8732" max="8732" width="8.125" style="209" customWidth="1"/>
    <col min="8733" max="8733" width="8.25" style="209" customWidth="1"/>
    <col min="8734" max="8734" width="8.75" style="209" customWidth="1"/>
    <col min="8735" max="8735" width="7.125" style="209" customWidth="1"/>
    <col min="8736" max="8736" width="9.5" style="209" customWidth="1"/>
    <col min="8737" max="8737" width="8.625" style="209" customWidth="1"/>
    <col min="8738" max="8738" width="8.875" style="209" customWidth="1"/>
    <col min="8739" max="8739" width="8.125" style="209" customWidth="1"/>
    <col min="8740" max="8742" width="7.625" style="209" customWidth="1"/>
    <col min="8743" max="8743" width="6.5" style="209" customWidth="1"/>
    <col min="8744" max="8752" width="8.5" style="209" customWidth="1"/>
    <col min="8753" max="8753" width="7.5" style="209" customWidth="1"/>
    <col min="8754" max="8754" width="7.25" style="209" customWidth="1"/>
    <col min="8755" max="8755" width="8.5" style="209" customWidth="1"/>
    <col min="8756" max="8756" width="9.375" style="209" customWidth="1"/>
    <col min="8757" max="8759" width="8.5" style="209" customWidth="1"/>
    <col min="8760" max="8760" width="9.25" style="209" customWidth="1"/>
    <col min="8761" max="8763" width="8.5" style="209" customWidth="1"/>
    <col min="8764" max="8764" width="7.875" style="209" customWidth="1"/>
    <col min="8765" max="8765" width="8.5" style="209" customWidth="1"/>
    <col min="8766" max="8766" width="7.375" style="209" customWidth="1"/>
    <col min="8767" max="8767" width="7.625" style="209" customWidth="1"/>
    <col min="8768" max="8768" width="9.875" style="209" customWidth="1"/>
    <col min="8769" max="8769" width="8.25" style="209" customWidth="1"/>
    <col min="8770" max="8772" width="8.875" style="209" customWidth="1"/>
    <col min="8773" max="8773" width="8.75" style="209" customWidth="1"/>
    <col min="8774" max="8774" width="8" style="209" customWidth="1"/>
    <col min="8775" max="8775" width="8.25" style="209" customWidth="1"/>
    <col min="8776" max="8776" width="7.375" style="209" customWidth="1"/>
    <col min="8777" max="8777" width="8.875" style="209" customWidth="1"/>
    <col min="8778" max="8778" width="7.375" style="209" customWidth="1"/>
    <col min="8779" max="8779" width="6.625" style="209" customWidth="1"/>
    <col min="8780" max="8780" width="9.5" style="209" customWidth="1"/>
    <col min="8781" max="8781" width="8" style="209" customWidth="1"/>
    <col min="8782" max="8782" width="8.375" style="209" customWidth="1"/>
    <col min="8783" max="8783" width="8.5" style="209" customWidth="1"/>
    <col min="8784" max="8784" width="8" style="209" customWidth="1"/>
    <col min="8785" max="8785" width="7.875" style="209" customWidth="1"/>
    <col min="8786" max="8786" width="8" style="209" customWidth="1"/>
    <col min="8787" max="8787" width="8.5" style="209" customWidth="1"/>
    <col min="8788" max="8790" width="8.125" style="209" customWidth="1"/>
    <col min="8791" max="8791" width="8" style="209" customWidth="1"/>
    <col min="8792" max="8795" width="8.75" style="209" customWidth="1"/>
    <col min="8796" max="8796" width="7.625" style="209" customWidth="1"/>
    <col min="8797" max="8798" width="8.75" style="209" customWidth="1"/>
    <col min="8799" max="8799" width="7.75" style="209" customWidth="1"/>
    <col min="8800" max="8802" width="8" style="209" customWidth="1"/>
    <col min="8803" max="8803" width="7.875" style="209" customWidth="1"/>
    <col min="8804" max="8805" width="8.75" style="209" customWidth="1"/>
    <col min="8806" max="8806" width="8.375" style="209" customWidth="1"/>
    <col min="8807" max="8807" width="8" style="209" customWidth="1"/>
    <col min="8808" max="8808" width="7.875" style="209" customWidth="1"/>
    <col min="8809" max="8811" width="8.25" style="209" customWidth="1"/>
    <col min="8812" max="8814" width="8.125" style="209" customWidth="1"/>
    <col min="8815" max="8815" width="7.875" style="209" customWidth="1"/>
    <col min="8816" max="8816" width="8.875" style="209" customWidth="1"/>
    <col min="8817" max="8817" width="8.375" style="209" customWidth="1"/>
    <col min="8818" max="8818" width="8.25" style="209" customWidth="1"/>
    <col min="8819" max="8819" width="8.875" style="209" customWidth="1"/>
    <col min="8820" max="8820" width="8.125" style="209" customWidth="1"/>
    <col min="8821" max="8821" width="8.25" style="209" customWidth="1"/>
    <col min="8822" max="8822" width="8.875" style="209" customWidth="1"/>
    <col min="8823" max="8823" width="8" style="209" customWidth="1"/>
    <col min="8824" max="8826" width="7.875" style="209" customWidth="1"/>
    <col min="8827" max="8827" width="7.75" style="209" customWidth="1"/>
    <col min="8828" max="8831" width="8.875" style="209" customWidth="1"/>
    <col min="8832" max="8832" width="8.75" style="209" customWidth="1"/>
    <col min="8833" max="8833" width="8.625" style="209" customWidth="1"/>
    <col min="8834" max="8835" width="8.25" style="209" customWidth="1"/>
    <col min="8836" max="8836" width="7.625" style="209" customWidth="1"/>
    <col min="8837" max="8837" width="8" style="209" customWidth="1"/>
    <col min="8838" max="8838" width="7.125" style="209" customWidth="1"/>
    <col min="8839" max="8839" width="7.625" style="209" customWidth="1"/>
    <col min="8840" max="8840" width="8.875" style="209" customWidth="1"/>
    <col min="8841" max="8841" width="8.125" style="209" customWidth="1"/>
    <col min="8842" max="8846" width="8.875" style="209" customWidth="1"/>
    <col min="8847" max="8847" width="8" style="209" customWidth="1"/>
    <col min="8848" max="8848" width="7.75" style="209" customWidth="1"/>
    <col min="8849" max="8849" width="7.875" style="209" customWidth="1"/>
    <col min="8850" max="8850" width="7.375" style="209" customWidth="1"/>
    <col min="8851" max="8851" width="7.875" style="209" customWidth="1"/>
    <col min="8852" max="8858" width="8.875" style="209" customWidth="1"/>
    <col min="8859" max="8859" width="7.5" style="209" customWidth="1"/>
    <col min="8860" max="8860" width="7.25" style="209" customWidth="1"/>
    <col min="8861" max="8861" width="8.375" style="209" customWidth="1"/>
    <col min="8862" max="8862" width="7.25" style="209" customWidth="1"/>
    <col min="8863" max="8863" width="7.625" style="209" customWidth="1"/>
    <col min="8864" max="8961" width="9" style="209"/>
    <col min="8962" max="8962" width="4.5" style="209" bestFit="1" customWidth="1"/>
    <col min="8963" max="8963" width="69.125" style="209" customWidth="1"/>
    <col min="8964" max="8964" width="9.25" style="209" customWidth="1"/>
    <col min="8965" max="8965" width="8.625" style="209" customWidth="1"/>
    <col min="8966" max="8966" width="9.375" style="209" customWidth="1"/>
    <col min="8967" max="8967" width="10.25" style="209" customWidth="1"/>
    <col min="8968" max="8968" width="10.625" style="209" customWidth="1"/>
    <col min="8969" max="8969" width="10" style="209" customWidth="1"/>
    <col min="8970" max="8971" width="8.5" style="209" customWidth="1"/>
    <col min="8972" max="8972" width="7.5" style="209" customWidth="1"/>
    <col min="8973" max="8973" width="7.125" style="209" customWidth="1"/>
    <col min="8974" max="8974" width="8.125" style="209" customWidth="1"/>
    <col min="8975" max="8976" width="7.5" style="209" customWidth="1"/>
    <col min="8977" max="8977" width="8.625" style="209" customWidth="1"/>
    <col min="8978" max="8980" width="7.5" style="209" customWidth="1"/>
    <col min="8981" max="8981" width="8.375" style="209" customWidth="1"/>
    <col min="8982" max="8982" width="7.5" style="209" customWidth="1"/>
    <col min="8983" max="8983" width="8.25" style="209" customWidth="1"/>
    <col min="8984" max="8986" width="7.5" style="209" customWidth="1"/>
    <col min="8987" max="8987" width="8.25" style="209" customWidth="1"/>
    <col min="8988" max="8988" width="8.125" style="209" customWidth="1"/>
    <col min="8989" max="8989" width="8.25" style="209" customWidth="1"/>
    <col min="8990" max="8990" width="8.75" style="209" customWidth="1"/>
    <col min="8991" max="8991" width="7.125" style="209" customWidth="1"/>
    <col min="8992" max="8992" width="9.5" style="209" customWidth="1"/>
    <col min="8993" max="8993" width="8.625" style="209" customWidth="1"/>
    <col min="8994" max="8994" width="8.875" style="209" customWidth="1"/>
    <col min="8995" max="8995" width="8.125" style="209" customWidth="1"/>
    <col min="8996" max="8998" width="7.625" style="209" customWidth="1"/>
    <col min="8999" max="8999" width="6.5" style="209" customWidth="1"/>
    <col min="9000" max="9008" width="8.5" style="209" customWidth="1"/>
    <col min="9009" max="9009" width="7.5" style="209" customWidth="1"/>
    <col min="9010" max="9010" width="7.25" style="209" customWidth="1"/>
    <col min="9011" max="9011" width="8.5" style="209" customWidth="1"/>
    <col min="9012" max="9012" width="9.375" style="209" customWidth="1"/>
    <col min="9013" max="9015" width="8.5" style="209" customWidth="1"/>
    <col min="9016" max="9016" width="9.25" style="209" customWidth="1"/>
    <col min="9017" max="9019" width="8.5" style="209" customWidth="1"/>
    <col min="9020" max="9020" width="7.875" style="209" customWidth="1"/>
    <col min="9021" max="9021" width="8.5" style="209" customWidth="1"/>
    <col min="9022" max="9022" width="7.375" style="209" customWidth="1"/>
    <col min="9023" max="9023" width="7.625" style="209" customWidth="1"/>
    <col min="9024" max="9024" width="9.875" style="209" customWidth="1"/>
    <col min="9025" max="9025" width="8.25" style="209" customWidth="1"/>
    <col min="9026" max="9028" width="8.875" style="209" customWidth="1"/>
    <col min="9029" max="9029" width="8.75" style="209" customWidth="1"/>
    <col min="9030" max="9030" width="8" style="209" customWidth="1"/>
    <col min="9031" max="9031" width="8.25" style="209" customWidth="1"/>
    <col min="9032" max="9032" width="7.375" style="209" customWidth="1"/>
    <col min="9033" max="9033" width="8.875" style="209" customWidth="1"/>
    <col min="9034" max="9034" width="7.375" style="209" customWidth="1"/>
    <col min="9035" max="9035" width="6.625" style="209" customWidth="1"/>
    <col min="9036" max="9036" width="9.5" style="209" customWidth="1"/>
    <col min="9037" max="9037" width="8" style="209" customWidth="1"/>
    <col min="9038" max="9038" width="8.375" style="209" customWidth="1"/>
    <col min="9039" max="9039" width="8.5" style="209" customWidth="1"/>
    <col min="9040" max="9040" width="8" style="209" customWidth="1"/>
    <col min="9041" max="9041" width="7.875" style="209" customWidth="1"/>
    <col min="9042" max="9042" width="8" style="209" customWidth="1"/>
    <col min="9043" max="9043" width="8.5" style="209" customWidth="1"/>
    <col min="9044" max="9046" width="8.125" style="209" customWidth="1"/>
    <col min="9047" max="9047" width="8" style="209" customWidth="1"/>
    <col min="9048" max="9051" width="8.75" style="209" customWidth="1"/>
    <col min="9052" max="9052" width="7.625" style="209" customWidth="1"/>
    <col min="9053" max="9054" width="8.75" style="209" customWidth="1"/>
    <col min="9055" max="9055" width="7.75" style="209" customWidth="1"/>
    <col min="9056" max="9058" width="8" style="209" customWidth="1"/>
    <col min="9059" max="9059" width="7.875" style="209" customWidth="1"/>
    <col min="9060" max="9061" width="8.75" style="209" customWidth="1"/>
    <col min="9062" max="9062" width="8.375" style="209" customWidth="1"/>
    <col min="9063" max="9063" width="8" style="209" customWidth="1"/>
    <col min="9064" max="9064" width="7.875" style="209" customWidth="1"/>
    <col min="9065" max="9067" width="8.25" style="209" customWidth="1"/>
    <col min="9068" max="9070" width="8.125" style="209" customWidth="1"/>
    <col min="9071" max="9071" width="7.875" style="209" customWidth="1"/>
    <col min="9072" max="9072" width="8.875" style="209" customWidth="1"/>
    <col min="9073" max="9073" width="8.375" style="209" customWidth="1"/>
    <col min="9074" max="9074" width="8.25" style="209" customWidth="1"/>
    <col min="9075" max="9075" width="8.875" style="209" customWidth="1"/>
    <col min="9076" max="9076" width="8.125" style="209" customWidth="1"/>
    <col min="9077" max="9077" width="8.25" style="209" customWidth="1"/>
    <col min="9078" max="9078" width="8.875" style="209" customWidth="1"/>
    <col min="9079" max="9079" width="8" style="209" customWidth="1"/>
    <col min="9080" max="9082" width="7.875" style="209" customWidth="1"/>
    <col min="9083" max="9083" width="7.75" style="209" customWidth="1"/>
    <col min="9084" max="9087" width="8.875" style="209" customWidth="1"/>
    <col min="9088" max="9088" width="8.75" style="209" customWidth="1"/>
    <col min="9089" max="9089" width="8.625" style="209" customWidth="1"/>
    <col min="9090" max="9091" width="8.25" style="209" customWidth="1"/>
    <col min="9092" max="9092" width="7.625" style="209" customWidth="1"/>
    <col min="9093" max="9093" width="8" style="209" customWidth="1"/>
    <col min="9094" max="9094" width="7.125" style="209" customWidth="1"/>
    <col min="9095" max="9095" width="7.625" style="209" customWidth="1"/>
    <col min="9096" max="9096" width="8.875" style="209" customWidth="1"/>
    <col min="9097" max="9097" width="8.125" style="209" customWidth="1"/>
    <col min="9098" max="9102" width="8.875" style="209" customWidth="1"/>
    <col min="9103" max="9103" width="8" style="209" customWidth="1"/>
    <col min="9104" max="9104" width="7.75" style="209" customWidth="1"/>
    <col min="9105" max="9105" width="7.875" style="209" customWidth="1"/>
    <col min="9106" max="9106" width="7.375" style="209" customWidth="1"/>
    <col min="9107" max="9107" width="7.875" style="209" customWidth="1"/>
    <col min="9108" max="9114" width="8.875" style="209" customWidth="1"/>
    <col min="9115" max="9115" width="7.5" style="209" customWidth="1"/>
    <col min="9116" max="9116" width="7.25" style="209" customWidth="1"/>
    <col min="9117" max="9117" width="8.375" style="209" customWidth="1"/>
    <col min="9118" max="9118" width="7.25" style="209" customWidth="1"/>
    <col min="9119" max="9119" width="7.625" style="209" customWidth="1"/>
    <col min="9120" max="9217" width="9" style="209"/>
    <col min="9218" max="9218" width="4.5" style="209" bestFit="1" customWidth="1"/>
    <col min="9219" max="9219" width="69.125" style="209" customWidth="1"/>
    <col min="9220" max="9220" width="9.25" style="209" customWidth="1"/>
    <col min="9221" max="9221" width="8.625" style="209" customWidth="1"/>
    <col min="9222" max="9222" width="9.375" style="209" customWidth="1"/>
    <col min="9223" max="9223" width="10.25" style="209" customWidth="1"/>
    <col min="9224" max="9224" width="10.625" style="209" customWidth="1"/>
    <col min="9225" max="9225" width="10" style="209" customWidth="1"/>
    <col min="9226" max="9227" width="8.5" style="209" customWidth="1"/>
    <col min="9228" max="9228" width="7.5" style="209" customWidth="1"/>
    <col min="9229" max="9229" width="7.125" style="209" customWidth="1"/>
    <col min="9230" max="9230" width="8.125" style="209" customWidth="1"/>
    <col min="9231" max="9232" width="7.5" style="209" customWidth="1"/>
    <col min="9233" max="9233" width="8.625" style="209" customWidth="1"/>
    <col min="9234" max="9236" width="7.5" style="209" customWidth="1"/>
    <col min="9237" max="9237" width="8.375" style="209" customWidth="1"/>
    <col min="9238" max="9238" width="7.5" style="209" customWidth="1"/>
    <col min="9239" max="9239" width="8.25" style="209" customWidth="1"/>
    <col min="9240" max="9242" width="7.5" style="209" customWidth="1"/>
    <col min="9243" max="9243" width="8.25" style="209" customWidth="1"/>
    <col min="9244" max="9244" width="8.125" style="209" customWidth="1"/>
    <col min="9245" max="9245" width="8.25" style="209" customWidth="1"/>
    <col min="9246" max="9246" width="8.75" style="209" customWidth="1"/>
    <col min="9247" max="9247" width="7.125" style="209" customWidth="1"/>
    <col min="9248" max="9248" width="9.5" style="209" customWidth="1"/>
    <col min="9249" max="9249" width="8.625" style="209" customWidth="1"/>
    <col min="9250" max="9250" width="8.875" style="209" customWidth="1"/>
    <col min="9251" max="9251" width="8.125" style="209" customWidth="1"/>
    <col min="9252" max="9254" width="7.625" style="209" customWidth="1"/>
    <col min="9255" max="9255" width="6.5" style="209" customWidth="1"/>
    <col min="9256" max="9264" width="8.5" style="209" customWidth="1"/>
    <col min="9265" max="9265" width="7.5" style="209" customWidth="1"/>
    <col min="9266" max="9266" width="7.25" style="209" customWidth="1"/>
    <col min="9267" max="9267" width="8.5" style="209" customWidth="1"/>
    <col min="9268" max="9268" width="9.375" style="209" customWidth="1"/>
    <col min="9269" max="9271" width="8.5" style="209" customWidth="1"/>
    <col min="9272" max="9272" width="9.25" style="209" customWidth="1"/>
    <col min="9273" max="9275" width="8.5" style="209" customWidth="1"/>
    <col min="9276" max="9276" width="7.875" style="209" customWidth="1"/>
    <col min="9277" max="9277" width="8.5" style="209" customWidth="1"/>
    <col min="9278" max="9278" width="7.375" style="209" customWidth="1"/>
    <col min="9279" max="9279" width="7.625" style="209" customWidth="1"/>
    <col min="9280" max="9280" width="9.875" style="209" customWidth="1"/>
    <col min="9281" max="9281" width="8.25" style="209" customWidth="1"/>
    <col min="9282" max="9284" width="8.875" style="209" customWidth="1"/>
    <col min="9285" max="9285" width="8.75" style="209" customWidth="1"/>
    <col min="9286" max="9286" width="8" style="209" customWidth="1"/>
    <col min="9287" max="9287" width="8.25" style="209" customWidth="1"/>
    <col min="9288" max="9288" width="7.375" style="209" customWidth="1"/>
    <col min="9289" max="9289" width="8.875" style="209" customWidth="1"/>
    <col min="9290" max="9290" width="7.375" style="209" customWidth="1"/>
    <col min="9291" max="9291" width="6.625" style="209" customWidth="1"/>
    <col min="9292" max="9292" width="9.5" style="209" customWidth="1"/>
    <col min="9293" max="9293" width="8" style="209" customWidth="1"/>
    <col min="9294" max="9294" width="8.375" style="209" customWidth="1"/>
    <col min="9295" max="9295" width="8.5" style="209" customWidth="1"/>
    <col min="9296" max="9296" width="8" style="209" customWidth="1"/>
    <col min="9297" max="9297" width="7.875" style="209" customWidth="1"/>
    <col min="9298" max="9298" width="8" style="209" customWidth="1"/>
    <col min="9299" max="9299" width="8.5" style="209" customWidth="1"/>
    <col min="9300" max="9302" width="8.125" style="209" customWidth="1"/>
    <col min="9303" max="9303" width="8" style="209" customWidth="1"/>
    <col min="9304" max="9307" width="8.75" style="209" customWidth="1"/>
    <col min="9308" max="9308" width="7.625" style="209" customWidth="1"/>
    <col min="9309" max="9310" width="8.75" style="209" customWidth="1"/>
    <col min="9311" max="9311" width="7.75" style="209" customWidth="1"/>
    <col min="9312" max="9314" width="8" style="209" customWidth="1"/>
    <col min="9315" max="9315" width="7.875" style="209" customWidth="1"/>
    <col min="9316" max="9317" width="8.75" style="209" customWidth="1"/>
    <col min="9318" max="9318" width="8.375" style="209" customWidth="1"/>
    <col min="9319" max="9319" width="8" style="209" customWidth="1"/>
    <col min="9320" max="9320" width="7.875" style="209" customWidth="1"/>
    <col min="9321" max="9323" width="8.25" style="209" customWidth="1"/>
    <col min="9324" max="9326" width="8.125" style="209" customWidth="1"/>
    <col min="9327" max="9327" width="7.875" style="209" customWidth="1"/>
    <col min="9328" max="9328" width="8.875" style="209" customWidth="1"/>
    <col min="9329" max="9329" width="8.375" style="209" customWidth="1"/>
    <col min="9330" max="9330" width="8.25" style="209" customWidth="1"/>
    <col min="9331" max="9331" width="8.875" style="209" customWidth="1"/>
    <col min="9332" max="9332" width="8.125" style="209" customWidth="1"/>
    <col min="9333" max="9333" width="8.25" style="209" customWidth="1"/>
    <col min="9334" max="9334" width="8.875" style="209" customWidth="1"/>
    <col min="9335" max="9335" width="8" style="209" customWidth="1"/>
    <col min="9336" max="9338" width="7.875" style="209" customWidth="1"/>
    <col min="9339" max="9339" width="7.75" style="209" customWidth="1"/>
    <col min="9340" max="9343" width="8.875" style="209" customWidth="1"/>
    <col min="9344" max="9344" width="8.75" style="209" customWidth="1"/>
    <col min="9345" max="9345" width="8.625" style="209" customWidth="1"/>
    <col min="9346" max="9347" width="8.25" style="209" customWidth="1"/>
    <col min="9348" max="9348" width="7.625" style="209" customWidth="1"/>
    <col min="9349" max="9349" width="8" style="209" customWidth="1"/>
    <col min="9350" max="9350" width="7.125" style="209" customWidth="1"/>
    <col min="9351" max="9351" width="7.625" style="209" customWidth="1"/>
    <col min="9352" max="9352" width="8.875" style="209" customWidth="1"/>
    <col min="9353" max="9353" width="8.125" style="209" customWidth="1"/>
    <col min="9354" max="9358" width="8.875" style="209" customWidth="1"/>
    <col min="9359" max="9359" width="8" style="209" customWidth="1"/>
    <col min="9360" max="9360" width="7.75" style="209" customWidth="1"/>
    <col min="9361" max="9361" width="7.875" style="209" customWidth="1"/>
    <col min="9362" max="9362" width="7.375" style="209" customWidth="1"/>
    <col min="9363" max="9363" width="7.875" style="209" customWidth="1"/>
    <col min="9364" max="9370" width="8.875" style="209" customWidth="1"/>
    <col min="9371" max="9371" width="7.5" style="209" customWidth="1"/>
    <col min="9372" max="9372" width="7.25" style="209" customWidth="1"/>
    <col min="9373" max="9373" width="8.375" style="209" customWidth="1"/>
    <col min="9374" max="9374" width="7.25" style="209" customWidth="1"/>
    <col min="9375" max="9375" width="7.625" style="209" customWidth="1"/>
    <col min="9376" max="9473" width="9" style="209"/>
    <col min="9474" max="9474" width="4.5" style="209" bestFit="1" customWidth="1"/>
    <col min="9475" max="9475" width="69.125" style="209" customWidth="1"/>
    <col min="9476" max="9476" width="9.25" style="209" customWidth="1"/>
    <col min="9477" max="9477" width="8.625" style="209" customWidth="1"/>
    <col min="9478" max="9478" width="9.375" style="209" customWidth="1"/>
    <col min="9479" max="9479" width="10.25" style="209" customWidth="1"/>
    <col min="9480" max="9480" width="10.625" style="209" customWidth="1"/>
    <col min="9481" max="9481" width="10" style="209" customWidth="1"/>
    <col min="9482" max="9483" width="8.5" style="209" customWidth="1"/>
    <col min="9484" max="9484" width="7.5" style="209" customWidth="1"/>
    <col min="9485" max="9485" width="7.125" style="209" customWidth="1"/>
    <col min="9486" max="9486" width="8.125" style="209" customWidth="1"/>
    <col min="9487" max="9488" width="7.5" style="209" customWidth="1"/>
    <col min="9489" max="9489" width="8.625" style="209" customWidth="1"/>
    <col min="9490" max="9492" width="7.5" style="209" customWidth="1"/>
    <col min="9493" max="9493" width="8.375" style="209" customWidth="1"/>
    <col min="9494" max="9494" width="7.5" style="209" customWidth="1"/>
    <col min="9495" max="9495" width="8.25" style="209" customWidth="1"/>
    <col min="9496" max="9498" width="7.5" style="209" customWidth="1"/>
    <col min="9499" max="9499" width="8.25" style="209" customWidth="1"/>
    <col min="9500" max="9500" width="8.125" style="209" customWidth="1"/>
    <col min="9501" max="9501" width="8.25" style="209" customWidth="1"/>
    <col min="9502" max="9502" width="8.75" style="209" customWidth="1"/>
    <col min="9503" max="9503" width="7.125" style="209" customWidth="1"/>
    <col min="9504" max="9504" width="9.5" style="209" customWidth="1"/>
    <col min="9505" max="9505" width="8.625" style="209" customWidth="1"/>
    <col min="9506" max="9506" width="8.875" style="209" customWidth="1"/>
    <col min="9507" max="9507" width="8.125" style="209" customWidth="1"/>
    <col min="9508" max="9510" width="7.625" style="209" customWidth="1"/>
    <col min="9511" max="9511" width="6.5" style="209" customWidth="1"/>
    <col min="9512" max="9520" width="8.5" style="209" customWidth="1"/>
    <col min="9521" max="9521" width="7.5" style="209" customWidth="1"/>
    <col min="9522" max="9522" width="7.25" style="209" customWidth="1"/>
    <col min="9523" max="9523" width="8.5" style="209" customWidth="1"/>
    <col min="9524" max="9524" width="9.375" style="209" customWidth="1"/>
    <col min="9525" max="9527" width="8.5" style="209" customWidth="1"/>
    <col min="9528" max="9528" width="9.25" style="209" customWidth="1"/>
    <col min="9529" max="9531" width="8.5" style="209" customWidth="1"/>
    <col min="9532" max="9532" width="7.875" style="209" customWidth="1"/>
    <col min="9533" max="9533" width="8.5" style="209" customWidth="1"/>
    <col min="9534" max="9534" width="7.375" style="209" customWidth="1"/>
    <col min="9535" max="9535" width="7.625" style="209" customWidth="1"/>
    <col min="9536" max="9536" width="9.875" style="209" customWidth="1"/>
    <col min="9537" max="9537" width="8.25" style="209" customWidth="1"/>
    <col min="9538" max="9540" width="8.875" style="209" customWidth="1"/>
    <col min="9541" max="9541" width="8.75" style="209" customWidth="1"/>
    <col min="9542" max="9542" width="8" style="209" customWidth="1"/>
    <col min="9543" max="9543" width="8.25" style="209" customWidth="1"/>
    <col min="9544" max="9544" width="7.375" style="209" customWidth="1"/>
    <col min="9545" max="9545" width="8.875" style="209" customWidth="1"/>
    <col min="9546" max="9546" width="7.375" style="209" customWidth="1"/>
    <col min="9547" max="9547" width="6.625" style="209" customWidth="1"/>
    <col min="9548" max="9548" width="9.5" style="209" customWidth="1"/>
    <col min="9549" max="9549" width="8" style="209" customWidth="1"/>
    <col min="9550" max="9550" width="8.375" style="209" customWidth="1"/>
    <col min="9551" max="9551" width="8.5" style="209" customWidth="1"/>
    <col min="9552" max="9552" width="8" style="209" customWidth="1"/>
    <col min="9553" max="9553" width="7.875" style="209" customWidth="1"/>
    <col min="9554" max="9554" width="8" style="209" customWidth="1"/>
    <col min="9555" max="9555" width="8.5" style="209" customWidth="1"/>
    <col min="9556" max="9558" width="8.125" style="209" customWidth="1"/>
    <col min="9559" max="9559" width="8" style="209" customWidth="1"/>
    <col min="9560" max="9563" width="8.75" style="209" customWidth="1"/>
    <col min="9564" max="9564" width="7.625" style="209" customWidth="1"/>
    <col min="9565" max="9566" width="8.75" style="209" customWidth="1"/>
    <col min="9567" max="9567" width="7.75" style="209" customWidth="1"/>
    <col min="9568" max="9570" width="8" style="209" customWidth="1"/>
    <col min="9571" max="9571" width="7.875" style="209" customWidth="1"/>
    <col min="9572" max="9573" width="8.75" style="209" customWidth="1"/>
    <col min="9574" max="9574" width="8.375" style="209" customWidth="1"/>
    <col min="9575" max="9575" width="8" style="209" customWidth="1"/>
    <col min="9576" max="9576" width="7.875" style="209" customWidth="1"/>
    <col min="9577" max="9579" width="8.25" style="209" customWidth="1"/>
    <col min="9580" max="9582" width="8.125" style="209" customWidth="1"/>
    <col min="9583" max="9583" width="7.875" style="209" customWidth="1"/>
    <col min="9584" max="9584" width="8.875" style="209" customWidth="1"/>
    <col min="9585" max="9585" width="8.375" style="209" customWidth="1"/>
    <col min="9586" max="9586" width="8.25" style="209" customWidth="1"/>
    <col min="9587" max="9587" width="8.875" style="209" customWidth="1"/>
    <col min="9588" max="9588" width="8.125" style="209" customWidth="1"/>
    <col min="9589" max="9589" width="8.25" style="209" customWidth="1"/>
    <col min="9590" max="9590" width="8.875" style="209" customWidth="1"/>
    <col min="9591" max="9591" width="8" style="209" customWidth="1"/>
    <col min="9592" max="9594" width="7.875" style="209" customWidth="1"/>
    <col min="9595" max="9595" width="7.75" style="209" customWidth="1"/>
    <col min="9596" max="9599" width="8.875" style="209" customWidth="1"/>
    <col min="9600" max="9600" width="8.75" style="209" customWidth="1"/>
    <col min="9601" max="9601" width="8.625" style="209" customWidth="1"/>
    <col min="9602" max="9603" width="8.25" style="209" customWidth="1"/>
    <col min="9604" max="9604" width="7.625" style="209" customWidth="1"/>
    <col min="9605" max="9605" width="8" style="209" customWidth="1"/>
    <col min="9606" max="9606" width="7.125" style="209" customWidth="1"/>
    <col min="9607" max="9607" width="7.625" style="209" customWidth="1"/>
    <col min="9608" max="9608" width="8.875" style="209" customWidth="1"/>
    <col min="9609" max="9609" width="8.125" style="209" customWidth="1"/>
    <col min="9610" max="9614" width="8.875" style="209" customWidth="1"/>
    <col min="9615" max="9615" width="8" style="209" customWidth="1"/>
    <col min="9616" max="9616" width="7.75" style="209" customWidth="1"/>
    <col min="9617" max="9617" width="7.875" style="209" customWidth="1"/>
    <col min="9618" max="9618" width="7.375" style="209" customWidth="1"/>
    <col min="9619" max="9619" width="7.875" style="209" customWidth="1"/>
    <col min="9620" max="9626" width="8.875" style="209" customWidth="1"/>
    <col min="9627" max="9627" width="7.5" style="209" customWidth="1"/>
    <col min="9628" max="9628" width="7.25" style="209" customWidth="1"/>
    <col min="9629" max="9629" width="8.375" style="209" customWidth="1"/>
    <col min="9630" max="9630" width="7.25" style="209" customWidth="1"/>
    <col min="9631" max="9631" width="7.625" style="209" customWidth="1"/>
    <col min="9632" max="9729" width="9" style="209"/>
    <col min="9730" max="9730" width="4.5" style="209" bestFit="1" customWidth="1"/>
    <col min="9731" max="9731" width="69.125" style="209" customWidth="1"/>
    <col min="9732" max="9732" width="9.25" style="209" customWidth="1"/>
    <col min="9733" max="9733" width="8.625" style="209" customWidth="1"/>
    <col min="9734" max="9734" width="9.375" style="209" customWidth="1"/>
    <col min="9735" max="9735" width="10.25" style="209" customWidth="1"/>
    <col min="9736" max="9736" width="10.625" style="209" customWidth="1"/>
    <col min="9737" max="9737" width="10" style="209" customWidth="1"/>
    <col min="9738" max="9739" width="8.5" style="209" customWidth="1"/>
    <col min="9740" max="9740" width="7.5" style="209" customWidth="1"/>
    <col min="9741" max="9741" width="7.125" style="209" customWidth="1"/>
    <col min="9742" max="9742" width="8.125" style="209" customWidth="1"/>
    <col min="9743" max="9744" width="7.5" style="209" customWidth="1"/>
    <col min="9745" max="9745" width="8.625" style="209" customWidth="1"/>
    <col min="9746" max="9748" width="7.5" style="209" customWidth="1"/>
    <col min="9749" max="9749" width="8.375" style="209" customWidth="1"/>
    <col min="9750" max="9750" width="7.5" style="209" customWidth="1"/>
    <col min="9751" max="9751" width="8.25" style="209" customWidth="1"/>
    <col min="9752" max="9754" width="7.5" style="209" customWidth="1"/>
    <col min="9755" max="9755" width="8.25" style="209" customWidth="1"/>
    <col min="9756" max="9756" width="8.125" style="209" customWidth="1"/>
    <col min="9757" max="9757" width="8.25" style="209" customWidth="1"/>
    <col min="9758" max="9758" width="8.75" style="209" customWidth="1"/>
    <col min="9759" max="9759" width="7.125" style="209" customWidth="1"/>
    <col min="9760" max="9760" width="9.5" style="209" customWidth="1"/>
    <col min="9761" max="9761" width="8.625" style="209" customWidth="1"/>
    <col min="9762" max="9762" width="8.875" style="209" customWidth="1"/>
    <col min="9763" max="9763" width="8.125" style="209" customWidth="1"/>
    <col min="9764" max="9766" width="7.625" style="209" customWidth="1"/>
    <col min="9767" max="9767" width="6.5" style="209" customWidth="1"/>
    <col min="9768" max="9776" width="8.5" style="209" customWidth="1"/>
    <col min="9777" max="9777" width="7.5" style="209" customWidth="1"/>
    <col min="9778" max="9778" width="7.25" style="209" customWidth="1"/>
    <col min="9779" max="9779" width="8.5" style="209" customWidth="1"/>
    <col min="9780" max="9780" width="9.375" style="209" customWidth="1"/>
    <col min="9781" max="9783" width="8.5" style="209" customWidth="1"/>
    <col min="9784" max="9784" width="9.25" style="209" customWidth="1"/>
    <col min="9785" max="9787" width="8.5" style="209" customWidth="1"/>
    <col min="9788" max="9788" width="7.875" style="209" customWidth="1"/>
    <col min="9789" max="9789" width="8.5" style="209" customWidth="1"/>
    <col min="9790" max="9790" width="7.375" style="209" customWidth="1"/>
    <col min="9791" max="9791" width="7.625" style="209" customWidth="1"/>
    <col min="9792" max="9792" width="9.875" style="209" customWidth="1"/>
    <col min="9793" max="9793" width="8.25" style="209" customWidth="1"/>
    <col min="9794" max="9796" width="8.875" style="209" customWidth="1"/>
    <col min="9797" max="9797" width="8.75" style="209" customWidth="1"/>
    <col min="9798" max="9798" width="8" style="209" customWidth="1"/>
    <col min="9799" max="9799" width="8.25" style="209" customWidth="1"/>
    <col min="9800" max="9800" width="7.375" style="209" customWidth="1"/>
    <col min="9801" max="9801" width="8.875" style="209" customWidth="1"/>
    <col min="9802" max="9802" width="7.375" style="209" customWidth="1"/>
    <col min="9803" max="9803" width="6.625" style="209" customWidth="1"/>
    <col min="9804" max="9804" width="9.5" style="209" customWidth="1"/>
    <col min="9805" max="9805" width="8" style="209" customWidth="1"/>
    <col min="9806" max="9806" width="8.375" style="209" customWidth="1"/>
    <col min="9807" max="9807" width="8.5" style="209" customWidth="1"/>
    <col min="9808" max="9808" width="8" style="209" customWidth="1"/>
    <col min="9809" max="9809" width="7.875" style="209" customWidth="1"/>
    <col min="9810" max="9810" width="8" style="209" customWidth="1"/>
    <col min="9811" max="9811" width="8.5" style="209" customWidth="1"/>
    <col min="9812" max="9814" width="8.125" style="209" customWidth="1"/>
    <col min="9815" max="9815" width="8" style="209" customWidth="1"/>
    <col min="9816" max="9819" width="8.75" style="209" customWidth="1"/>
    <col min="9820" max="9820" width="7.625" style="209" customWidth="1"/>
    <col min="9821" max="9822" width="8.75" style="209" customWidth="1"/>
    <col min="9823" max="9823" width="7.75" style="209" customWidth="1"/>
    <col min="9824" max="9826" width="8" style="209" customWidth="1"/>
    <col min="9827" max="9827" width="7.875" style="209" customWidth="1"/>
    <col min="9828" max="9829" width="8.75" style="209" customWidth="1"/>
    <col min="9830" max="9830" width="8.375" style="209" customWidth="1"/>
    <col min="9831" max="9831" width="8" style="209" customWidth="1"/>
    <col min="9832" max="9832" width="7.875" style="209" customWidth="1"/>
    <col min="9833" max="9835" width="8.25" style="209" customWidth="1"/>
    <col min="9836" max="9838" width="8.125" style="209" customWidth="1"/>
    <col min="9839" max="9839" width="7.875" style="209" customWidth="1"/>
    <col min="9840" max="9840" width="8.875" style="209" customWidth="1"/>
    <col min="9841" max="9841" width="8.375" style="209" customWidth="1"/>
    <col min="9842" max="9842" width="8.25" style="209" customWidth="1"/>
    <col min="9843" max="9843" width="8.875" style="209" customWidth="1"/>
    <col min="9844" max="9844" width="8.125" style="209" customWidth="1"/>
    <col min="9845" max="9845" width="8.25" style="209" customWidth="1"/>
    <col min="9846" max="9846" width="8.875" style="209" customWidth="1"/>
    <col min="9847" max="9847" width="8" style="209" customWidth="1"/>
    <col min="9848" max="9850" width="7.875" style="209" customWidth="1"/>
    <col min="9851" max="9851" width="7.75" style="209" customWidth="1"/>
    <col min="9852" max="9855" width="8.875" style="209" customWidth="1"/>
    <col min="9856" max="9856" width="8.75" style="209" customWidth="1"/>
    <col min="9857" max="9857" width="8.625" style="209" customWidth="1"/>
    <col min="9858" max="9859" width="8.25" style="209" customWidth="1"/>
    <col min="9860" max="9860" width="7.625" style="209" customWidth="1"/>
    <col min="9861" max="9861" width="8" style="209" customWidth="1"/>
    <col min="9862" max="9862" width="7.125" style="209" customWidth="1"/>
    <col min="9863" max="9863" width="7.625" style="209" customWidth="1"/>
    <col min="9864" max="9864" width="8.875" style="209" customWidth="1"/>
    <col min="9865" max="9865" width="8.125" style="209" customWidth="1"/>
    <col min="9866" max="9870" width="8.875" style="209" customWidth="1"/>
    <col min="9871" max="9871" width="8" style="209" customWidth="1"/>
    <col min="9872" max="9872" width="7.75" style="209" customWidth="1"/>
    <col min="9873" max="9873" width="7.875" style="209" customWidth="1"/>
    <col min="9874" max="9874" width="7.375" style="209" customWidth="1"/>
    <col min="9875" max="9875" width="7.875" style="209" customWidth="1"/>
    <col min="9876" max="9882" width="8.875" style="209" customWidth="1"/>
    <col min="9883" max="9883" width="7.5" style="209" customWidth="1"/>
    <col min="9884" max="9884" width="7.25" style="209" customWidth="1"/>
    <col min="9885" max="9885" width="8.375" style="209" customWidth="1"/>
    <col min="9886" max="9886" width="7.25" style="209" customWidth="1"/>
    <col min="9887" max="9887" width="7.625" style="209" customWidth="1"/>
    <col min="9888" max="9985" width="9" style="209"/>
    <col min="9986" max="9986" width="4.5" style="209" bestFit="1" customWidth="1"/>
    <col min="9987" max="9987" width="69.125" style="209" customWidth="1"/>
    <col min="9988" max="9988" width="9.25" style="209" customWidth="1"/>
    <col min="9989" max="9989" width="8.625" style="209" customWidth="1"/>
    <col min="9990" max="9990" width="9.375" style="209" customWidth="1"/>
    <col min="9991" max="9991" width="10.25" style="209" customWidth="1"/>
    <col min="9992" max="9992" width="10.625" style="209" customWidth="1"/>
    <col min="9993" max="9993" width="10" style="209" customWidth="1"/>
    <col min="9994" max="9995" width="8.5" style="209" customWidth="1"/>
    <col min="9996" max="9996" width="7.5" style="209" customWidth="1"/>
    <col min="9997" max="9997" width="7.125" style="209" customWidth="1"/>
    <col min="9998" max="9998" width="8.125" style="209" customWidth="1"/>
    <col min="9999" max="10000" width="7.5" style="209" customWidth="1"/>
    <col min="10001" max="10001" width="8.625" style="209" customWidth="1"/>
    <col min="10002" max="10004" width="7.5" style="209" customWidth="1"/>
    <col min="10005" max="10005" width="8.375" style="209" customWidth="1"/>
    <col min="10006" max="10006" width="7.5" style="209" customWidth="1"/>
    <col min="10007" max="10007" width="8.25" style="209" customWidth="1"/>
    <col min="10008" max="10010" width="7.5" style="209" customWidth="1"/>
    <col min="10011" max="10011" width="8.25" style="209" customWidth="1"/>
    <col min="10012" max="10012" width="8.125" style="209" customWidth="1"/>
    <col min="10013" max="10013" width="8.25" style="209" customWidth="1"/>
    <col min="10014" max="10014" width="8.75" style="209" customWidth="1"/>
    <col min="10015" max="10015" width="7.125" style="209" customWidth="1"/>
    <col min="10016" max="10016" width="9.5" style="209" customWidth="1"/>
    <col min="10017" max="10017" width="8.625" style="209" customWidth="1"/>
    <col min="10018" max="10018" width="8.875" style="209" customWidth="1"/>
    <col min="10019" max="10019" width="8.125" style="209" customWidth="1"/>
    <col min="10020" max="10022" width="7.625" style="209" customWidth="1"/>
    <col min="10023" max="10023" width="6.5" style="209" customWidth="1"/>
    <col min="10024" max="10032" width="8.5" style="209" customWidth="1"/>
    <col min="10033" max="10033" width="7.5" style="209" customWidth="1"/>
    <col min="10034" max="10034" width="7.25" style="209" customWidth="1"/>
    <col min="10035" max="10035" width="8.5" style="209" customWidth="1"/>
    <col min="10036" max="10036" width="9.375" style="209" customWidth="1"/>
    <col min="10037" max="10039" width="8.5" style="209" customWidth="1"/>
    <col min="10040" max="10040" width="9.25" style="209" customWidth="1"/>
    <col min="10041" max="10043" width="8.5" style="209" customWidth="1"/>
    <col min="10044" max="10044" width="7.875" style="209" customWidth="1"/>
    <col min="10045" max="10045" width="8.5" style="209" customWidth="1"/>
    <col min="10046" max="10046" width="7.375" style="209" customWidth="1"/>
    <col min="10047" max="10047" width="7.625" style="209" customWidth="1"/>
    <col min="10048" max="10048" width="9.875" style="209" customWidth="1"/>
    <col min="10049" max="10049" width="8.25" style="209" customWidth="1"/>
    <col min="10050" max="10052" width="8.875" style="209" customWidth="1"/>
    <col min="10053" max="10053" width="8.75" style="209" customWidth="1"/>
    <col min="10054" max="10054" width="8" style="209" customWidth="1"/>
    <col min="10055" max="10055" width="8.25" style="209" customWidth="1"/>
    <col min="10056" max="10056" width="7.375" style="209" customWidth="1"/>
    <col min="10057" max="10057" width="8.875" style="209" customWidth="1"/>
    <col min="10058" max="10058" width="7.375" style="209" customWidth="1"/>
    <col min="10059" max="10059" width="6.625" style="209" customWidth="1"/>
    <col min="10060" max="10060" width="9.5" style="209" customWidth="1"/>
    <col min="10061" max="10061" width="8" style="209" customWidth="1"/>
    <col min="10062" max="10062" width="8.375" style="209" customWidth="1"/>
    <col min="10063" max="10063" width="8.5" style="209" customWidth="1"/>
    <col min="10064" max="10064" width="8" style="209" customWidth="1"/>
    <col min="10065" max="10065" width="7.875" style="209" customWidth="1"/>
    <col min="10066" max="10066" width="8" style="209" customWidth="1"/>
    <col min="10067" max="10067" width="8.5" style="209" customWidth="1"/>
    <col min="10068" max="10070" width="8.125" style="209" customWidth="1"/>
    <col min="10071" max="10071" width="8" style="209" customWidth="1"/>
    <col min="10072" max="10075" width="8.75" style="209" customWidth="1"/>
    <col min="10076" max="10076" width="7.625" style="209" customWidth="1"/>
    <col min="10077" max="10078" width="8.75" style="209" customWidth="1"/>
    <col min="10079" max="10079" width="7.75" style="209" customWidth="1"/>
    <col min="10080" max="10082" width="8" style="209" customWidth="1"/>
    <col min="10083" max="10083" width="7.875" style="209" customWidth="1"/>
    <col min="10084" max="10085" width="8.75" style="209" customWidth="1"/>
    <col min="10086" max="10086" width="8.375" style="209" customWidth="1"/>
    <col min="10087" max="10087" width="8" style="209" customWidth="1"/>
    <col min="10088" max="10088" width="7.875" style="209" customWidth="1"/>
    <col min="10089" max="10091" width="8.25" style="209" customWidth="1"/>
    <col min="10092" max="10094" width="8.125" style="209" customWidth="1"/>
    <col min="10095" max="10095" width="7.875" style="209" customWidth="1"/>
    <col min="10096" max="10096" width="8.875" style="209" customWidth="1"/>
    <col min="10097" max="10097" width="8.375" style="209" customWidth="1"/>
    <col min="10098" max="10098" width="8.25" style="209" customWidth="1"/>
    <col min="10099" max="10099" width="8.875" style="209" customWidth="1"/>
    <col min="10100" max="10100" width="8.125" style="209" customWidth="1"/>
    <col min="10101" max="10101" width="8.25" style="209" customWidth="1"/>
    <col min="10102" max="10102" width="8.875" style="209" customWidth="1"/>
    <col min="10103" max="10103" width="8" style="209" customWidth="1"/>
    <col min="10104" max="10106" width="7.875" style="209" customWidth="1"/>
    <col min="10107" max="10107" width="7.75" style="209" customWidth="1"/>
    <col min="10108" max="10111" width="8.875" style="209" customWidth="1"/>
    <col min="10112" max="10112" width="8.75" style="209" customWidth="1"/>
    <col min="10113" max="10113" width="8.625" style="209" customWidth="1"/>
    <col min="10114" max="10115" width="8.25" style="209" customWidth="1"/>
    <col min="10116" max="10116" width="7.625" style="209" customWidth="1"/>
    <col min="10117" max="10117" width="8" style="209" customWidth="1"/>
    <col min="10118" max="10118" width="7.125" style="209" customWidth="1"/>
    <col min="10119" max="10119" width="7.625" style="209" customWidth="1"/>
    <col min="10120" max="10120" width="8.875" style="209" customWidth="1"/>
    <col min="10121" max="10121" width="8.125" style="209" customWidth="1"/>
    <col min="10122" max="10126" width="8.875" style="209" customWidth="1"/>
    <col min="10127" max="10127" width="8" style="209" customWidth="1"/>
    <col min="10128" max="10128" width="7.75" style="209" customWidth="1"/>
    <col min="10129" max="10129" width="7.875" style="209" customWidth="1"/>
    <col min="10130" max="10130" width="7.375" style="209" customWidth="1"/>
    <col min="10131" max="10131" width="7.875" style="209" customWidth="1"/>
    <col min="10132" max="10138" width="8.875" style="209" customWidth="1"/>
    <col min="10139" max="10139" width="7.5" style="209" customWidth="1"/>
    <col min="10140" max="10140" width="7.25" style="209" customWidth="1"/>
    <col min="10141" max="10141" width="8.375" style="209" customWidth="1"/>
    <col min="10142" max="10142" width="7.25" style="209" customWidth="1"/>
    <col min="10143" max="10143" width="7.625" style="209" customWidth="1"/>
    <col min="10144" max="10241" width="9" style="209"/>
    <col min="10242" max="10242" width="4.5" style="209" bestFit="1" customWidth="1"/>
    <col min="10243" max="10243" width="69.125" style="209" customWidth="1"/>
    <col min="10244" max="10244" width="9.25" style="209" customWidth="1"/>
    <col min="10245" max="10245" width="8.625" style="209" customWidth="1"/>
    <col min="10246" max="10246" width="9.375" style="209" customWidth="1"/>
    <col min="10247" max="10247" width="10.25" style="209" customWidth="1"/>
    <col min="10248" max="10248" width="10.625" style="209" customWidth="1"/>
    <col min="10249" max="10249" width="10" style="209" customWidth="1"/>
    <col min="10250" max="10251" width="8.5" style="209" customWidth="1"/>
    <col min="10252" max="10252" width="7.5" style="209" customWidth="1"/>
    <col min="10253" max="10253" width="7.125" style="209" customWidth="1"/>
    <col min="10254" max="10254" width="8.125" style="209" customWidth="1"/>
    <col min="10255" max="10256" width="7.5" style="209" customWidth="1"/>
    <col min="10257" max="10257" width="8.625" style="209" customWidth="1"/>
    <col min="10258" max="10260" width="7.5" style="209" customWidth="1"/>
    <col min="10261" max="10261" width="8.375" style="209" customWidth="1"/>
    <col min="10262" max="10262" width="7.5" style="209" customWidth="1"/>
    <col min="10263" max="10263" width="8.25" style="209" customWidth="1"/>
    <col min="10264" max="10266" width="7.5" style="209" customWidth="1"/>
    <col min="10267" max="10267" width="8.25" style="209" customWidth="1"/>
    <col min="10268" max="10268" width="8.125" style="209" customWidth="1"/>
    <col min="10269" max="10269" width="8.25" style="209" customWidth="1"/>
    <col min="10270" max="10270" width="8.75" style="209" customWidth="1"/>
    <col min="10271" max="10271" width="7.125" style="209" customWidth="1"/>
    <col min="10272" max="10272" width="9.5" style="209" customWidth="1"/>
    <col min="10273" max="10273" width="8.625" style="209" customWidth="1"/>
    <col min="10274" max="10274" width="8.875" style="209" customWidth="1"/>
    <col min="10275" max="10275" width="8.125" style="209" customWidth="1"/>
    <col min="10276" max="10278" width="7.625" style="209" customWidth="1"/>
    <col min="10279" max="10279" width="6.5" style="209" customWidth="1"/>
    <col min="10280" max="10288" width="8.5" style="209" customWidth="1"/>
    <col min="10289" max="10289" width="7.5" style="209" customWidth="1"/>
    <col min="10290" max="10290" width="7.25" style="209" customWidth="1"/>
    <col min="10291" max="10291" width="8.5" style="209" customWidth="1"/>
    <col min="10292" max="10292" width="9.375" style="209" customWidth="1"/>
    <col min="10293" max="10295" width="8.5" style="209" customWidth="1"/>
    <col min="10296" max="10296" width="9.25" style="209" customWidth="1"/>
    <col min="10297" max="10299" width="8.5" style="209" customWidth="1"/>
    <col min="10300" max="10300" width="7.875" style="209" customWidth="1"/>
    <col min="10301" max="10301" width="8.5" style="209" customWidth="1"/>
    <col min="10302" max="10302" width="7.375" style="209" customWidth="1"/>
    <col min="10303" max="10303" width="7.625" style="209" customWidth="1"/>
    <col min="10304" max="10304" width="9.875" style="209" customWidth="1"/>
    <col min="10305" max="10305" width="8.25" style="209" customWidth="1"/>
    <col min="10306" max="10308" width="8.875" style="209" customWidth="1"/>
    <col min="10309" max="10309" width="8.75" style="209" customWidth="1"/>
    <col min="10310" max="10310" width="8" style="209" customWidth="1"/>
    <col min="10311" max="10311" width="8.25" style="209" customWidth="1"/>
    <col min="10312" max="10312" width="7.375" style="209" customWidth="1"/>
    <col min="10313" max="10313" width="8.875" style="209" customWidth="1"/>
    <col min="10314" max="10314" width="7.375" style="209" customWidth="1"/>
    <col min="10315" max="10315" width="6.625" style="209" customWidth="1"/>
    <col min="10316" max="10316" width="9.5" style="209" customWidth="1"/>
    <col min="10317" max="10317" width="8" style="209" customWidth="1"/>
    <col min="10318" max="10318" width="8.375" style="209" customWidth="1"/>
    <col min="10319" max="10319" width="8.5" style="209" customWidth="1"/>
    <col min="10320" max="10320" width="8" style="209" customWidth="1"/>
    <col min="10321" max="10321" width="7.875" style="209" customWidth="1"/>
    <col min="10322" max="10322" width="8" style="209" customWidth="1"/>
    <col min="10323" max="10323" width="8.5" style="209" customWidth="1"/>
    <col min="10324" max="10326" width="8.125" style="209" customWidth="1"/>
    <col min="10327" max="10327" width="8" style="209" customWidth="1"/>
    <col min="10328" max="10331" width="8.75" style="209" customWidth="1"/>
    <col min="10332" max="10332" width="7.625" style="209" customWidth="1"/>
    <col min="10333" max="10334" width="8.75" style="209" customWidth="1"/>
    <col min="10335" max="10335" width="7.75" style="209" customWidth="1"/>
    <col min="10336" max="10338" width="8" style="209" customWidth="1"/>
    <col min="10339" max="10339" width="7.875" style="209" customWidth="1"/>
    <col min="10340" max="10341" width="8.75" style="209" customWidth="1"/>
    <col min="10342" max="10342" width="8.375" style="209" customWidth="1"/>
    <col min="10343" max="10343" width="8" style="209" customWidth="1"/>
    <col min="10344" max="10344" width="7.875" style="209" customWidth="1"/>
    <col min="10345" max="10347" width="8.25" style="209" customWidth="1"/>
    <col min="10348" max="10350" width="8.125" style="209" customWidth="1"/>
    <col min="10351" max="10351" width="7.875" style="209" customWidth="1"/>
    <col min="10352" max="10352" width="8.875" style="209" customWidth="1"/>
    <col min="10353" max="10353" width="8.375" style="209" customWidth="1"/>
    <col min="10354" max="10354" width="8.25" style="209" customWidth="1"/>
    <col min="10355" max="10355" width="8.875" style="209" customWidth="1"/>
    <col min="10356" max="10356" width="8.125" style="209" customWidth="1"/>
    <col min="10357" max="10357" width="8.25" style="209" customWidth="1"/>
    <col min="10358" max="10358" width="8.875" style="209" customWidth="1"/>
    <col min="10359" max="10359" width="8" style="209" customWidth="1"/>
    <col min="10360" max="10362" width="7.875" style="209" customWidth="1"/>
    <col min="10363" max="10363" width="7.75" style="209" customWidth="1"/>
    <col min="10364" max="10367" width="8.875" style="209" customWidth="1"/>
    <col min="10368" max="10368" width="8.75" style="209" customWidth="1"/>
    <col min="10369" max="10369" width="8.625" style="209" customWidth="1"/>
    <col min="10370" max="10371" width="8.25" style="209" customWidth="1"/>
    <col min="10372" max="10372" width="7.625" style="209" customWidth="1"/>
    <col min="10373" max="10373" width="8" style="209" customWidth="1"/>
    <col min="10374" max="10374" width="7.125" style="209" customWidth="1"/>
    <col min="10375" max="10375" width="7.625" style="209" customWidth="1"/>
    <col min="10376" max="10376" width="8.875" style="209" customWidth="1"/>
    <col min="10377" max="10377" width="8.125" style="209" customWidth="1"/>
    <col min="10378" max="10382" width="8.875" style="209" customWidth="1"/>
    <col min="10383" max="10383" width="8" style="209" customWidth="1"/>
    <col min="10384" max="10384" width="7.75" style="209" customWidth="1"/>
    <col min="10385" max="10385" width="7.875" style="209" customWidth="1"/>
    <col min="10386" max="10386" width="7.375" style="209" customWidth="1"/>
    <col min="10387" max="10387" width="7.875" style="209" customWidth="1"/>
    <col min="10388" max="10394" width="8.875" style="209" customWidth="1"/>
    <col min="10395" max="10395" width="7.5" style="209" customWidth="1"/>
    <col min="10396" max="10396" width="7.25" style="209" customWidth="1"/>
    <col min="10397" max="10397" width="8.375" style="209" customWidth="1"/>
    <col min="10398" max="10398" width="7.25" style="209" customWidth="1"/>
    <col min="10399" max="10399" width="7.625" style="209" customWidth="1"/>
    <col min="10400" max="10497" width="9" style="209"/>
    <col min="10498" max="10498" width="4.5" style="209" bestFit="1" customWidth="1"/>
    <col min="10499" max="10499" width="69.125" style="209" customWidth="1"/>
    <col min="10500" max="10500" width="9.25" style="209" customWidth="1"/>
    <col min="10501" max="10501" width="8.625" style="209" customWidth="1"/>
    <col min="10502" max="10502" width="9.375" style="209" customWidth="1"/>
    <col min="10503" max="10503" width="10.25" style="209" customWidth="1"/>
    <col min="10504" max="10504" width="10.625" style="209" customWidth="1"/>
    <col min="10505" max="10505" width="10" style="209" customWidth="1"/>
    <col min="10506" max="10507" width="8.5" style="209" customWidth="1"/>
    <col min="10508" max="10508" width="7.5" style="209" customWidth="1"/>
    <col min="10509" max="10509" width="7.125" style="209" customWidth="1"/>
    <col min="10510" max="10510" width="8.125" style="209" customWidth="1"/>
    <col min="10511" max="10512" width="7.5" style="209" customWidth="1"/>
    <col min="10513" max="10513" width="8.625" style="209" customWidth="1"/>
    <col min="10514" max="10516" width="7.5" style="209" customWidth="1"/>
    <col min="10517" max="10517" width="8.375" style="209" customWidth="1"/>
    <col min="10518" max="10518" width="7.5" style="209" customWidth="1"/>
    <col min="10519" max="10519" width="8.25" style="209" customWidth="1"/>
    <col min="10520" max="10522" width="7.5" style="209" customWidth="1"/>
    <col min="10523" max="10523" width="8.25" style="209" customWidth="1"/>
    <col min="10524" max="10524" width="8.125" style="209" customWidth="1"/>
    <col min="10525" max="10525" width="8.25" style="209" customWidth="1"/>
    <col min="10526" max="10526" width="8.75" style="209" customWidth="1"/>
    <col min="10527" max="10527" width="7.125" style="209" customWidth="1"/>
    <col min="10528" max="10528" width="9.5" style="209" customWidth="1"/>
    <col min="10529" max="10529" width="8.625" style="209" customWidth="1"/>
    <col min="10530" max="10530" width="8.875" style="209" customWidth="1"/>
    <col min="10531" max="10531" width="8.125" style="209" customWidth="1"/>
    <col min="10532" max="10534" width="7.625" style="209" customWidth="1"/>
    <col min="10535" max="10535" width="6.5" style="209" customWidth="1"/>
    <col min="10536" max="10544" width="8.5" style="209" customWidth="1"/>
    <col min="10545" max="10545" width="7.5" style="209" customWidth="1"/>
    <col min="10546" max="10546" width="7.25" style="209" customWidth="1"/>
    <col min="10547" max="10547" width="8.5" style="209" customWidth="1"/>
    <col min="10548" max="10548" width="9.375" style="209" customWidth="1"/>
    <col min="10549" max="10551" width="8.5" style="209" customWidth="1"/>
    <col min="10552" max="10552" width="9.25" style="209" customWidth="1"/>
    <col min="10553" max="10555" width="8.5" style="209" customWidth="1"/>
    <col min="10556" max="10556" width="7.875" style="209" customWidth="1"/>
    <col min="10557" max="10557" width="8.5" style="209" customWidth="1"/>
    <col min="10558" max="10558" width="7.375" style="209" customWidth="1"/>
    <col min="10559" max="10559" width="7.625" style="209" customWidth="1"/>
    <col min="10560" max="10560" width="9.875" style="209" customWidth="1"/>
    <col min="10561" max="10561" width="8.25" style="209" customWidth="1"/>
    <col min="10562" max="10564" width="8.875" style="209" customWidth="1"/>
    <col min="10565" max="10565" width="8.75" style="209" customWidth="1"/>
    <col min="10566" max="10566" width="8" style="209" customWidth="1"/>
    <col min="10567" max="10567" width="8.25" style="209" customWidth="1"/>
    <col min="10568" max="10568" width="7.375" style="209" customWidth="1"/>
    <col min="10569" max="10569" width="8.875" style="209" customWidth="1"/>
    <col min="10570" max="10570" width="7.375" style="209" customWidth="1"/>
    <col min="10571" max="10571" width="6.625" style="209" customWidth="1"/>
    <col min="10572" max="10572" width="9.5" style="209" customWidth="1"/>
    <col min="10573" max="10573" width="8" style="209" customWidth="1"/>
    <col min="10574" max="10574" width="8.375" style="209" customWidth="1"/>
    <col min="10575" max="10575" width="8.5" style="209" customWidth="1"/>
    <col min="10576" max="10576" width="8" style="209" customWidth="1"/>
    <col min="10577" max="10577" width="7.875" style="209" customWidth="1"/>
    <col min="10578" max="10578" width="8" style="209" customWidth="1"/>
    <col min="10579" max="10579" width="8.5" style="209" customWidth="1"/>
    <col min="10580" max="10582" width="8.125" style="209" customWidth="1"/>
    <col min="10583" max="10583" width="8" style="209" customWidth="1"/>
    <col min="10584" max="10587" width="8.75" style="209" customWidth="1"/>
    <col min="10588" max="10588" width="7.625" style="209" customWidth="1"/>
    <col min="10589" max="10590" width="8.75" style="209" customWidth="1"/>
    <col min="10591" max="10591" width="7.75" style="209" customWidth="1"/>
    <col min="10592" max="10594" width="8" style="209" customWidth="1"/>
    <col min="10595" max="10595" width="7.875" style="209" customWidth="1"/>
    <col min="10596" max="10597" width="8.75" style="209" customWidth="1"/>
    <col min="10598" max="10598" width="8.375" style="209" customWidth="1"/>
    <col min="10599" max="10599" width="8" style="209" customWidth="1"/>
    <col min="10600" max="10600" width="7.875" style="209" customWidth="1"/>
    <col min="10601" max="10603" width="8.25" style="209" customWidth="1"/>
    <col min="10604" max="10606" width="8.125" style="209" customWidth="1"/>
    <col min="10607" max="10607" width="7.875" style="209" customWidth="1"/>
    <col min="10608" max="10608" width="8.875" style="209" customWidth="1"/>
    <col min="10609" max="10609" width="8.375" style="209" customWidth="1"/>
    <col min="10610" max="10610" width="8.25" style="209" customWidth="1"/>
    <col min="10611" max="10611" width="8.875" style="209" customWidth="1"/>
    <col min="10612" max="10612" width="8.125" style="209" customWidth="1"/>
    <col min="10613" max="10613" width="8.25" style="209" customWidth="1"/>
    <col min="10614" max="10614" width="8.875" style="209" customWidth="1"/>
    <col min="10615" max="10615" width="8" style="209" customWidth="1"/>
    <col min="10616" max="10618" width="7.875" style="209" customWidth="1"/>
    <col min="10619" max="10619" width="7.75" style="209" customWidth="1"/>
    <col min="10620" max="10623" width="8.875" style="209" customWidth="1"/>
    <col min="10624" max="10624" width="8.75" style="209" customWidth="1"/>
    <col min="10625" max="10625" width="8.625" style="209" customWidth="1"/>
    <col min="10626" max="10627" width="8.25" style="209" customWidth="1"/>
    <col min="10628" max="10628" width="7.625" style="209" customWidth="1"/>
    <col min="10629" max="10629" width="8" style="209" customWidth="1"/>
    <col min="10630" max="10630" width="7.125" style="209" customWidth="1"/>
    <col min="10631" max="10631" width="7.625" style="209" customWidth="1"/>
    <col min="10632" max="10632" width="8.875" style="209" customWidth="1"/>
    <col min="10633" max="10633" width="8.125" style="209" customWidth="1"/>
    <col min="10634" max="10638" width="8.875" style="209" customWidth="1"/>
    <col min="10639" max="10639" width="8" style="209" customWidth="1"/>
    <col min="10640" max="10640" width="7.75" style="209" customWidth="1"/>
    <col min="10641" max="10641" width="7.875" style="209" customWidth="1"/>
    <col min="10642" max="10642" width="7.375" style="209" customWidth="1"/>
    <col min="10643" max="10643" width="7.875" style="209" customWidth="1"/>
    <col min="10644" max="10650" width="8.875" style="209" customWidth="1"/>
    <col min="10651" max="10651" width="7.5" style="209" customWidth="1"/>
    <col min="10652" max="10652" width="7.25" style="209" customWidth="1"/>
    <col min="10653" max="10653" width="8.375" style="209" customWidth="1"/>
    <col min="10654" max="10654" width="7.25" style="209" customWidth="1"/>
    <col min="10655" max="10655" width="7.625" style="209" customWidth="1"/>
    <col min="10656" max="10753" width="9" style="209"/>
    <col min="10754" max="10754" width="4.5" style="209" bestFit="1" customWidth="1"/>
    <col min="10755" max="10755" width="69.125" style="209" customWidth="1"/>
    <col min="10756" max="10756" width="9.25" style="209" customWidth="1"/>
    <col min="10757" max="10757" width="8.625" style="209" customWidth="1"/>
    <col min="10758" max="10758" width="9.375" style="209" customWidth="1"/>
    <col min="10759" max="10759" width="10.25" style="209" customWidth="1"/>
    <col min="10760" max="10760" width="10.625" style="209" customWidth="1"/>
    <col min="10761" max="10761" width="10" style="209" customWidth="1"/>
    <col min="10762" max="10763" width="8.5" style="209" customWidth="1"/>
    <col min="10764" max="10764" width="7.5" style="209" customWidth="1"/>
    <col min="10765" max="10765" width="7.125" style="209" customWidth="1"/>
    <col min="10766" max="10766" width="8.125" style="209" customWidth="1"/>
    <col min="10767" max="10768" width="7.5" style="209" customWidth="1"/>
    <col min="10769" max="10769" width="8.625" style="209" customWidth="1"/>
    <col min="10770" max="10772" width="7.5" style="209" customWidth="1"/>
    <col min="10773" max="10773" width="8.375" style="209" customWidth="1"/>
    <col min="10774" max="10774" width="7.5" style="209" customWidth="1"/>
    <col min="10775" max="10775" width="8.25" style="209" customWidth="1"/>
    <col min="10776" max="10778" width="7.5" style="209" customWidth="1"/>
    <col min="10779" max="10779" width="8.25" style="209" customWidth="1"/>
    <col min="10780" max="10780" width="8.125" style="209" customWidth="1"/>
    <col min="10781" max="10781" width="8.25" style="209" customWidth="1"/>
    <col min="10782" max="10782" width="8.75" style="209" customWidth="1"/>
    <col min="10783" max="10783" width="7.125" style="209" customWidth="1"/>
    <col min="10784" max="10784" width="9.5" style="209" customWidth="1"/>
    <col min="10785" max="10785" width="8.625" style="209" customWidth="1"/>
    <col min="10786" max="10786" width="8.875" style="209" customWidth="1"/>
    <col min="10787" max="10787" width="8.125" style="209" customWidth="1"/>
    <col min="10788" max="10790" width="7.625" style="209" customWidth="1"/>
    <col min="10791" max="10791" width="6.5" style="209" customWidth="1"/>
    <col min="10792" max="10800" width="8.5" style="209" customWidth="1"/>
    <col min="10801" max="10801" width="7.5" style="209" customWidth="1"/>
    <col min="10802" max="10802" width="7.25" style="209" customWidth="1"/>
    <col min="10803" max="10803" width="8.5" style="209" customWidth="1"/>
    <col min="10804" max="10804" width="9.375" style="209" customWidth="1"/>
    <col min="10805" max="10807" width="8.5" style="209" customWidth="1"/>
    <col min="10808" max="10808" width="9.25" style="209" customWidth="1"/>
    <col min="10809" max="10811" width="8.5" style="209" customWidth="1"/>
    <col min="10812" max="10812" width="7.875" style="209" customWidth="1"/>
    <col min="10813" max="10813" width="8.5" style="209" customWidth="1"/>
    <col min="10814" max="10814" width="7.375" style="209" customWidth="1"/>
    <col min="10815" max="10815" width="7.625" style="209" customWidth="1"/>
    <col min="10816" max="10816" width="9.875" style="209" customWidth="1"/>
    <col min="10817" max="10817" width="8.25" style="209" customWidth="1"/>
    <col min="10818" max="10820" width="8.875" style="209" customWidth="1"/>
    <col min="10821" max="10821" width="8.75" style="209" customWidth="1"/>
    <col min="10822" max="10822" width="8" style="209" customWidth="1"/>
    <col min="10823" max="10823" width="8.25" style="209" customWidth="1"/>
    <col min="10824" max="10824" width="7.375" style="209" customWidth="1"/>
    <col min="10825" max="10825" width="8.875" style="209" customWidth="1"/>
    <col min="10826" max="10826" width="7.375" style="209" customWidth="1"/>
    <col min="10827" max="10827" width="6.625" style="209" customWidth="1"/>
    <col min="10828" max="10828" width="9.5" style="209" customWidth="1"/>
    <col min="10829" max="10829" width="8" style="209" customWidth="1"/>
    <col min="10830" max="10830" width="8.375" style="209" customWidth="1"/>
    <col min="10831" max="10831" width="8.5" style="209" customWidth="1"/>
    <col min="10832" max="10832" width="8" style="209" customWidth="1"/>
    <col min="10833" max="10833" width="7.875" style="209" customWidth="1"/>
    <col min="10834" max="10834" width="8" style="209" customWidth="1"/>
    <col min="10835" max="10835" width="8.5" style="209" customWidth="1"/>
    <col min="10836" max="10838" width="8.125" style="209" customWidth="1"/>
    <col min="10839" max="10839" width="8" style="209" customWidth="1"/>
    <col min="10840" max="10843" width="8.75" style="209" customWidth="1"/>
    <col min="10844" max="10844" width="7.625" style="209" customWidth="1"/>
    <col min="10845" max="10846" width="8.75" style="209" customWidth="1"/>
    <col min="10847" max="10847" width="7.75" style="209" customWidth="1"/>
    <col min="10848" max="10850" width="8" style="209" customWidth="1"/>
    <col min="10851" max="10851" width="7.875" style="209" customWidth="1"/>
    <col min="10852" max="10853" width="8.75" style="209" customWidth="1"/>
    <col min="10854" max="10854" width="8.375" style="209" customWidth="1"/>
    <col min="10855" max="10855" width="8" style="209" customWidth="1"/>
    <col min="10856" max="10856" width="7.875" style="209" customWidth="1"/>
    <col min="10857" max="10859" width="8.25" style="209" customWidth="1"/>
    <col min="10860" max="10862" width="8.125" style="209" customWidth="1"/>
    <col min="10863" max="10863" width="7.875" style="209" customWidth="1"/>
    <col min="10864" max="10864" width="8.875" style="209" customWidth="1"/>
    <col min="10865" max="10865" width="8.375" style="209" customWidth="1"/>
    <col min="10866" max="10866" width="8.25" style="209" customWidth="1"/>
    <col min="10867" max="10867" width="8.875" style="209" customWidth="1"/>
    <col min="10868" max="10868" width="8.125" style="209" customWidth="1"/>
    <col min="10869" max="10869" width="8.25" style="209" customWidth="1"/>
    <col min="10870" max="10870" width="8.875" style="209" customWidth="1"/>
    <col min="10871" max="10871" width="8" style="209" customWidth="1"/>
    <col min="10872" max="10874" width="7.875" style="209" customWidth="1"/>
    <col min="10875" max="10875" width="7.75" style="209" customWidth="1"/>
    <col min="10876" max="10879" width="8.875" style="209" customWidth="1"/>
    <col min="10880" max="10880" width="8.75" style="209" customWidth="1"/>
    <col min="10881" max="10881" width="8.625" style="209" customWidth="1"/>
    <col min="10882" max="10883" width="8.25" style="209" customWidth="1"/>
    <col min="10884" max="10884" width="7.625" style="209" customWidth="1"/>
    <col min="10885" max="10885" width="8" style="209" customWidth="1"/>
    <col min="10886" max="10886" width="7.125" style="209" customWidth="1"/>
    <col min="10887" max="10887" width="7.625" style="209" customWidth="1"/>
    <col min="10888" max="10888" width="8.875" style="209" customWidth="1"/>
    <col min="10889" max="10889" width="8.125" style="209" customWidth="1"/>
    <col min="10890" max="10894" width="8.875" style="209" customWidth="1"/>
    <col min="10895" max="10895" width="8" style="209" customWidth="1"/>
    <col min="10896" max="10896" width="7.75" style="209" customWidth="1"/>
    <col min="10897" max="10897" width="7.875" style="209" customWidth="1"/>
    <col min="10898" max="10898" width="7.375" style="209" customWidth="1"/>
    <col min="10899" max="10899" width="7.875" style="209" customWidth="1"/>
    <col min="10900" max="10906" width="8.875" style="209" customWidth="1"/>
    <col min="10907" max="10907" width="7.5" style="209" customWidth="1"/>
    <col min="10908" max="10908" width="7.25" style="209" customWidth="1"/>
    <col min="10909" max="10909" width="8.375" style="209" customWidth="1"/>
    <col min="10910" max="10910" width="7.25" style="209" customWidth="1"/>
    <col min="10911" max="10911" width="7.625" style="209" customWidth="1"/>
    <col min="10912" max="11009" width="9" style="209"/>
    <col min="11010" max="11010" width="4.5" style="209" bestFit="1" customWidth="1"/>
    <col min="11011" max="11011" width="69.125" style="209" customWidth="1"/>
    <col min="11012" max="11012" width="9.25" style="209" customWidth="1"/>
    <col min="11013" max="11013" width="8.625" style="209" customWidth="1"/>
    <col min="11014" max="11014" width="9.375" style="209" customWidth="1"/>
    <col min="11015" max="11015" width="10.25" style="209" customWidth="1"/>
    <col min="11016" max="11016" width="10.625" style="209" customWidth="1"/>
    <col min="11017" max="11017" width="10" style="209" customWidth="1"/>
    <col min="11018" max="11019" width="8.5" style="209" customWidth="1"/>
    <col min="11020" max="11020" width="7.5" style="209" customWidth="1"/>
    <col min="11021" max="11021" width="7.125" style="209" customWidth="1"/>
    <col min="11022" max="11022" width="8.125" style="209" customWidth="1"/>
    <col min="11023" max="11024" width="7.5" style="209" customWidth="1"/>
    <col min="11025" max="11025" width="8.625" style="209" customWidth="1"/>
    <col min="11026" max="11028" width="7.5" style="209" customWidth="1"/>
    <col min="11029" max="11029" width="8.375" style="209" customWidth="1"/>
    <col min="11030" max="11030" width="7.5" style="209" customWidth="1"/>
    <col min="11031" max="11031" width="8.25" style="209" customWidth="1"/>
    <col min="11032" max="11034" width="7.5" style="209" customWidth="1"/>
    <col min="11035" max="11035" width="8.25" style="209" customWidth="1"/>
    <col min="11036" max="11036" width="8.125" style="209" customWidth="1"/>
    <col min="11037" max="11037" width="8.25" style="209" customWidth="1"/>
    <col min="11038" max="11038" width="8.75" style="209" customWidth="1"/>
    <col min="11039" max="11039" width="7.125" style="209" customWidth="1"/>
    <col min="11040" max="11040" width="9.5" style="209" customWidth="1"/>
    <col min="11041" max="11041" width="8.625" style="209" customWidth="1"/>
    <col min="11042" max="11042" width="8.875" style="209" customWidth="1"/>
    <col min="11043" max="11043" width="8.125" style="209" customWidth="1"/>
    <col min="11044" max="11046" width="7.625" style="209" customWidth="1"/>
    <col min="11047" max="11047" width="6.5" style="209" customWidth="1"/>
    <col min="11048" max="11056" width="8.5" style="209" customWidth="1"/>
    <col min="11057" max="11057" width="7.5" style="209" customWidth="1"/>
    <col min="11058" max="11058" width="7.25" style="209" customWidth="1"/>
    <col min="11059" max="11059" width="8.5" style="209" customWidth="1"/>
    <col min="11060" max="11060" width="9.375" style="209" customWidth="1"/>
    <col min="11061" max="11063" width="8.5" style="209" customWidth="1"/>
    <col min="11064" max="11064" width="9.25" style="209" customWidth="1"/>
    <col min="11065" max="11067" width="8.5" style="209" customWidth="1"/>
    <col min="11068" max="11068" width="7.875" style="209" customWidth="1"/>
    <col min="11069" max="11069" width="8.5" style="209" customWidth="1"/>
    <col min="11070" max="11070" width="7.375" style="209" customWidth="1"/>
    <col min="11071" max="11071" width="7.625" style="209" customWidth="1"/>
    <col min="11072" max="11072" width="9.875" style="209" customWidth="1"/>
    <col min="11073" max="11073" width="8.25" style="209" customWidth="1"/>
    <col min="11074" max="11076" width="8.875" style="209" customWidth="1"/>
    <col min="11077" max="11077" width="8.75" style="209" customWidth="1"/>
    <col min="11078" max="11078" width="8" style="209" customWidth="1"/>
    <col min="11079" max="11079" width="8.25" style="209" customWidth="1"/>
    <col min="11080" max="11080" width="7.375" style="209" customWidth="1"/>
    <col min="11081" max="11081" width="8.875" style="209" customWidth="1"/>
    <col min="11082" max="11082" width="7.375" style="209" customWidth="1"/>
    <col min="11083" max="11083" width="6.625" style="209" customWidth="1"/>
    <col min="11084" max="11084" width="9.5" style="209" customWidth="1"/>
    <col min="11085" max="11085" width="8" style="209" customWidth="1"/>
    <col min="11086" max="11086" width="8.375" style="209" customWidth="1"/>
    <col min="11087" max="11087" width="8.5" style="209" customWidth="1"/>
    <col min="11088" max="11088" width="8" style="209" customWidth="1"/>
    <col min="11089" max="11089" width="7.875" style="209" customWidth="1"/>
    <col min="11090" max="11090" width="8" style="209" customWidth="1"/>
    <col min="11091" max="11091" width="8.5" style="209" customWidth="1"/>
    <col min="11092" max="11094" width="8.125" style="209" customWidth="1"/>
    <col min="11095" max="11095" width="8" style="209" customWidth="1"/>
    <col min="11096" max="11099" width="8.75" style="209" customWidth="1"/>
    <col min="11100" max="11100" width="7.625" style="209" customWidth="1"/>
    <col min="11101" max="11102" width="8.75" style="209" customWidth="1"/>
    <col min="11103" max="11103" width="7.75" style="209" customWidth="1"/>
    <col min="11104" max="11106" width="8" style="209" customWidth="1"/>
    <col min="11107" max="11107" width="7.875" style="209" customWidth="1"/>
    <col min="11108" max="11109" width="8.75" style="209" customWidth="1"/>
    <col min="11110" max="11110" width="8.375" style="209" customWidth="1"/>
    <col min="11111" max="11111" width="8" style="209" customWidth="1"/>
    <col min="11112" max="11112" width="7.875" style="209" customWidth="1"/>
    <col min="11113" max="11115" width="8.25" style="209" customWidth="1"/>
    <col min="11116" max="11118" width="8.125" style="209" customWidth="1"/>
    <col min="11119" max="11119" width="7.875" style="209" customWidth="1"/>
    <col min="11120" max="11120" width="8.875" style="209" customWidth="1"/>
    <col min="11121" max="11121" width="8.375" style="209" customWidth="1"/>
    <col min="11122" max="11122" width="8.25" style="209" customWidth="1"/>
    <col min="11123" max="11123" width="8.875" style="209" customWidth="1"/>
    <col min="11124" max="11124" width="8.125" style="209" customWidth="1"/>
    <col min="11125" max="11125" width="8.25" style="209" customWidth="1"/>
    <col min="11126" max="11126" width="8.875" style="209" customWidth="1"/>
    <col min="11127" max="11127" width="8" style="209" customWidth="1"/>
    <col min="11128" max="11130" width="7.875" style="209" customWidth="1"/>
    <col min="11131" max="11131" width="7.75" style="209" customWidth="1"/>
    <col min="11132" max="11135" width="8.875" style="209" customWidth="1"/>
    <col min="11136" max="11136" width="8.75" style="209" customWidth="1"/>
    <col min="11137" max="11137" width="8.625" style="209" customWidth="1"/>
    <col min="11138" max="11139" width="8.25" style="209" customWidth="1"/>
    <col min="11140" max="11140" width="7.625" style="209" customWidth="1"/>
    <col min="11141" max="11141" width="8" style="209" customWidth="1"/>
    <col min="11142" max="11142" width="7.125" style="209" customWidth="1"/>
    <col min="11143" max="11143" width="7.625" style="209" customWidth="1"/>
    <col min="11144" max="11144" width="8.875" style="209" customWidth="1"/>
    <col min="11145" max="11145" width="8.125" style="209" customWidth="1"/>
    <col min="11146" max="11150" width="8.875" style="209" customWidth="1"/>
    <col min="11151" max="11151" width="8" style="209" customWidth="1"/>
    <col min="11152" max="11152" width="7.75" style="209" customWidth="1"/>
    <col min="11153" max="11153" width="7.875" style="209" customWidth="1"/>
    <col min="11154" max="11154" width="7.375" style="209" customWidth="1"/>
    <col min="11155" max="11155" width="7.875" style="209" customWidth="1"/>
    <col min="11156" max="11162" width="8.875" style="209" customWidth="1"/>
    <col min="11163" max="11163" width="7.5" style="209" customWidth="1"/>
    <col min="11164" max="11164" width="7.25" style="209" customWidth="1"/>
    <col min="11165" max="11165" width="8.375" style="209" customWidth="1"/>
    <col min="11166" max="11166" width="7.25" style="209" customWidth="1"/>
    <col min="11167" max="11167" width="7.625" style="209" customWidth="1"/>
    <col min="11168" max="11265" width="9" style="209"/>
    <col min="11266" max="11266" width="4.5" style="209" bestFit="1" customWidth="1"/>
    <col min="11267" max="11267" width="69.125" style="209" customWidth="1"/>
    <col min="11268" max="11268" width="9.25" style="209" customWidth="1"/>
    <col min="11269" max="11269" width="8.625" style="209" customWidth="1"/>
    <col min="11270" max="11270" width="9.375" style="209" customWidth="1"/>
    <col min="11271" max="11271" width="10.25" style="209" customWidth="1"/>
    <col min="11272" max="11272" width="10.625" style="209" customWidth="1"/>
    <col min="11273" max="11273" width="10" style="209" customWidth="1"/>
    <col min="11274" max="11275" width="8.5" style="209" customWidth="1"/>
    <col min="11276" max="11276" width="7.5" style="209" customWidth="1"/>
    <col min="11277" max="11277" width="7.125" style="209" customWidth="1"/>
    <col min="11278" max="11278" width="8.125" style="209" customWidth="1"/>
    <col min="11279" max="11280" width="7.5" style="209" customWidth="1"/>
    <col min="11281" max="11281" width="8.625" style="209" customWidth="1"/>
    <col min="11282" max="11284" width="7.5" style="209" customWidth="1"/>
    <col min="11285" max="11285" width="8.375" style="209" customWidth="1"/>
    <col min="11286" max="11286" width="7.5" style="209" customWidth="1"/>
    <col min="11287" max="11287" width="8.25" style="209" customWidth="1"/>
    <col min="11288" max="11290" width="7.5" style="209" customWidth="1"/>
    <col min="11291" max="11291" width="8.25" style="209" customWidth="1"/>
    <col min="11292" max="11292" width="8.125" style="209" customWidth="1"/>
    <col min="11293" max="11293" width="8.25" style="209" customWidth="1"/>
    <col min="11294" max="11294" width="8.75" style="209" customWidth="1"/>
    <col min="11295" max="11295" width="7.125" style="209" customWidth="1"/>
    <col min="11296" max="11296" width="9.5" style="209" customWidth="1"/>
    <col min="11297" max="11297" width="8.625" style="209" customWidth="1"/>
    <col min="11298" max="11298" width="8.875" style="209" customWidth="1"/>
    <col min="11299" max="11299" width="8.125" style="209" customWidth="1"/>
    <col min="11300" max="11302" width="7.625" style="209" customWidth="1"/>
    <col min="11303" max="11303" width="6.5" style="209" customWidth="1"/>
    <col min="11304" max="11312" width="8.5" style="209" customWidth="1"/>
    <col min="11313" max="11313" width="7.5" style="209" customWidth="1"/>
    <col min="11314" max="11314" width="7.25" style="209" customWidth="1"/>
    <col min="11315" max="11315" width="8.5" style="209" customWidth="1"/>
    <col min="11316" max="11316" width="9.375" style="209" customWidth="1"/>
    <col min="11317" max="11319" width="8.5" style="209" customWidth="1"/>
    <col min="11320" max="11320" width="9.25" style="209" customWidth="1"/>
    <col min="11321" max="11323" width="8.5" style="209" customWidth="1"/>
    <col min="11324" max="11324" width="7.875" style="209" customWidth="1"/>
    <col min="11325" max="11325" width="8.5" style="209" customWidth="1"/>
    <col min="11326" max="11326" width="7.375" style="209" customWidth="1"/>
    <col min="11327" max="11327" width="7.625" style="209" customWidth="1"/>
    <col min="11328" max="11328" width="9.875" style="209" customWidth="1"/>
    <col min="11329" max="11329" width="8.25" style="209" customWidth="1"/>
    <col min="11330" max="11332" width="8.875" style="209" customWidth="1"/>
    <col min="11333" max="11333" width="8.75" style="209" customWidth="1"/>
    <col min="11334" max="11334" width="8" style="209" customWidth="1"/>
    <col min="11335" max="11335" width="8.25" style="209" customWidth="1"/>
    <col min="11336" max="11336" width="7.375" style="209" customWidth="1"/>
    <col min="11337" max="11337" width="8.875" style="209" customWidth="1"/>
    <col min="11338" max="11338" width="7.375" style="209" customWidth="1"/>
    <col min="11339" max="11339" width="6.625" style="209" customWidth="1"/>
    <col min="11340" max="11340" width="9.5" style="209" customWidth="1"/>
    <col min="11341" max="11341" width="8" style="209" customWidth="1"/>
    <col min="11342" max="11342" width="8.375" style="209" customWidth="1"/>
    <col min="11343" max="11343" width="8.5" style="209" customWidth="1"/>
    <col min="11344" max="11344" width="8" style="209" customWidth="1"/>
    <col min="11345" max="11345" width="7.875" style="209" customWidth="1"/>
    <col min="11346" max="11346" width="8" style="209" customWidth="1"/>
    <col min="11347" max="11347" width="8.5" style="209" customWidth="1"/>
    <col min="11348" max="11350" width="8.125" style="209" customWidth="1"/>
    <col min="11351" max="11351" width="8" style="209" customWidth="1"/>
    <col min="11352" max="11355" width="8.75" style="209" customWidth="1"/>
    <col min="11356" max="11356" width="7.625" style="209" customWidth="1"/>
    <col min="11357" max="11358" width="8.75" style="209" customWidth="1"/>
    <col min="11359" max="11359" width="7.75" style="209" customWidth="1"/>
    <col min="11360" max="11362" width="8" style="209" customWidth="1"/>
    <col min="11363" max="11363" width="7.875" style="209" customWidth="1"/>
    <col min="11364" max="11365" width="8.75" style="209" customWidth="1"/>
    <col min="11366" max="11366" width="8.375" style="209" customWidth="1"/>
    <col min="11367" max="11367" width="8" style="209" customWidth="1"/>
    <col min="11368" max="11368" width="7.875" style="209" customWidth="1"/>
    <col min="11369" max="11371" width="8.25" style="209" customWidth="1"/>
    <col min="11372" max="11374" width="8.125" style="209" customWidth="1"/>
    <col min="11375" max="11375" width="7.875" style="209" customWidth="1"/>
    <col min="11376" max="11376" width="8.875" style="209" customWidth="1"/>
    <col min="11377" max="11377" width="8.375" style="209" customWidth="1"/>
    <col min="11378" max="11378" width="8.25" style="209" customWidth="1"/>
    <col min="11379" max="11379" width="8.875" style="209" customWidth="1"/>
    <col min="11380" max="11380" width="8.125" style="209" customWidth="1"/>
    <col min="11381" max="11381" width="8.25" style="209" customWidth="1"/>
    <col min="11382" max="11382" width="8.875" style="209" customWidth="1"/>
    <col min="11383" max="11383" width="8" style="209" customWidth="1"/>
    <col min="11384" max="11386" width="7.875" style="209" customWidth="1"/>
    <col min="11387" max="11387" width="7.75" style="209" customWidth="1"/>
    <col min="11388" max="11391" width="8.875" style="209" customWidth="1"/>
    <col min="11392" max="11392" width="8.75" style="209" customWidth="1"/>
    <col min="11393" max="11393" width="8.625" style="209" customWidth="1"/>
    <col min="11394" max="11395" width="8.25" style="209" customWidth="1"/>
    <col min="11396" max="11396" width="7.625" style="209" customWidth="1"/>
    <col min="11397" max="11397" width="8" style="209" customWidth="1"/>
    <col min="11398" max="11398" width="7.125" style="209" customWidth="1"/>
    <col min="11399" max="11399" width="7.625" style="209" customWidth="1"/>
    <col min="11400" max="11400" width="8.875" style="209" customWidth="1"/>
    <col min="11401" max="11401" width="8.125" style="209" customWidth="1"/>
    <col min="11402" max="11406" width="8.875" style="209" customWidth="1"/>
    <col min="11407" max="11407" width="8" style="209" customWidth="1"/>
    <col min="11408" max="11408" width="7.75" style="209" customWidth="1"/>
    <col min="11409" max="11409" width="7.875" style="209" customWidth="1"/>
    <col min="11410" max="11410" width="7.375" style="209" customWidth="1"/>
    <col min="11411" max="11411" width="7.875" style="209" customWidth="1"/>
    <col min="11412" max="11418" width="8.875" style="209" customWidth="1"/>
    <col min="11419" max="11419" width="7.5" style="209" customWidth="1"/>
    <col min="11420" max="11420" width="7.25" style="209" customWidth="1"/>
    <col min="11421" max="11421" width="8.375" style="209" customWidth="1"/>
    <col min="11422" max="11422" width="7.25" style="209" customWidth="1"/>
    <col min="11423" max="11423" width="7.625" style="209" customWidth="1"/>
    <col min="11424" max="11521" width="9" style="209"/>
    <col min="11522" max="11522" width="4.5" style="209" bestFit="1" customWidth="1"/>
    <col min="11523" max="11523" width="69.125" style="209" customWidth="1"/>
    <col min="11524" max="11524" width="9.25" style="209" customWidth="1"/>
    <col min="11525" max="11525" width="8.625" style="209" customWidth="1"/>
    <col min="11526" max="11526" width="9.375" style="209" customWidth="1"/>
    <col min="11527" max="11527" width="10.25" style="209" customWidth="1"/>
    <col min="11528" max="11528" width="10.625" style="209" customWidth="1"/>
    <col min="11529" max="11529" width="10" style="209" customWidth="1"/>
    <col min="11530" max="11531" width="8.5" style="209" customWidth="1"/>
    <col min="11532" max="11532" width="7.5" style="209" customWidth="1"/>
    <col min="11533" max="11533" width="7.125" style="209" customWidth="1"/>
    <col min="11534" max="11534" width="8.125" style="209" customWidth="1"/>
    <col min="11535" max="11536" width="7.5" style="209" customWidth="1"/>
    <col min="11537" max="11537" width="8.625" style="209" customWidth="1"/>
    <col min="11538" max="11540" width="7.5" style="209" customWidth="1"/>
    <col min="11541" max="11541" width="8.375" style="209" customWidth="1"/>
    <col min="11542" max="11542" width="7.5" style="209" customWidth="1"/>
    <col min="11543" max="11543" width="8.25" style="209" customWidth="1"/>
    <col min="11544" max="11546" width="7.5" style="209" customWidth="1"/>
    <col min="11547" max="11547" width="8.25" style="209" customWidth="1"/>
    <col min="11548" max="11548" width="8.125" style="209" customWidth="1"/>
    <col min="11549" max="11549" width="8.25" style="209" customWidth="1"/>
    <col min="11550" max="11550" width="8.75" style="209" customWidth="1"/>
    <col min="11551" max="11551" width="7.125" style="209" customWidth="1"/>
    <col min="11552" max="11552" width="9.5" style="209" customWidth="1"/>
    <col min="11553" max="11553" width="8.625" style="209" customWidth="1"/>
    <col min="11554" max="11554" width="8.875" style="209" customWidth="1"/>
    <col min="11555" max="11555" width="8.125" style="209" customWidth="1"/>
    <col min="11556" max="11558" width="7.625" style="209" customWidth="1"/>
    <col min="11559" max="11559" width="6.5" style="209" customWidth="1"/>
    <col min="11560" max="11568" width="8.5" style="209" customWidth="1"/>
    <col min="11569" max="11569" width="7.5" style="209" customWidth="1"/>
    <col min="11570" max="11570" width="7.25" style="209" customWidth="1"/>
    <col min="11571" max="11571" width="8.5" style="209" customWidth="1"/>
    <col min="11572" max="11572" width="9.375" style="209" customWidth="1"/>
    <col min="11573" max="11575" width="8.5" style="209" customWidth="1"/>
    <col min="11576" max="11576" width="9.25" style="209" customWidth="1"/>
    <col min="11577" max="11579" width="8.5" style="209" customWidth="1"/>
    <col min="11580" max="11580" width="7.875" style="209" customWidth="1"/>
    <col min="11581" max="11581" width="8.5" style="209" customWidth="1"/>
    <col min="11582" max="11582" width="7.375" style="209" customWidth="1"/>
    <col min="11583" max="11583" width="7.625" style="209" customWidth="1"/>
    <col min="11584" max="11584" width="9.875" style="209" customWidth="1"/>
    <col min="11585" max="11585" width="8.25" style="209" customWidth="1"/>
    <col min="11586" max="11588" width="8.875" style="209" customWidth="1"/>
    <col min="11589" max="11589" width="8.75" style="209" customWidth="1"/>
    <col min="11590" max="11590" width="8" style="209" customWidth="1"/>
    <col min="11591" max="11591" width="8.25" style="209" customWidth="1"/>
    <col min="11592" max="11592" width="7.375" style="209" customWidth="1"/>
    <col min="11593" max="11593" width="8.875" style="209" customWidth="1"/>
    <col min="11594" max="11594" width="7.375" style="209" customWidth="1"/>
    <col min="11595" max="11595" width="6.625" style="209" customWidth="1"/>
    <col min="11596" max="11596" width="9.5" style="209" customWidth="1"/>
    <col min="11597" max="11597" width="8" style="209" customWidth="1"/>
    <col min="11598" max="11598" width="8.375" style="209" customWidth="1"/>
    <col min="11599" max="11599" width="8.5" style="209" customWidth="1"/>
    <col min="11600" max="11600" width="8" style="209" customWidth="1"/>
    <col min="11601" max="11601" width="7.875" style="209" customWidth="1"/>
    <col min="11602" max="11602" width="8" style="209" customWidth="1"/>
    <col min="11603" max="11603" width="8.5" style="209" customWidth="1"/>
    <col min="11604" max="11606" width="8.125" style="209" customWidth="1"/>
    <col min="11607" max="11607" width="8" style="209" customWidth="1"/>
    <col min="11608" max="11611" width="8.75" style="209" customWidth="1"/>
    <col min="11612" max="11612" width="7.625" style="209" customWidth="1"/>
    <col min="11613" max="11614" width="8.75" style="209" customWidth="1"/>
    <col min="11615" max="11615" width="7.75" style="209" customWidth="1"/>
    <col min="11616" max="11618" width="8" style="209" customWidth="1"/>
    <col min="11619" max="11619" width="7.875" style="209" customWidth="1"/>
    <col min="11620" max="11621" width="8.75" style="209" customWidth="1"/>
    <col min="11622" max="11622" width="8.375" style="209" customWidth="1"/>
    <col min="11623" max="11623" width="8" style="209" customWidth="1"/>
    <col min="11624" max="11624" width="7.875" style="209" customWidth="1"/>
    <col min="11625" max="11627" width="8.25" style="209" customWidth="1"/>
    <col min="11628" max="11630" width="8.125" style="209" customWidth="1"/>
    <col min="11631" max="11631" width="7.875" style="209" customWidth="1"/>
    <col min="11632" max="11632" width="8.875" style="209" customWidth="1"/>
    <col min="11633" max="11633" width="8.375" style="209" customWidth="1"/>
    <col min="11634" max="11634" width="8.25" style="209" customWidth="1"/>
    <col min="11635" max="11635" width="8.875" style="209" customWidth="1"/>
    <col min="11636" max="11636" width="8.125" style="209" customWidth="1"/>
    <col min="11637" max="11637" width="8.25" style="209" customWidth="1"/>
    <col min="11638" max="11638" width="8.875" style="209" customWidth="1"/>
    <col min="11639" max="11639" width="8" style="209" customWidth="1"/>
    <col min="11640" max="11642" width="7.875" style="209" customWidth="1"/>
    <col min="11643" max="11643" width="7.75" style="209" customWidth="1"/>
    <col min="11644" max="11647" width="8.875" style="209" customWidth="1"/>
    <col min="11648" max="11648" width="8.75" style="209" customWidth="1"/>
    <col min="11649" max="11649" width="8.625" style="209" customWidth="1"/>
    <col min="11650" max="11651" width="8.25" style="209" customWidth="1"/>
    <col min="11652" max="11652" width="7.625" style="209" customWidth="1"/>
    <col min="11653" max="11653" width="8" style="209" customWidth="1"/>
    <col min="11654" max="11654" width="7.125" style="209" customWidth="1"/>
    <col min="11655" max="11655" width="7.625" style="209" customWidth="1"/>
    <col min="11656" max="11656" width="8.875" style="209" customWidth="1"/>
    <col min="11657" max="11657" width="8.125" style="209" customWidth="1"/>
    <col min="11658" max="11662" width="8.875" style="209" customWidth="1"/>
    <col min="11663" max="11663" width="8" style="209" customWidth="1"/>
    <col min="11664" max="11664" width="7.75" style="209" customWidth="1"/>
    <col min="11665" max="11665" width="7.875" style="209" customWidth="1"/>
    <col min="11666" max="11666" width="7.375" style="209" customWidth="1"/>
    <col min="11667" max="11667" width="7.875" style="209" customWidth="1"/>
    <col min="11668" max="11674" width="8.875" style="209" customWidth="1"/>
    <col min="11675" max="11675" width="7.5" style="209" customWidth="1"/>
    <col min="11676" max="11676" width="7.25" style="209" customWidth="1"/>
    <col min="11677" max="11677" width="8.375" style="209" customWidth="1"/>
    <col min="11678" max="11678" width="7.25" style="209" customWidth="1"/>
    <col min="11679" max="11679" width="7.625" style="209" customWidth="1"/>
    <col min="11680" max="11777" width="9" style="209"/>
    <col min="11778" max="11778" width="4.5" style="209" bestFit="1" customWidth="1"/>
    <col min="11779" max="11779" width="69.125" style="209" customWidth="1"/>
    <col min="11780" max="11780" width="9.25" style="209" customWidth="1"/>
    <col min="11781" max="11781" width="8.625" style="209" customWidth="1"/>
    <col min="11782" max="11782" width="9.375" style="209" customWidth="1"/>
    <col min="11783" max="11783" width="10.25" style="209" customWidth="1"/>
    <col min="11784" max="11784" width="10.625" style="209" customWidth="1"/>
    <col min="11785" max="11785" width="10" style="209" customWidth="1"/>
    <col min="11786" max="11787" width="8.5" style="209" customWidth="1"/>
    <col min="11788" max="11788" width="7.5" style="209" customWidth="1"/>
    <col min="11789" max="11789" width="7.125" style="209" customWidth="1"/>
    <col min="11790" max="11790" width="8.125" style="209" customWidth="1"/>
    <col min="11791" max="11792" width="7.5" style="209" customWidth="1"/>
    <col min="11793" max="11793" width="8.625" style="209" customWidth="1"/>
    <col min="11794" max="11796" width="7.5" style="209" customWidth="1"/>
    <col min="11797" max="11797" width="8.375" style="209" customWidth="1"/>
    <col min="11798" max="11798" width="7.5" style="209" customWidth="1"/>
    <col min="11799" max="11799" width="8.25" style="209" customWidth="1"/>
    <col min="11800" max="11802" width="7.5" style="209" customWidth="1"/>
    <col min="11803" max="11803" width="8.25" style="209" customWidth="1"/>
    <col min="11804" max="11804" width="8.125" style="209" customWidth="1"/>
    <col min="11805" max="11805" width="8.25" style="209" customWidth="1"/>
    <col min="11806" max="11806" width="8.75" style="209" customWidth="1"/>
    <col min="11807" max="11807" width="7.125" style="209" customWidth="1"/>
    <col min="11808" max="11808" width="9.5" style="209" customWidth="1"/>
    <col min="11809" max="11809" width="8.625" style="209" customWidth="1"/>
    <col min="11810" max="11810" width="8.875" style="209" customWidth="1"/>
    <col min="11811" max="11811" width="8.125" style="209" customWidth="1"/>
    <col min="11812" max="11814" width="7.625" style="209" customWidth="1"/>
    <col min="11815" max="11815" width="6.5" style="209" customWidth="1"/>
    <col min="11816" max="11824" width="8.5" style="209" customWidth="1"/>
    <col min="11825" max="11825" width="7.5" style="209" customWidth="1"/>
    <col min="11826" max="11826" width="7.25" style="209" customWidth="1"/>
    <col min="11827" max="11827" width="8.5" style="209" customWidth="1"/>
    <col min="11828" max="11828" width="9.375" style="209" customWidth="1"/>
    <col min="11829" max="11831" width="8.5" style="209" customWidth="1"/>
    <col min="11832" max="11832" width="9.25" style="209" customWidth="1"/>
    <col min="11833" max="11835" width="8.5" style="209" customWidth="1"/>
    <col min="11836" max="11836" width="7.875" style="209" customWidth="1"/>
    <col min="11837" max="11837" width="8.5" style="209" customWidth="1"/>
    <col min="11838" max="11838" width="7.375" style="209" customWidth="1"/>
    <col min="11839" max="11839" width="7.625" style="209" customWidth="1"/>
    <col min="11840" max="11840" width="9.875" style="209" customWidth="1"/>
    <col min="11841" max="11841" width="8.25" style="209" customWidth="1"/>
    <col min="11842" max="11844" width="8.875" style="209" customWidth="1"/>
    <col min="11845" max="11845" width="8.75" style="209" customWidth="1"/>
    <col min="11846" max="11846" width="8" style="209" customWidth="1"/>
    <col min="11847" max="11847" width="8.25" style="209" customWidth="1"/>
    <col min="11848" max="11848" width="7.375" style="209" customWidth="1"/>
    <col min="11849" max="11849" width="8.875" style="209" customWidth="1"/>
    <col min="11850" max="11850" width="7.375" style="209" customWidth="1"/>
    <col min="11851" max="11851" width="6.625" style="209" customWidth="1"/>
    <col min="11852" max="11852" width="9.5" style="209" customWidth="1"/>
    <col min="11853" max="11853" width="8" style="209" customWidth="1"/>
    <col min="11854" max="11854" width="8.375" style="209" customWidth="1"/>
    <col min="11855" max="11855" width="8.5" style="209" customWidth="1"/>
    <col min="11856" max="11856" width="8" style="209" customWidth="1"/>
    <col min="11857" max="11857" width="7.875" style="209" customWidth="1"/>
    <col min="11858" max="11858" width="8" style="209" customWidth="1"/>
    <col min="11859" max="11859" width="8.5" style="209" customWidth="1"/>
    <col min="11860" max="11862" width="8.125" style="209" customWidth="1"/>
    <col min="11863" max="11863" width="8" style="209" customWidth="1"/>
    <col min="11864" max="11867" width="8.75" style="209" customWidth="1"/>
    <col min="11868" max="11868" width="7.625" style="209" customWidth="1"/>
    <col min="11869" max="11870" width="8.75" style="209" customWidth="1"/>
    <col min="11871" max="11871" width="7.75" style="209" customWidth="1"/>
    <col min="11872" max="11874" width="8" style="209" customWidth="1"/>
    <col min="11875" max="11875" width="7.875" style="209" customWidth="1"/>
    <col min="11876" max="11877" width="8.75" style="209" customWidth="1"/>
    <col min="11878" max="11878" width="8.375" style="209" customWidth="1"/>
    <col min="11879" max="11879" width="8" style="209" customWidth="1"/>
    <col min="11880" max="11880" width="7.875" style="209" customWidth="1"/>
    <col min="11881" max="11883" width="8.25" style="209" customWidth="1"/>
    <col min="11884" max="11886" width="8.125" style="209" customWidth="1"/>
    <col min="11887" max="11887" width="7.875" style="209" customWidth="1"/>
    <col min="11888" max="11888" width="8.875" style="209" customWidth="1"/>
    <col min="11889" max="11889" width="8.375" style="209" customWidth="1"/>
    <col min="11890" max="11890" width="8.25" style="209" customWidth="1"/>
    <col min="11891" max="11891" width="8.875" style="209" customWidth="1"/>
    <col min="11892" max="11892" width="8.125" style="209" customWidth="1"/>
    <col min="11893" max="11893" width="8.25" style="209" customWidth="1"/>
    <col min="11894" max="11894" width="8.875" style="209" customWidth="1"/>
    <col min="11895" max="11895" width="8" style="209" customWidth="1"/>
    <col min="11896" max="11898" width="7.875" style="209" customWidth="1"/>
    <col min="11899" max="11899" width="7.75" style="209" customWidth="1"/>
    <col min="11900" max="11903" width="8.875" style="209" customWidth="1"/>
    <col min="11904" max="11904" width="8.75" style="209" customWidth="1"/>
    <col min="11905" max="11905" width="8.625" style="209" customWidth="1"/>
    <col min="11906" max="11907" width="8.25" style="209" customWidth="1"/>
    <col min="11908" max="11908" width="7.625" style="209" customWidth="1"/>
    <col min="11909" max="11909" width="8" style="209" customWidth="1"/>
    <col min="11910" max="11910" width="7.125" style="209" customWidth="1"/>
    <col min="11911" max="11911" width="7.625" style="209" customWidth="1"/>
    <col min="11912" max="11912" width="8.875" style="209" customWidth="1"/>
    <col min="11913" max="11913" width="8.125" style="209" customWidth="1"/>
    <col min="11914" max="11918" width="8.875" style="209" customWidth="1"/>
    <col min="11919" max="11919" width="8" style="209" customWidth="1"/>
    <col min="11920" max="11920" width="7.75" style="209" customWidth="1"/>
    <col min="11921" max="11921" width="7.875" style="209" customWidth="1"/>
    <col min="11922" max="11922" width="7.375" style="209" customWidth="1"/>
    <col min="11923" max="11923" width="7.875" style="209" customWidth="1"/>
    <col min="11924" max="11930" width="8.875" style="209" customWidth="1"/>
    <col min="11931" max="11931" width="7.5" style="209" customWidth="1"/>
    <col min="11932" max="11932" width="7.25" style="209" customWidth="1"/>
    <col min="11933" max="11933" width="8.375" style="209" customWidth="1"/>
    <col min="11934" max="11934" width="7.25" style="209" customWidth="1"/>
    <col min="11935" max="11935" width="7.625" style="209" customWidth="1"/>
    <col min="11936" max="12033" width="9" style="209"/>
    <col min="12034" max="12034" width="4.5" style="209" bestFit="1" customWidth="1"/>
    <col min="12035" max="12035" width="69.125" style="209" customWidth="1"/>
    <col min="12036" max="12036" width="9.25" style="209" customWidth="1"/>
    <col min="12037" max="12037" width="8.625" style="209" customWidth="1"/>
    <col min="12038" max="12038" width="9.375" style="209" customWidth="1"/>
    <col min="12039" max="12039" width="10.25" style="209" customWidth="1"/>
    <col min="12040" max="12040" width="10.625" style="209" customWidth="1"/>
    <col min="12041" max="12041" width="10" style="209" customWidth="1"/>
    <col min="12042" max="12043" width="8.5" style="209" customWidth="1"/>
    <col min="12044" max="12044" width="7.5" style="209" customWidth="1"/>
    <col min="12045" max="12045" width="7.125" style="209" customWidth="1"/>
    <col min="12046" max="12046" width="8.125" style="209" customWidth="1"/>
    <col min="12047" max="12048" width="7.5" style="209" customWidth="1"/>
    <col min="12049" max="12049" width="8.625" style="209" customWidth="1"/>
    <col min="12050" max="12052" width="7.5" style="209" customWidth="1"/>
    <col min="12053" max="12053" width="8.375" style="209" customWidth="1"/>
    <col min="12054" max="12054" width="7.5" style="209" customWidth="1"/>
    <col min="12055" max="12055" width="8.25" style="209" customWidth="1"/>
    <col min="12056" max="12058" width="7.5" style="209" customWidth="1"/>
    <col min="12059" max="12059" width="8.25" style="209" customWidth="1"/>
    <col min="12060" max="12060" width="8.125" style="209" customWidth="1"/>
    <col min="12061" max="12061" width="8.25" style="209" customWidth="1"/>
    <col min="12062" max="12062" width="8.75" style="209" customWidth="1"/>
    <col min="12063" max="12063" width="7.125" style="209" customWidth="1"/>
    <col min="12064" max="12064" width="9.5" style="209" customWidth="1"/>
    <col min="12065" max="12065" width="8.625" style="209" customWidth="1"/>
    <col min="12066" max="12066" width="8.875" style="209" customWidth="1"/>
    <col min="12067" max="12067" width="8.125" style="209" customWidth="1"/>
    <col min="12068" max="12070" width="7.625" style="209" customWidth="1"/>
    <col min="12071" max="12071" width="6.5" style="209" customWidth="1"/>
    <col min="12072" max="12080" width="8.5" style="209" customWidth="1"/>
    <col min="12081" max="12081" width="7.5" style="209" customWidth="1"/>
    <col min="12082" max="12082" width="7.25" style="209" customWidth="1"/>
    <col min="12083" max="12083" width="8.5" style="209" customWidth="1"/>
    <col min="12084" max="12084" width="9.375" style="209" customWidth="1"/>
    <col min="12085" max="12087" width="8.5" style="209" customWidth="1"/>
    <col min="12088" max="12088" width="9.25" style="209" customWidth="1"/>
    <col min="12089" max="12091" width="8.5" style="209" customWidth="1"/>
    <col min="12092" max="12092" width="7.875" style="209" customWidth="1"/>
    <col min="12093" max="12093" width="8.5" style="209" customWidth="1"/>
    <col min="12094" max="12094" width="7.375" style="209" customWidth="1"/>
    <col min="12095" max="12095" width="7.625" style="209" customWidth="1"/>
    <col min="12096" max="12096" width="9.875" style="209" customWidth="1"/>
    <col min="12097" max="12097" width="8.25" style="209" customWidth="1"/>
    <col min="12098" max="12100" width="8.875" style="209" customWidth="1"/>
    <col min="12101" max="12101" width="8.75" style="209" customWidth="1"/>
    <col min="12102" max="12102" width="8" style="209" customWidth="1"/>
    <col min="12103" max="12103" width="8.25" style="209" customWidth="1"/>
    <col min="12104" max="12104" width="7.375" style="209" customWidth="1"/>
    <col min="12105" max="12105" width="8.875" style="209" customWidth="1"/>
    <col min="12106" max="12106" width="7.375" style="209" customWidth="1"/>
    <col min="12107" max="12107" width="6.625" style="209" customWidth="1"/>
    <col min="12108" max="12108" width="9.5" style="209" customWidth="1"/>
    <col min="12109" max="12109" width="8" style="209" customWidth="1"/>
    <col min="12110" max="12110" width="8.375" style="209" customWidth="1"/>
    <col min="12111" max="12111" width="8.5" style="209" customWidth="1"/>
    <col min="12112" max="12112" width="8" style="209" customWidth="1"/>
    <col min="12113" max="12113" width="7.875" style="209" customWidth="1"/>
    <col min="12114" max="12114" width="8" style="209" customWidth="1"/>
    <col min="12115" max="12115" width="8.5" style="209" customWidth="1"/>
    <col min="12116" max="12118" width="8.125" style="209" customWidth="1"/>
    <col min="12119" max="12119" width="8" style="209" customWidth="1"/>
    <col min="12120" max="12123" width="8.75" style="209" customWidth="1"/>
    <col min="12124" max="12124" width="7.625" style="209" customWidth="1"/>
    <col min="12125" max="12126" width="8.75" style="209" customWidth="1"/>
    <col min="12127" max="12127" width="7.75" style="209" customWidth="1"/>
    <col min="12128" max="12130" width="8" style="209" customWidth="1"/>
    <col min="12131" max="12131" width="7.875" style="209" customWidth="1"/>
    <col min="12132" max="12133" width="8.75" style="209" customWidth="1"/>
    <col min="12134" max="12134" width="8.375" style="209" customWidth="1"/>
    <col min="12135" max="12135" width="8" style="209" customWidth="1"/>
    <col min="12136" max="12136" width="7.875" style="209" customWidth="1"/>
    <col min="12137" max="12139" width="8.25" style="209" customWidth="1"/>
    <col min="12140" max="12142" width="8.125" style="209" customWidth="1"/>
    <col min="12143" max="12143" width="7.875" style="209" customWidth="1"/>
    <col min="12144" max="12144" width="8.875" style="209" customWidth="1"/>
    <col min="12145" max="12145" width="8.375" style="209" customWidth="1"/>
    <col min="12146" max="12146" width="8.25" style="209" customWidth="1"/>
    <col min="12147" max="12147" width="8.875" style="209" customWidth="1"/>
    <col min="12148" max="12148" width="8.125" style="209" customWidth="1"/>
    <col min="12149" max="12149" width="8.25" style="209" customWidth="1"/>
    <col min="12150" max="12150" width="8.875" style="209" customWidth="1"/>
    <col min="12151" max="12151" width="8" style="209" customWidth="1"/>
    <col min="12152" max="12154" width="7.875" style="209" customWidth="1"/>
    <col min="12155" max="12155" width="7.75" style="209" customWidth="1"/>
    <col min="12156" max="12159" width="8.875" style="209" customWidth="1"/>
    <col min="12160" max="12160" width="8.75" style="209" customWidth="1"/>
    <col min="12161" max="12161" width="8.625" style="209" customWidth="1"/>
    <col min="12162" max="12163" width="8.25" style="209" customWidth="1"/>
    <col min="12164" max="12164" width="7.625" style="209" customWidth="1"/>
    <col min="12165" max="12165" width="8" style="209" customWidth="1"/>
    <col min="12166" max="12166" width="7.125" style="209" customWidth="1"/>
    <col min="12167" max="12167" width="7.625" style="209" customWidth="1"/>
    <col min="12168" max="12168" width="8.875" style="209" customWidth="1"/>
    <col min="12169" max="12169" width="8.125" style="209" customWidth="1"/>
    <col min="12170" max="12174" width="8.875" style="209" customWidth="1"/>
    <col min="12175" max="12175" width="8" style="209" customWidth="1"/>
    <col min="12176" max="12176" width="7.75" style="209" customWidth="1"/>
    <col min="12177" max="12177" width="7.875" style="209" customWidth="1"/>
    <col min="12178" max="12178" width="7.375" style="209" customWidth="1"/>
    <col min="12179" max="12179" width="7.875" style="209" customWidth="1"/>
    <col min="12180" max="12186" width="8.875" style="209" customWidth="1"/>
    <col min="12187" max="12187" width="7.5" style="209" customWidth="1"/>
    <col min="12188" max="12188" width="7.25" style="209" customWidth="1"/>
    <col min="12189" max="12189" width="8.375" style="209" customWidth="1"/>
    <col min="12190" max="12190" width="7.25" style="209" customWidth="1"/>
    <col min="12191" max="12191" width="7.625" style="209" customWidth="1"/>
    <col min="12192" max="12289" width="9" style="209"/>
    <col min="12290" max="12290" width="4.5" style="209" bestFit="1" customWidth="1"/>
    <col min="12291" max="12291" width="69.125" style="209" customWidth="1"/>
    <col min="12292" max="12292" width="9.25" style="209" customWidth="1"/>
    <col min="12293" max="12293" width="8.625" style="209" customWidth="1"/>
    <col min="12294" max="12294" width="9.375" style="209" customWidth="1"/>
    <col min="12295" max="12295" width="10.25" style="209" customWidth="1"/>
    <col min="12296" max="12296" width="10.625" style="209" customWidth="1"/>
    <col min="12297" max="12297" width="10" style="209" customWidth="1"/>
    <col min="12298" max="12299" width="8.5" style="209" customWidth="1"/>
    <col min="12300" max="12300" width="7.5" style="209" customWidth="1"/>
    <col min="12301" max="12301" width="7.125" style="209" customWidth="1"/>
    <col min="12302" max="12302" width="8.125" style="209" customWidth="1"/>
    <col min="12303" max="12304" width="7.5" style="209" customWidth="1"/>
    <col min="12305" max="12305" width="8.625" style="209" customWidth="1"/>
    <col min="12306" max="12308" width="7.5" style="209" customWidth="1"/>
    <col min="12309" max="12309" width="8.375" style="209" customWidth="1"/>
    <col min="12310" max="12310" width="7.5" style="209" customWidth="1"/>
    <col min="12311" max="12311" width="8.25" style="209" customWidth="1"/>
    <col min="12312" max="12314" width="7.5" style="209" customWidth="1"/>
    <col min="12315" max="12315" width="8.25" style="209" customWidth="1"/>
    <col min="12316" max="12316" width="8.125" style="209" customWidth="1"/>
    <col min="12317" max="12317" width="8.25" style="209" customWidth="1"/>
    <col min="12318" max="12318" width="8.75" style="209" customWidth="1"/>
    <col min="12319" max="12319" width="7.125" style="209" customWidth="1"/>
    <col min="12320" max="12320" width="9.5" style="209" customWidth="1"/>
    <col min="12321" max="12321" width="8.625" style="209" customWidth="1"/>
    <col min="12322" max="12322" width="8.875" style="209" customWidth="1"/>
    <col min="12323" max="12323" width="8.125" style="209" customWidth="1"/>
    <col min="12324" max="12326" width="7.625" style="209" customWidth="1"/>
    <col min="12327" max="12327" width="6.5" style="209" customWidth="1"/>
    <col min="12328" max="12336" width="8.5" style="209" customWidth="1"/>
    <col min="12337" max="12337" width="7.5" style="209" customWidth="1"/>
    <col min="12338" max="12338" width="7.25" style="209" customWidth="1"/>
    <col min="12339" max="12339" width="8.5" style="209" customWidth="1"/>
    <col min="12340" max="12340" width="9.375" style="209" customWidth="1"/>
    <col min="12341" max="12343" width="8.5" style="209" customWidth="1"/>
    <col min="12344" max="12344" width="9.25" style="209" customWidth="1"/>
    <col min="12345" max="12347" width="8.5" style="209" customWidth="1"/>
    <col min="12348" max="12348" width="7.875" style="209" customWidth="1"/>
    <col min="12349" max="12349" width="8.5" style="209" customWidth="1"/>
    <col min="12350" max="12350" width="7.375" style="209" customWidth="1"/>
    <col min="12351" max="12351" width="7.625" style="209" customWidth="1"/>
    <col min="12352" max="12352" width="9.875" style="209" customWidth="1"/>
    <col min="12353" max="12353" width="8.25" style="209" customWidth="1"/>
    <col min="12354" max="12356" width="8.875" style="209" customWidth="1"/>
    <col min="12357" max="12357" width="8.75" style="209" customWidth="1"/>
    <col min="12358" max="12358" width="8" style="209" customWidth="1"/>
    <col min="12359" max="12359" width="8.25" style="209" customWidth="1"/>
    <col min="12360" max="12360" width="7.375" style="209" customWidth="1"/>
    <col min="12361" max="12361" width="8.875" style="209" customWidth="1"/>
    <col min="12362" max="12362" width="7.375" style="209" customWidth="1"/>
    <col min="12363" max="12363" width="6.625" style="209" customWidth="1"/>
    <col min="12364" max="12364" width="9.5" style="209" customWidth="1"/>
    <col min="12365" max="12365" width="8" style="209" customWidth="1"/>
    <col min="12366" max="12366" width="8.375" style="209" customWidth="1"/>
    <col min="12367" max="12367" width="8.5" style="209" customWidth="1"/>
    <col min="12368" max="12368" width="8" style="209" customWidth="1"/>
    <col min="12369" max="12369" width="7.875" style="209" customWidth="1"/>
    <col min="12370" max="12370" width="8" style="209" customWidth="1"/>
    <col min="12371" max="12371" width="8.5" style="209" customWidth="1"/>
    <col min="12372" max="12374" width="8.125" style="209" customWidth="1"/>
    <col min="12375" max="12375" width="8" style="209" customWidth="1"/>
    <col min="12376" max="12379" width="8.75" style="209" customWidth="1"/>
    <col min="12380" max="12380" width="7.625" style="209" customWidth="1"/>
    <col min="12381" max="12382" width="8.75" style="209" customWidth="1"/>
    <col min="12383" max="12383" width="7.75" style="209" customWidth="1"/>
    <col min="12384" max="12386" width="8" style="209" customWidth="1"/>
    <col min="12387" max="12387" width="7.875" style="209" customWidth="1"/>
    <col min="12388" max="12389" width="8.75" style="209" customWidth="1"/>
    <col min="12390" max="12390" width="8.375" style="209" customWidth="1"/>
    <col min="12391" max="12391" width="8" style="209" customWidth="1"/>
    <col min="12392" max="12392" width="7.875" style="209" customWidth="1"/>
    <col min="12393" max="12395" width="8.25" style="209" customWidth="1"/>
    <col min="12396" max="12398" width="8.125" style="209" customWidth="1"/>
    <col min="12399" max="12399" width="7.875" style="209" customWidth="1"/>
    <col min="12400" max="12400" width="8.875" style="209" customWidth="1"/>
    <col min="12401" max="12401" width="8.375" style="209" customWidth="1"/>
    <col min="12402" max="12402" width="8.25" style="209" customWidth="1"/>
    <col min="12403" max="12403" width="8.875" style="209" customWidth="1"/>
    <col min="12404" max="12404" width="8.125" style="209" customWidth="1"/>
    <col min="12405" max="12405" width="8.25" style="209" customWidth="1"/>
    <col min="12406" max="12406" width="8.875" style="209" customWidth="1"/>
    <col min="12407" max="12407" width="8" style="209" customWidth="1"/>
    <col min="12408" max="12410" width="7.875" style="209" customWidth="1"/>
    <col min="12411" max="12411" width="7.75" style="209" customWidth="1"/>
    <col min="12412" max="12415" width="8.875" style="209" customWidth="1"/>
    <col min="12416" max="12416" width="8.75" style="209" customWidth="1"/>
    <col min="12417" max="12417" width="8.625" style="209" customWidth="1"/>
    <col min="12418" max="12419" width="8.25" style="209" customWidth="1"/>
    <col min="12420" max="12420" width="7.625" style="209" customWidth="1"/>
    <col min="12421" max="12421" width="8" style="209" customWidth="1"/>
    <col min="12422" max="12422" width="7.125" style="209" customWidth="1"/>
    <col min="12423" max="12423" width="7.625" style="209" customWidth="1"/>
    <col min="12424" max="12424" width="8.875" style="209" customWidth="1"/>
    <col min="12425" max="12425" width="8.125" style="209" customWidth="1"/>
    <col min="12426" max="12430" width="8.875" style="209" customWidth="1"/>
    <col min="12431" max="12431" width="8" style="209" customWidth="1"/>
    <col min="12432" max="12432" width="7.75" style="209" customWidth="1"/>
    <col min="12433" max="12433" width="7.875" style="209" customWidth="1"/>
    <col min="12434" max="12434" width="7.375" style="209" customWidth="1"/>
    <col min="12435" max="12435" width="7.875" style="209" customWidth="1"/>
    <col min="12436" max="12442" width="8.875" style="209" customWidth="1"/>
    <col min="12443" max="12443" width="7.5" style="209" customWidth="1"/>
    <col min="12444" max="12444" width="7.25" style="209" customWidth="1"/>
    <col min="12445" max="12445" width="8.375" style="209" customWidth="1"/>
    <col min="12446" max="12446" width="7.25" style="209" customWidth="1"/>
    <col min="12447" max="12447" width="7.625" style="209" customWidth="1"/>
    <col min="12448" max="12545" width="9" style="209"/>
    <col min="12546" max="12546" width="4.5" style="209" bestFit="1" customWidth="1"/>
    <col min="12547" max="12547" width="69.125" style="209" customWidth="1"/>
    <col min="12548" max="12548" width="9.25" style="209" customWidth="1"/>
    <col min="12549" max="12549" width="8.625" style="209" customWidth="1"/>
    <col min="12550" max="12550" width="9.375" style="209" customWidth="1"/>
    <col min="12551" max="12551" width="10.25" style="209" customWidth="1"/>
    <col min="12552" max="12552" width="10.625" style="209" customWidth="1"/>
    <col min="12553" max="12553" width="10" style="209" customWidth="1"/>
    <col min="12554" max="12555" width="8.5" style="209" customWidth="1"/>
    <col min="12556" max="12556" width="7.5" style="209" customWidth="1"/>
    <col min="12557" max="12557" width="7.125" style="209" customWidth="1"/>
    <col min="12558" max="12558" width="8.125" style="209" customWidth="1"/>
    <col min="12559" max="12560" width="7.5" style="209" customWidth="1"/>
    <col min="12561" max="12561" width="8.625" style="209" customWidth="1"/>
    <col min="12562" max="12564" width="7.5" style="209" customWidth="1"/>
    <col min="12565" max="12565" width="8.375" style="209" customWidth="1"/>
    <col min="12566" max="12566" width="7.5" style="209" customWidth="1"/>
    <col min="12567" max="12567" width="8.25" style="209" customWidth="1"/>
    <col min="12568" max="12570" width="7.5" style="209" customWidth="1"/>
    <col min="12571" max="12571" width="8.25" style="209" customWidth="1"/>
    <col min="12572" max="12572" width="8.125" style="209" customWidth="1"/>
    <col min="12573" max="12573" width="8.25" style="209" customWidth="1"/>
    <col min="12574" max="12574" width="8.75" style="209" customWidth="1"/>
    <col min="12575" max="12575" width="7.125" style="209" customWidth="1"/>
    <col min="12576" max="12576" width="9.5" style="209" customWidth="1"/>
    <col min="12577" max="12577" width="8.625" style="209" customWidth="1"/>
    <col min="12578" max="12578" width="8.875" style="209" customWidth="1"/>
    <col min="12579" max="12579" width="8.125" style="209" customWidth="1"/>
    <col min="12580" max="12582" width="7.625" style="209" customWidth="1"/>
    <col min="12583" max="12583" width="6.5" style="209" customWidth="1"/>
    <col min="12584" max="12592" width="8.5" style="209" customWidth="1"/>
    <col min="12593" max="12593" width="7.5" style="209" customWidth="1"/>
    <col min="12594" max="12594" width="7.25" style="209" customWidth="1"/>
    <col min="12595" max="12595" width="8.5" style="209" customWidth="1"/>
    <col min="12596" max="12596" width="9.375" style="209" customWidth="1"/>
    <col min="12597" max="12599" width="8.5" style="209" customWidth="1"/>
    <col min="12600" max="12600" width="9.25" style="209" customWidth="1"/>
    <col min="12601" max="12603" width="8.5" style="209" customWidth="1"/>
    <col min="12604" max="12604" width="7.875" style="209" customWidth="1"/>
    <col min="12605" max="12605" width="8.5" style="209" customWidth="1"/>
    <col min="12606" max="12606" width="7.375" style="209" customWidth="1"/>
    <col min="12607" max="12607" width="7.625" style="209" customWidth="1"/>
    <col min="12608" max="12608" width="9.875" style="209" customWidth="1"/>
    <col min="12609" max="12609" width="8.25" style="209" customWidth="1"/>
    <col min="12610" max="12612" width="8.875" style="209" customWidth="1"/>
    <col min="12613" max="12613" width="8.75" style="209" customWidth="1"/>
    <col min="12614" max="12614" width="8" style="209" customWidth="1"/>
    <col min="12615" max="12615" width="8.25" style="209" customWidth="1"/>
    <col min="12616" max="12616" width="7.375" style="209" customWidth="1"/>
    <col min="12617" max="12617" width="8.875" style="209" customWidth="1"/>
    <col min="12618" max="12618" width="7.375" style="209" customWidth="1"/>
    <col min="12619" max="12619" width="6.625" style="209" customWidth="1"/>
    <col min="12620" max="12620" width="9.5" style="209" customWidth="1"/>
    <col min="12621" max="12621" width="8" style="209" customWidth="1"/>
    <col min="12622" max="12622" width="8.375" style="209" customWidth="1"/>
    <col min="12623" max="12623" width="8.5" style="209" customWidth="1"/>
    <col min="12624" max="12624" width="8" style="209" customWidth="1"/>
    <col min="12625" max="12625" width="7.875" style="209" customWidth="1"/>
    <col min="12626" max="12626" width="8" style="209" customWidth="1"/>
    <col min="12627" max="12627" width="8.5" style="209" customWidth="1"/>
    <col min="12628" max="12630" width="8.125" style="209" customWidth="1"/>
    <col min="12631" max="12631" width="8" style="209" customWidth="1"/>
    <col min="12632" max="12635" width="8.75" style="209" customWidth="1"/>
    <col min="12636" max="12636" width="7.625" style="209" customWidth="1"/>
    <col min="12637" max="12638" width="8.75" style="209" customWidth="1"/>
    <col min="12639" max="12639" width="7.75" style="209" customWidth="1"/>
    <col min="12640" max="12642" width="8" style="209" customWidth="1"/>
    <col min="12643" max="12643" width="7.875" style="209" customWidth="1"/>
    <col min="12644" max="12645" width="8.75" style="209" customWidth="1"/>
    <col min="12646" max="12646" width="8.375" style="209" customWidth="1"/>
    <col min="12647" max="12647" width="8" style="209" customWidth="1"/>
    <col min="12648" max="12648" width="7.875" style="209" customWidth="1"/>
    <col min="12649" max="12651" width="8.25" style="209" customWidth="1"/>
    <col min="12652" max="12654" width="8.125" style="209" customWidth="1"/>
    <col min="12655" max="12655" width="7.875" style="209" customWidth="1"/>
    <col min="12656" max="12656" width="8.875" style="209" customWidth="1"/>
    <col min="12657" max="12657" width="8.375" style="209" customWidth="1"/>
    <col min="12658" max="12658" width="8.25" style="209" customWidth="1"/>
    <col min="12659" max="12659" width="8.875" style="209" customWidth="1"/>
    <col min="12660" max="12660" width="8.125" style="209" customWidth="1"/>
    <col min="12661" max="12661" width="8.25" style="209" customWidth="1"/>
    <col min="12662" max="12662" width="8.875" style="209" customWidth="1"/>
    <col min="12663" max="12663" width="8" style="209" customWidth="1"/>
    <col min="12664" max="12666" width="7.875" style="209" customWidth="1"/>
    <col min="12667" max="12667" width="7.75" style="209" customWidth="1"/>
    <col min="12668" max="12671" width="8.875" style="209" customWidth="1"/>
    <col min="12672" max="12672" width="8.75" style="209" customWidth="1"/>
    <col min="12673" max="12673" width="8.625" style="209" customWidth="1"/>
    <col min="12674" max="12675" width="8.25" style="209" customWidth="1"/>
    <col min="12676" max="12676" width="7.625" style="209" customWidth="1"/>
    <col min="12677" max="12677" width="8" style="209" customWidth="1"/>
    <col min="12678" max="12678" width="7.125" style="209" customWidth="1"/>
    <col min="12679" max="12679" width="7.625" style="209" customWidth="1"/>
    <col min="12680" max="12680" width="8.875" style="209" customWidth="1"/>
    <col min="12681" max="12681" width="8.125" style="209" customWidth="1"/>
    <col min="12682" max="12686" width="8.875" style="209" customWidth="1"/>
    <col min="12687" max="12687" width="8" style="209" customWidth="1"/>
    <col min="12688" max="12688" width="7.75" style="209" customWidth="1"/>
    <col min="12689" max="12689" width="7.875" style="209" customWidth="1"/>
    <col min="12690" max="12690" width="7.375" style="209" customWidth="1"/>
    <col min="12691" max="12691" width="7.875" style="209" customWidth="1"/>
    <col min="12692" max="12698" width="8.875" style="209" customWidth="1"/>
    <col min="12699" max="12699" width="7.5" style="209" customWidth="1"/>
    <col min="12700" max="12700" width="7.25" style="209" customWidth="1"/>
    <col min="12701" max="12701" width="8.375" style="209" customWidth="1"/>
    <col min="12702" max="12702" width="7.25" style="209" customWidth="1"/>
    <col min="12703" max="12703" width="7.625" style="209" customWidth="1"/>
    <col min="12704" max="12801" width="9" style="209"/>
    <col min="12802" max="12802" width="4.5" style="209" bestFit="1" customWidth="1"/>
    <col min="12803" max="12803" width="69.125" style="209" customWidth="1"/>
    <col min="12804" max="12804" width="9.25" style="209" customWidth="1"/>
    <col min="12805" max="12805" width="8.625" style="209" customWidth="1"/>
    <col min="12806" max="12806" width="9.375" style="209" customWidth="1"/>
    <col min="12807" max="12807" width="10.25" style="209" customWidth="1"/>
    <col min="12808" max="12808" width="10.625" style="209" customWidth="1"/>
    <col min="12809" max="12809" width="10" style="209" customWidth="1"/>
    <col min="12810" max="12811" width="8.5" style="209" customWidth="1"/>
    <col min="12812" max="12812" width="7.5" style="209" customWidth="1"/>
    <col min="12813" max="12813" width="7.125" style="209" customWidth="1"/>
    <col min="12814" max="12814" width="8.125" style="209" customWidth="1"/>
    <col min="12815" max="12816" width="7.5" style="209" customWidth="1"/>
    <col min="12817" max="12817" width="8.625" style="209" customWidth="1"/>
    <col min="12818" max="12820" width="7.5" style="209" customWidth="1"/>
    <col min="12821" max="12821" width="8.375" style="209" customWidth="1"/>
    <col min="12822" max="12822" width="7.5" style="209" customWidth="1"/>
    <col min="12823" max="12823" width="8.25" style="209" customWidth="1"/>
    <col min="12824" max="12826" width="7.5" style="209" customWidth="1"/>
    <col min="12827" max="12827" width="8.25" style="209" customWidth="1"/>
    <col min="12828" max="12828" width="8.125" style="209" customWidth="1"/>
    <col min="12829" max="12829" width="8.25" style="209" customWidth="1"/>
    <col min="12830" max="12830" width="8.75" style="209" customWidth="1"/>
    <col min="12831" max="12831" width="7.125" style="209" customWidth="1"/>
    <col min="12832" max="12832" width="9.5" style="209" customWidth="1"/>
    <col min="12833" max="12833" width="8.625" style="209" customWidth="1"/>
    <col min="12834" max="12834" width="8.875" style="209" customWidth="1"/>
    <col min="12835" max="12835" width="8.125" style="209" customWidth="1"/>
    <col min="12836" max="12838" width="7.625" style="209" customWidth="1"/>
    <col min="12839" max="12839" width="6.5" style="209" customWidth="1"/>
    <col min="12840" max="12848" width="8.5" style="209" customWidth="1"/>
    <col min="12849" max="12849" width="7.5" style="209" customWidth="1"/>
    <col min="12850" max="12850" width="7.25" style="209" customWidth="1"/>
    <col min="12851" max="12851" width="8.5" style="209" customWidth="1"/>
    <col min="12852" max="12852" width="9.375" style="209" customWidth="1"/>
    <col min="12853" max="12855" width="8.5" style="209" customWidth="1"/>
    <col min="12856" max="12856" width="9.25" style="209" customWidth="1"/>
    <col min="12857" max="12859" width="8.5" style="209" customWidth="1"/>
    <col min="12860" max="12860" width="7.875" style="209" customWidth="1"/>
    <col min="12861" max="12861" width="8.5" style="209" customWidth="1"/>
    <col min="12862" max="12862" width="7.375" style="209" customWidth="1"/>
    <col min="12863" max="12863" width="7.625" style="209" customWidth="1"/>
    <col min="12864" max="12864" width="9.875" style="209" customWidth="1"/>
    <col min="12865" max="12865" width="8.25" style="209" customWidth="1"/>
    <col min="12866" max="12868" width="8.875" style="209" customWidth="1"/>
    <col min="12869" max="12869" width="8.75" style="209" customWidth="1"/>
    <col min="12870" max="12870" width="8" style="209" customWidth="1"/>
    <col min="12871" max="12871" width="8.25" style="209" customWidth="1"/>
    <col min="12872" max="12872" width="7.375" style="209" customWidth="1"/>
    <col min="12873" max="12873" width="8.875" style="209" customWidth="1"/>
    <col min="12874" max="12874" width="7.375" style="209" customWidth="1"/>
    <col min="12875" max="12875" width="6.625" style="209" customWidth="1"/>
    <col min="12876" max="12876" width="9.5" style="209" customWidth="1"/>
    <col min="12877" max="12877" width="8" style="209" customWidth="1"/>
    <col min="12878" max="12878" width="8.375" style="209" customWidth="1"/>
    <col min="12879" max="12879" width="8.5" style="209" customWidth="1"/>
    <col min="12880" max="12880" width="8" style="209" customWidth="1"/>
    <col min="12881" max="12881" width="7.875" style="209" customWidth="1"/>
    <col min="12882" max="12882" width="8" style="209" customWidth="1"/>
    <col min="12883" max="12883" width="8.5" style="209" customWidth="1"/>
    <col min="12884" max="12886" width="8.125" style="209" customWidth="1"/>
    <col min="12887" max="12887" width="8" style="209" customWidth="1"/>
    <col min="12888" max="12891" width="8.75" style="209" customWidth="1"/>
    <col min="12892" max="12892" width="7.625" style="209" customWidth="1"/>
    <col min="12893" max="12894" width="8.75" style="209" customWidth="1"/>
    <col min="12895" max="12895" width="7.75" style="209" customWidth="1"/>
    <col min="12896" max="12898" width="8" style="209" customWidth="1"/>
    <col min="12899" max="12899" width="7.875" style="209" customWidth="1"/>
    <col min="12900" max="12901" width="8.75" style="209" customWidth="1"/>
    <col min="12902" max="12902" width="8.375" style="209" customWidth="1"/>
    <col min="12903" max="12903" width="8" style="209" customWidth="1"/>
    <col min="12904" max="12904" width="7.875" style="209" customWidth="1"/>
    <col min="12905" max="12907" width="8.25" style="209" customWidth="1"/>
    <col min="12908" max="12910" width="8.125" style="209" customWidth="1"/>
    <col min="12911" max="12911" width="7.875" style="209" customWidth="1"/>
    <col min="12912" max="12912" width="8.875" style="209" customWidth="1"/>
    <col min="12913" max="12913" width="8.375" style="209" customWidth="1"/>
    <col min="12914" max="12914" width="8.25" style="209" customWidth="1"/>
    <col min="12915" max="12915" width="8.875" style="209" customWidth="1"/>
    <col min="12916" max="12916" width="8.125" style="209" customWidth="1"/>
    <col min="12917" max="12917" width="8.25" style="209" customWidth="1"/>
    <col min="12918" max="12918" width="8.875" style="209" customWidth="1"/>
    <col min="12919" max="12919" width="8" style="209" customWidth="1"/>
    <col min="12920" max="12922" width="7.875" style="209" customWidth="1"/>
    <col min="12923" max="12923" width="7.75" style="209" customWidth="1"/>
    <col min="12924" max="12927" width="8.875" style="209" customWidth="1"/>
    <col min="12928" max="12928" width="8.75" style="209" customWidth="1"/>
    <col min="12929" max="12929" width="8.625" style="209" customWidth="1"/>
    <col min="12930" max="12931" width="8.25" style="209" customWidth="1"/>
    <col min="12932" max="12932" width="7.625" style="209" customWidth="1"/>
    <col min="12933" max="12933" width="8" style="209" customWidth="1"/>
    <col min="12934" max="12934" width="7.125" style="209" customWidth="1"/>
    <col min="12935" max="12935" width="7.625" style="209" customWidth="1"/>
    <col min="12936" max="12936" width="8.875" style="209" customWidth="1"/>
    <col min="12937" max="12937" width="8.125" style="209" customWidth="1"/>
    <col min="12938" max="12942" width="8.875" style="209" customWidth="1"/>
    <col min="12943" max="12943" width="8" style="209" customWidth="1"/>
    <col min="12944" max="12944" width="7.75" style="209" customWidth="1"/>
    <col min="12945" max="12945" width="7.875" style="209" customWidth="1"/>
    <col min="12946" max="12946" width="7.375" style="209" customWidth="1"/>
    <col min="12947" max="12947" width="7.875" style="209" customWidth="1"/>
    <col min="12948" max="12954" width="8.875" style="209" customWidth="1"/>
    <col min="12955" max="12955" width="7.5" style="209" customWidth="1"/>
    <col min="12956" max="12956" width="7.25" style="209" customWidth="1"/>
    <col min="12957" max="12957" width="8.375" style="209" customWidth="1"/>
    <col min="12958" max="12958" width="7.25" style="209" customWidth="1"/>
    <col min="12959" max="12959" width="7.625" style="209" customWidth="1"/>
    <col min="12960" max="13057" width="9" style="209"/>
    <col min="13058" max="13058" width="4.5" style="209" bestFit="1" customWidth="1"/>
    <col min="13059" max="13059" width="69.125" style="209" customWidth="1"/>
    <col min="13060" max="13060" width="9.25" style="209" customWidth="1"/>
    <col min="13061" max="13061" width="8.625" style="209" customWidth="1"/>
    <col min="13062" max="13062" width="9.375" style="209" customWidth="1"/>
    <col min="13063" max="13063" width="10.25" style="209" customWidth="1"/>
    <col min="13064" max="13064" width="10.625" style="209" customWidth="1"/>
    <col min="13065" max="13065" width="10" style="209" customWidth="1"/>
    <col min="13066" max="13067" width="8.5" style="209" customWidth="1"/>
    <col min="13068" max="13068" width="7.5" style="209" customWidth="1"/>
    <col min="13069" max="13069" width="7.125" style="209" customWidth="1"/>
    <col min="13070" max="13070" width="8.125" style="209" customWidth="1"/>
    <col min="13071" max="13072" width="7.5" style="209" customWidth="1"/>
    <col min="13073" max="13073" width="8.625" style="209" customWidth="1"/>
    <col min="13074" max="13076" width="7.5" style="209" customWidth="1"/>
    <col min="13077" max="13077" width="8.375" style="209" customWidth="1"/>
    <col min="13078" max="13078" width="7.5" style="209" customWidth="1"/>
    <col min="13079" max="13079" width="8.25" style="209" customWidth="1"/>
    <col min="13080" max="13082" width="7.5" style="209" customWidth="1"/>
    <col min="13083" max="13083" width="8.25" style="209" customWidth="1"/>
    <col min="13084" max="13084" width="8.125" style="209" customWidth="1"/>
    <col min="13085" max="13085" width="8.25" style="209" customWidth="1"/>
    <col min="13086" max="13086" width="8.75" style="209" customWidth="1"/>
    <col min="13087" max="13087" width="7.125" style="209" customWidth="1"/>
    <col min="13088" max="13088" width="9.5" style="209" customWidth="1"/>
    <col min="13089" max="13089" width="8.625" style="209" customWidth="1"/>
    <col min="13090" max="13090" width="8.875" style="209" customWidth="1"/>
    <col min="13091" max="13091" width="8.125" style="209" customWidth="1"/>
    <col min="13092" max="13094" width="7.625" style="209" customWidth="1"/>
    <col min="13095" max="13095" width="6.5" style="209" customWidth="1"/>
    <col min="13096" max="13104" width="8.5" style="209" customWidth="1"/>
    <col min="13105" max="13105" width="7.5" style="209" customWidth="1"/>
    <col min="13106" max="13106" width="7.25" style="209" customWidth="1"/>
    <col min="13107" max="13107" width="8.5" style="209" customWidth="1"/>
    <col min="13108" max="13108" width="9.375" style="209" customWidth="1"/>
    <col min="13109" max="13111" width="8.5" style="209" customWidth="1"/>
    <col min="13112" max="13112" width="9.25" style="209" customWidth="1"/>
    <col min="13113" max="13115" width="8.5" style="209" customWidth="1"/>
    <col min="13116" max="13116" width="7.875" style="209" customWidth="1"/>
    <col min="13117" max="13117" width="8.5" style="209" customWidth="1"/>
    <col min="13118" max="13118" width="7.375" style="209" customWidth="1"/>
    <col min="13119" max="13119" width="7.625" style="209" customWidth="1"/>
    <col min="13120" max="13120" width="9.875" style="209" customWidth="1"/>
    <col min="13121" max="13121" width="8.25" style="209" customWidth="1"/>
    <col min="13122" max="13124" width="8.875" style="209" customWidth="1"/>
    <col min="13125" max="13125" width="8.75" style="209" customWidth="1"/>
    <col min="13126" max="13126" width="8" style="209" customWidth="1"/>
    <col min="13127" max="13127" width="8.25" style="209" customWidth="1"/>
    <col min="13128" max="13128" width="7.375" style="209" customWidth="1"/>
    <col min="13129" max="13129" width="8.875" style="209" customWidth="1"/>
    <col min="13130" max="13130" width="7.375" style="209" customWidth="1"/>
    <col min="13131" max="13131" width="6.625" style="209" customWidth="1"/>
    <col min="13132" max="13132" width="9.5" style="209" customWidth="1"/>
    <col min="13133" max="13133" width="8" style="209" customWidth="1"/>
    <col min="13134" max="13134" width="8.375" style="209" customWidth="1"/>
    <col min="13135" max="13135" width="8.5" style="209" customWidth="1"/>
    <col min="13136" max="13136" width="8" style="209" customWidth="1"/>
    <col min="13137" max="13137" width="7.875" style="209" customWidth="1"/>
    <col min="13138" max="13138" width="8" style="209" customWidth="1"/>
    <col min="13139" max="13139" width="8.5" style="209" customWidth="1"/>
    <col min="13140" max="13142" width="8.125" style="209" customWidth="1"/>
    <col min="13143" max="13143" width="8" style="209" customWidth="1"/>
    <col min="13144" max="13147" width="8.75" style="209" customWidth="1"/>
    <col min="13148" max="13148" width="7.625" style="209" customWidth="1"/>
    <col min="13149" max="13150" width="8.75" style="209" customWidth="1"/>
    <col min="13151" max="13151" width="7.75" style="209" customWidth="1"/>
    <col min="13152" max="13154" width="8" style="209" customWidth="1"/>
    <col min="13155" max="13155" width="7.875" style="209" customWidth="1"/>
    <col min="13156" max="13157" width="8.75" style="209" customWidth="1"/>
    <col min="13158" max="13158" width="8.375" style="209" customWidth="1"/>
    <col min="13159" max="13159" width="8" style="209" customWidth="1"/>
    <col min="13160" max="13160" width="7.875" style="209" customWidth="1"/>
    <col min="13161" max="13163" width="8.25" style="209" customWidth="1"/>
    <col min="13164" max="13166" width="8.125" style="209" customWidth="1"/>
    <col min="13167" max="13167" width="7.875" style="209" customWidth="1"/>
    <col min="13168" max="13168" width="8.875" style="209" customWidth="1"/>
    <col min="13169" max="13169" width="8.375" style="209" customWidth="1"/>
    <col min="13170" max="13170" width="8.25" style="209" customWidth="1"/>
    <col min="13171" max="13171" width="8.875" style="209" customWidth="1"/>
    <col min="13172" max="13172" width="8.125" style="209" customWidth="1"/>
    <col min="13173" max="13173" width="8.25" style="209" customWidth="1"/>
    <col min="13174" max="13174" width="8.875" style="209" customWidth="1"/>
    <col min="13175" max="13175" width="8" style="209" customWidth="1"/>
    <col min="13176" max="13178" width="7.875" style="209" customWidth="1"/>
    <col min="13179" max="13179" width="7.75" style="209" customWidth="1"/>
    <col min="13180" max="13183" width="8.875" style="209" customWidth="1"/>
    <col min="13184" max="13184" width="8.75" style="209" customWidth="1"/>
    <col min="13185" max="13185" width="8.625" style="209" customWidth="1"/>
    <col min="13186" max="13187" width="8.25" style="209" customWidth="1"/>
    <col min="13188" max="13188" width="7.625" style="209" customWidth="1"/>
    <col min="13189" max="13189" width="8" style="209" customWidth="1"/>
    <col min="13190" max="13190" width="7.125" style="209" customWidth="1"/>
    <col min="13191" max="13191" width="7.625" style="209" customWidth="1"/>
    <col min="13192" max="13192" width="8.875" style="209" customWidth="1"/>
    <col min="13193" max="13193" width="8.125" style="209" customWidth="1"/>
    <col min="13194" max="13198" width="8.875" style="209" customWidth="1"/>
    <col min="13199" max="13199" width="8" style="209" customWidth="1"/>
    <col min="13200" max="13200" width="7.75" style="209" customWidth="1"/>
    <col min="13201" max="13201" width="7.875" style="209" customWidth="1"/>
    <col min="13202" max="13202" width="7.375" style="209" customWidth="1"/>
    <col min="13203" max="13203" width="7.875" style="209" customWidth="1"/>
    <col min="13204" max="13210" width="8.875" style="209" customWidth="1"/>
    <col min="13211" max="13211" width="7.5" style="209" customWidth="1"/>
    <col min="13212" max="13212" width="7.25" style="209" customWidth="1"/>
    <col min="13213" max="13213" width="8.375" style="209" customWidth="1"/>
    <col min="13214" max="13214" width="7.25" style="209" customWidth="1"/>
    <col min="13215" max="13215" width="7.625" style="209" customWidth="1"/>
    <col min="13216" max="13313" width="9" style="209"/>
    <col min="13314" max="13314" width="4.5" style="209" bestFit="1" customWidth="1"/>
    <col min="13315" max="13315" width="69.125" style="209" customWidth="1"/>
    <col min="13316" max="13316" width="9.25" style="209" customWidth="1"/>
    <col min="13317" max="13317" width="8.625" style="209" customWidth="1"/>
    <col min="13318" max="13318" width="9.375" style="209" customWidth="1"/>
    <col min="13319" max="13319" width="10.25" style="209" customWidth="1"/>
    <col min="13320" max="13320" width="10.625" style="209" customWidth="1"/>
    <col min="13321" max="13321" width="10" style="209" customWidth="1"/>
    <col min="13322" max="13323" width="8.5" style="209" customWidth="1"/>
    <col min="13324" max="13324" width="7.5" style="209" customWidth="1"/>
    <col min="13325" max="13325" width="7.125" style="209" customWidth="1"/>
    <col min="13326" max="13326" width="8.125" style="209" customWidth="1"/>
    <col min="13327" max="13328" width="7.5" style="209" customWidth="1"/>
    <col min="13329" max="13329" width="8.625" style="209" customWidth="1"/>
    <col min="13330" max="13332" width="7.5" style="209" customWidth="1"/>
    <col min="13333" max="13333" width="8.375" style="209" customWidth="1"/>
    <col min="13334" max="13334" width="7.5" style="209" customWidth="1"/>
    <col min="13335" max="13335" width="8.25" style="209" customWidth="1"/>
    <col min="13336" max="13338" width="7.5" style="209" customWidth="1"/>
    <col min="13339" max="13339" width="8.25" style="209" customWidth="1"/>
    <col min="13340" max="13340" width="8.125" style="209" customWidth="1"/>
    <col min="13341" max="13341" width="8.25" style="209" customWidth="1"/>
    <col min="13342" max="13342" width="8.75" style="209" customWidth="1"/>
    <col min="13343" max="13343" width="7.125" style="209" customWidth="1"/>
    <col min="13344" max="13344" width="9.5" style="209" customWidth="1"/>
    <col min="13345" max="13345" width="8.625" style="209" customWidth="1"/>
    <col min="13346" max="13346" width="8.875" style="209" customWidth="1"/>
    <col min="13347" max="13347" width="8.125" style="209" customWidth="1"/>
    <col min="13348" max="13350" width="7.625" style="209" customWidth="1"/>
    <col min="13351" max="13351" width="6.5" style="209" customWidth="1"/>
    <col min="13352" max="13360" width="8.5" style="209" customWidth="1"/>
    <col min="13361" max="13361" width="7.5" style="209" customWidth="1"/>
    <col min="13362" max="13362" width="7.25" style="209" customWidth="1"/>
    <col min="13363" max="13363" width="8.5" style="209" customWidth="1"/>
    <col min="13364" max="13364" width="9.375" style="209" customWidth="1"/>
    <col min="13365" max="13367" width="8.5" style="209" customWidth="1"/>
    <col min="13368" max="13368" width="9.25" style="209" customWidth="1"/>
    <col min="13369" max="13371" width="8.5" style="209" customWidth="1"/>
    <col min="13372" max="13372" width="7.875" style="209" customWidth="1"/>
    <col min="13373" max="13373" width="8.5" style="209" customWidth="1"/>
    <col min="13374" max="13374" width="7.375" style="209" customWidth="1"/>
    <col min="13375" max="13375" width="7.625" style="209" customWidth="1"/>
    <col min="13376" max="13376" width="9.875" style="209" customWidth="1"/>
    <col min="13377" max="13377" width="8.25" style="209" customWidth="1"/>
    <col min="13378" max="13380" width="8.875" style="209" customWidth="1"/>
    <col min="13381" max="13381" width="8.75" style="209" customWidth="1"/>
    <col min="13382" max="13382" width="8" style="209" customWidth="1"/>
    <col min="13383" max="13383" width="8.25" style="209" customWidth="1"/>
    <col min="13384" max="13384" width="7.375" style="209" customWidth="1"/>
    <col min="13385" max="13385" width="8.875" style="209" customWidth="1"/>
    <col min="13386" max="13386" width="7.375" style="209" customWidth="1"/>
    <col min="13387" max="13387" width="6.625" style="209" customWidth="1"/>
    <col min="13388" max="13388" width="9.5" style="209" customWidth="1"/>
    <col min="13389" max="13389" width="8" style="209" customWidth="1"/>
    <col min="13390" max="13390" width="8.375" style="209" customWidth="1"/>
    <col min="13391" max="13391" width="8.5" style="209" customWidth="1"/>
    <col min="13392" max="13392" width="8" style="209" customWidth="1"/>
    <col min="13393" max="13393" width="7.875" style="209" customWidth="1"/>
    <col min="13394" max="13394" width="8" style="209" customWidth="1"/>
    <col min="13395" max="13395" width="8.5" style="209" customWidth="1"/>
    <col min="13396" max="13398" width="8.125" style="209" customWidth="1"/>
    <col min="13399" max="13399" width="8" style="209" customWidth="1"/>
    <col min="13400" max="13403" width="8.75" style="209" customWidth="1"/>
    <col min="13404" max="13404" width="7.625" style="209" customWidth="1"/>
    <col min="13405" max="13406" width="8.75" style="209" customWidth="1"/>
    <col min="13407" max="13407" width="7.75" style="209" customWidth="1"/>
    <col min="13408" max="13410" width="8" style="209" customWidth="1"/>
    <col min="13411" max="13411" width="7.875" style="209" customWidth="1"/>
    <col min="13412" max="13413" width="8.75" style="209" customWidth="1"/>
    <col min="13414" max="13414" width="8.375" style="209" customWidth="1"/>
    <col min="13415" max="13415" width="8" style="209" customWidth="1"/>
    <col min="13416" max="13416" width="7.875" style="209" customWidth="1"/>
    <col min="13417" max="13419" width="8.25" style="209" customWidth="1"/>
    <col min="13420" max="13422" width="8.125" style="209" customWidth="1"/>
    <col min="13423" max="13423" width="7.875" style="209" customWidth="1"/>
    <col min="13424" max="13424" width="8.875" style="209" customWidth="1"/>
    <col min="13425" max="13425" width="8.375" style="209" customWidth="1"/>
    <col min="13426" max="13426" width="8.25" style="209" customWidth="1"/>
    <col min="13427" max="13427" width="8.875" style="209" customWidth="1"/>
    <col min="13428" max="13428" width="8.125" style="209" customWidth="1"/>
    <col min="13429" max="13429" width="8.25" style="209" customWidth="1"/>
    <col min="13430" max="13430" width="8.875" style="209" customWidth="1"/>
    <col min="13431" max="13431" width="8" style="209" customWidth="1"/>
    <col min="13432" max="13434" width="7.875" style="209" customWidth="1"/>
    <col min="13435" max="13435" width="7.75" style="209" customWidth="1"/>
    <col min="13436" max="13439" width="8.875" style="209" customWidth="1"/>
    <col min="13440" max="13440" width="8.75" style="209" customWidth="1"/>
    <col min="13441" max="13441" width="8.625" style="209" customWidth="1"/>
    <col min="13442" max="13443" width="8.25" style="209" customWidth="1"/>
    <col min="13444" max="13444" width="7.625" style="209" customWidth="1"/>
    <col min="13445" max="13445" width="8" style="209" customWidth="1"/>
    <col min="13446" max="13446" width="7.125" style="209" customWidth="1"/>
    <col min="13447" max="13447" width="7.625" style="209" customWidth="1"/>
    <col min="13448" max="13448" width="8.875" style="209" customWidth="1"/>
    <col min="13449" max="13449" width="8.125" style="209" customWidth="1"/>
    <col min="13450" max="13454" width="8.875" style="209" customWidth="1"/>
    <col min="13455" max="13455" width="8" style="209" customWidth="1"/>
    <col min="13456" max="13456" width="7.75" style="209" customWidth="1"/>
    <col min="13457" max="13457" width="7.875" style="209" customWidth="1"/>
    <col min="13458" max="13458" width="7.375" style="209" customWidth="1"/>
    <col min="13459" max="13459" width="7.875" style="209" customWidth="1"/>
    <col min="13460" max="13466" width="8.875" style="209" customWidth="1"/>
    <col min="13467" max="13467" width="7.5" style="209" customWidth="1"/>
    <col min="13468" max="13468" width="7.25" style="209" customWidth="1"/>
    <col min="13469" max="13469" width="8.375" style="209" customWidth="1"/>
    <col min="13470" max="13470" width="7.25" style="209" customWidth="1"/>
    <col min="13471" max="13471" width="7.625" style="209" customWidth="1"/>
    <col min="13472" max="13569" width="9" style="209"/>
    <col min="13570" max="13570" width="4.5" style="209" bestFit="1" customWidth="1"/>
    <col min="13571" max="13571" width="69.125" style="209" customWidth="1"/>
    <col min="13572" max="13572" width="9.25" style="209" customWidth="1"/>
    <col min="13573" max="13573" width="8.625" style="209" customWidth="1"/>
    <col min="13574" max="13574" width="9.375" style="209" customWidth="1"/>
    <col min="13575" max="13575" width="10.25" style="209" customWidth="1"/>
    <col min="13576" max="13576" width="10.625" style="209" customWidth="1"/>
    <col min="13577" max="13577" width="10" style="209" customWidth="1"/>
    <col min="13578" max="13579" width="8.5" style="209" customWidth="1"/>
    <col min="13580" max="13580" width="7.5" style="209" customWidth="1"/>
    <col min="13581" max="13581" width="7.125" style="209" customWidth="1"/>
    <col min="13582" max="13582" width="8.125" style="209" customWidth="1"/>
    <col min="13583" max="13584" width="7.5" style="209" customWidth="1"/>
    <col min="13585" max="13585" width="8.625" style="209" customWidth="1"/>
    <col min="13586" max="13588" width="7.5" style="209" customWidth="1"/>
    <col min="13589" max="13589" width="8.375" style="209" customWidth="1"/>
    <col min="13590" max="13590" width="7.5" style="209" customWidth="1"/>
    <col min="13591" max="13591" width="8.25" style="209" customWidth="1"/>
    <col min="13592" max="13594" width="7.5" style="209" customWidth="1"/>
    <col min="13595" max="13595" width="8.25" style="209" customWidth="1"/>
    <col min="13596" max="13596" width="8.125" style="209" customWidth="1"/>
    <col min="13597" max="13597" width="8.25" style="209" customWidth="1"/>
    <col min="13598" max="13598" width="8.75" style="209" customWidth="1"/>
    <col min="13599" max="13599" width="7.125" style="209" customWidth="1"/>
    <col min="13600" max="13600" width="9.5" style="209" customWidth="1"/>
    <col min="13601" max="13601" width="8.625" style="209" customWidth="1"/>
    <col min="13602" max="13602" width="8.875" style="209" customWidth="1"/>
    <col min="13603" max="13603" width="8.125" style="209" customWidth="1"/>
    <col min="13604" max="13606" width="7.625" style="209" customWidth="1"/>
    <col min="13607" max="13607" width="6.5" style="209" customWidth="1"/>
    <col min="13608" max="13616" width="8.5" style="209" customWidth="1"/>
    <col min="13617" max="13617" width="7.5" style="209" customWidth="1"/>
    <col min="13618" max="13618" width="7.25" style="209" customWidth="1"/>
    <col min="13619" max="13619" width="8.5" style="209" customWidth="1"/>
    <col min="13620" max="13620" width="9.375" style="209" customWidth="1"/>
    <col min="13621" max="13623" width="8.5" style="209" customWidth="1"/>
    <col min="13624" max="13624" width="9.25" style="209" customWidth="1"/>
    <col min="13625" max="13627" width="8.5" style="209" customWidth="1"/>
    <col min="13628" max="13628" width="7.875" style="209" customWidth="1"/>
    <col min="13629" max="13629" width="8.5" style="209" customWidth="1"/>
    <col min="13630" max="13630" width="7.375" style="209" customWidth="1"/>
    <col min="13631" max="13631" width="7.625" style="209" customWidth="1"/>
    <col min="13632" max="13632" width="9.875" style="209" customWidth="1"/>
    <col min="13633" max="13633" width="8.25" style="209" customWidth="1"/>
    <col min="13634" max="13636" width="8.875" style="209" customWidth="1"/>
    <col min="13637" max="13637" width="8.75" style="209" customWidth="1"/>
    <col min="13638" max="13638" width="8" style="209" customWidth="1"/>
    <col min="13639" max="13639" width="8.25" style="209" customWidth="1"/>
    <col min="13640" max="13640" width="7.375" style="209" customWidth="1"/>
    <col min="13641" max="13641" width="8.875" style="209" customWidth="1"/>
    <col min="13642" max="13642" width="7.375" style="209" customWidth="1"/>
    <col min="13643" max="13643" width="6.625" style="209" customWidth="1"/>
    <col min="13644" max="13644" width="9.5" style="209" customWidth="1"/>
    <col min="13645" max="13645" width="8" style="209" customWidth="1"/>
    <col min="13646" max="13646" width="8.375" style="209" customWidth="1"/>
    <col min="13647" max="13647" width="8.5" style="209" customWidth="1"/>
    <col min="13648" max="13648" width="8" style="209" customWidth="1"/>
    <col min="13649" max="13649" width="7.875" style="209" customWidth="1"/>
    <col min="13650" max="13650" width="8" style="209" customWidth="1"/>
    <col min="13651" max="13651" width="8.5" style="209" customWidth="1"/>
    <col min="13652" max="13654" width="8.125" style="209" customWidth="1"/>
    <col min="13655" max="13655" width="8" style="209" customWidth="1"/>
    <col min="13656" max="13659" width="8.75" style="209" customWidth="1"/>
    <col min="13660" max="13660" width="7.625" style="209" customWidth="1"/>
    <col min="13661" max="13662" width="8.75" style="209" customWidth="1"/>
    <col min="13663" max="13663" width="7.75" style="209" customWidth="1"/>
    <col min="13664" max="13666" width="8" style="209" customWidth="1"/>
    <col min="13667" max="13667" width="7.875" style="209" customWidth="1"/>
    <col min="13668" max="13669" width="8.75" style="209" customWidth="1"/>
    <col min="13670" max="13670" width="8.375" style="209" customWidth="1"/>
    <col min="13671" max="13671" width="8" style="209" customWidth="1"/>
    <col min="13672" max="13672" width="7.875" style="209" customWidth="1"/>
    <col min="13673" max="13675" width="8.25" style="209" customWidth="1"/>
    <col min="13676" max="13678" width="8.125" style="209" customWidth="1"/>
    <col min="13679" max="13679" width="7.875" style="209" customWidth="1"/>
    <col min="13680" max="13680" width="8.875" style="209" customWidth="1"/>
    <col min="13681" max="13681" width="8.375" style="209" customWidth="1"/>
    <col min="13682" max="13682" width="8.25" style="209" customWidth="1"/>
    <col min="13683" max="13683" width="8.875" style="209" customWidth="1"/>
    <col min="13684" max="13684" width="8.125" style="209" customWidth="1"/>
    <col min="13685" max="13685" width="8.25" style="209" customWidth="1"/>
    <col min="13686" max="13686" width="8.875" style="209" customWidth="1"/>
    <col min="13687" max="13687" width="8" style="209" customWidth="1"/>
    <col min="13688" max="13690" width="7.875" style="209" customWidth="1"/>
    <col min="13691" max="13691" width="7.75" style="209" customWidth="1"/>
    <col min="13692" max="13695" width="8.875" style="209" customWidth="1"/>
    <col min="13696" max="13696" width="8.75" style="209" customWidth="1"/>
    <col min="13697" max="13697" width="8.625" style="209" customWidth="1"/>
    <col min="13698" max="13699" width="8.25" style="209" customWidth="1"/>
    <col min="13700" max="13700" width="7.625" style="209" customWidth="1"/>
    <col min="13701" max="13701" width="8" style="209" customWidth="1"/>
    <col min="13702" max="13702" width="7.125" style="209" customWidth="1"/>
    <col min="13703" max="13703" width="7.625" style="209" customWidth="1"/>
    <col min="13704" max="13704" width="8.875" style="209" customWidth="1"/>
    <col min="13705" max="13705" width="8.125" style="209" customWidth="1"/>
    <col min="13706" max="13710" width="8.875" style="209" customWidth="1"/>
    <col min="13711" max="13711" width="8" style="209" customWidth="1"/>
    <col min="13712" max="13712" width="7.75" style="209" customWidth="1"/>
    <col min="13713" max="13713" width="7.875" style="209" customWidth="1"/>
    <col min="13714" max="13714" width="7.375" style="209" customWidth="1"/>
    <col min="13715" max="13715" width="7.875" style="209" customWidth="1"/>
    <col min="13716" max="13722" width="8.875" style="209" customWidth="1"/>
    <col min="13723" max="13723" width="7.5" style="209" customWidth="1"/>
    <col min="13724" max="13724" width="7.25" style="209" customWidth="1"/>
    <col min="13725" max="13725" width="8.375" style="209" customWidth="1"/>
    <col min="13726" max="13726" width="7.25" style="209" customWidth="1"/>
    <col min="13727" max="13727" width="7.625" style="209" customWidth="1"/>
    <col min="13728" max="13825" width="9" style="209"/>
    <col min="13826" max="13826" width="4.5" style="209" bestFit="1" customWidth="1"/>
    <col min="13827" max="13827" width="69.125" style="209" customWidth="1"/>
    <col min="13828" max="13828" width="9.25" style="209" customWidth="1"/>
    <col min="13829" max="13829" width="8.625" style="209" customWidth="1"/>
    <col min="13830" max="13830" width="9.375" style="209" customWidth="1"/>
    <col min="13831" max="13831" width="10.25" style="209" customWidth="1"/>
    <col min="13832" max="13832" width="10.625" style="209" customWidth="1"/>
    <col min="13833" max="13833" width="10" style="209" customWidth="1"/>
    <col min="13834" max="13835" width="8.5" style="209" customWidth="1"/>
    <col min="13836" max="13836" width="7.5" style="209" customWidth="1"/>
    <col min="13837" max="13837" width="7.125" style="209" customWidth="1"/>
    <col min="13838" max="13838" width="8.125" style="209" customWidth="1"/>
    <col min="13839" max="13840" width="7.5" style="209" customWidth="1"/>
    <col min="13841" max="13841" width="8.625" style="209" customWidth="1"/>
    <col min="13842" max="13844" width="7.5" style="209" customWidth="1"/>
    <col min="13845" max="13845" width="8.375" style="209" customWidth="1"/>
    <col min="13846" max="13846" width="7.5" style="209" customWidth="1"/>
    <col min="13847" max="13847" width="8.25" style="209" customWidth="1"/>
    <col min="13848" max="13850" width="7.5" style="209" customWidth="1"/>
    <col min="13851" max="13851" width="8.25" style="209" customWidth="1"/>
    <col min="13852" max="13852" width="8.125" style="209" customWidth="1"/>
    <col min="13853" max="13853" width="8.25" style="209" customWidth="1"/>
    <col min="13854" max="13854" width="8.75" style="209" customWidth="1"/>
    <col min="13855" max="13855" width="7.125" style="209" customWidth="1"/>
    <col min="13856" max="13856" width="9.5" style="209" customWidth="1"/>
    <col min="13857" max="13857" width="8.625" style="209" customWidth="1"/>
    <col min="13858" max="13858" width="8.875" style="209" customWidth="1"/>
    <col min="13859" max="13859" width="8.125" style="209" customWidth="1"/>
    <col min="13860" max="13862" width="7.625" style="209" customWidth="1"/>
    <col min="13863" max="13863" width="6.5" style="209" customWidth="1"/>
    <col min="13864" max="13872" width="8.5" style="209" customWidth="1"/>
    <col min="13873" max="13873" width="7.5" style="209" customWidth="1"/>
    <col min="13874" max="13874" width="7.25" style="209" customWidth="1"/>
    <col min="13875" max="13875" width="8.5" style="209" customWidth="1"/>
    <col min="13876" max="13876" width="9.375" style="209" customWidth="1"/>
    <col min="13877" max="13879" width="8.5" style="209" customWidth="1"/>
    <col min="13880" max="13880" width="9.25" style="209" customWidth="1"/>
    <col min="13881" max="13883" width="8.5" style="209" customWidth="1"/>
    <col min="13884" max="13884" width="7.875" style="209" customWidth="1"/>
    <col min="13885" max="13885" width="8.5" style="209" customWidth="1"/>
    <col min="13886" max="13886" width="7.375" style="209" customWidth="1"/>
    <col min="13887" max="13887" width="7.625" style="209" customWidth="1"/>
    <col min="13888" max="13888" width="9.875" style="209" customWidth="1"/>
    <col min="13889" max="13889" width="8.25" style="209" customWidth="1"/>
    <col min="13890" max="13892" width="8.875" style="209" customWidth="1"/>
    <col min="13893" max="13893" width="8.75" style="209" customWidth="1"/>
    <col min="13894" max="13894" width="8" style="209" customWidth="1"/>
    <col min="13895" max="13895" width="8.25" style="209" customWidth="1"/>
    <col min="13896" max="13896" width="7.375" style="209" customWidth="1"/>
    <col min="13897" max="13897" width="8.875" style="209" customWidth="1"/>
    <col min="13898" max="13898" width="7.375" style="209" customWidth="1"/>
    <col min="13899" max="13899" width="6.625" style="209" customWidth="1"/>
    <col min="13900" max="13900" width="9.5" style="209" customWidth="1"/>
    <col min="13901" max="13901" width="8" style="209" customWidth="1"/>
    <col min="13902" max="13902" width="8.375" style="209" customWidth="1"/>
    <col min="13903" max="13903" width="8.5" style="209" customWidth="1"/>
    <col min="13904" max="13904" width="8" style="209" customWidth="1"/>
    <col min="13905" max="13905" width="7.875" style="209" customWidth="1"/>
    <col min="13906" max="13906" width="8" style="209" customWidth="1"/>
    <col min="13907" max="13907" width="8.5" style="209" customWidth="1"/>
    <col min="13908" max="13910" width="8.125" style="209" customWidth="1"/>
    <col min="13911" max="13911" width="8" style="209" customWidth="1"/>
    <col min="13912" max="13915" width="8.75" style="209" customWidth="1"/>
    <col min="13916" max="13916" width="7.625" style="209" customWidth="1"/>
    <col min="13917" max="13918" width="8.75" style="209" customWidth="1"/>
    <col min="13919" max="13919" width="7.75" style="209" customWidth="1"/>
    <col min="13920" max="13922" width="8" style="209" customWidth="1"/>
    <col min="13923" max="13923" width="7.875" style="209" customWidth="1"/>
    <col min="13924" max="13925" width="8.75" style="209" customWidth="1"/>
    <col min="13926" max="13926" width="8.375" style="209" customWidth="1"/>
    <col min="13927" max="13927" width="8" style="209" customWidth="1"/>
    <col min="13928" max="13928" width="7.875" style="209" customWidth="1"/>
    <col min="13929" max="13931" width="8.25" style="209" customWidth="1"/>
    <col min="13932" max="13934" width="8.125" style="209" customWidth="1"/>
    <col min="13935" max="13935" width="7.875" style="209" customWidth="1"/>
    <col min="13936" max="13936" width="8.875" style="209" customWidth="1"/>
    <col min="13937" max="13937" width="8.375" style="209" customWidth="1"/>
    <col min="13938" max="13938" width="8.25" style="209" customWidth="1"/>
    <col min="13939" max="13939" width="8.875" style="209" customWidth="1"/>
    <col min="13940" max="13940" width="8.125" style="209" customWidth="1"/>
    <col min="13941" max="13941" width="8.25" style="209" customWidth="1"/>
    <col min="13942" max="13942" width="8.875" style="209" customWidth="1"/>
    <col min="13943" max="13943" width="8" style="209" customWidth="1"/>
    <col min="13944" max="13946" width="7.875" style="209" customWidth="1"/>
    <col min="13947" max="13947" width="7.75" style="209" customWidth="1"/>
    <col min="13948" max="13951" width="8.875" style="209" customWidth="1"/>
    <col min="13952" max="13952" width="8.75" style="209" customWidth="1"/>
    <col min="13953" max="13953" width="8.625" style="209" customWidth="1"/>
    <col min="13954" max="13955" width="8.25" style="209" customWidth="1"/>
    <col min="13956" max="13956" width="7.625" style="209" customWidth="1"/>
    <col min="13957" max="13957" width="8" style="209" customWidth="1"/>
    <col min="13958" max="13958" width="7.125" style="209" customWidth="1"/>
    <col min="13959" max="13959" width="7.625" style="209" customWidth="1"/>
    <col min="13960" max="13960" width="8.875" style="209" customWidth="1"/>
    <col min="13961" max="13961" width="8.125" style="209" customWidth="1"/>
    <col min="13962" max="13966" width="8.875" style="209" customWidth="1"/>
    <col min="13967" max="13967" width="8" style="209" customWidth="1"/>
    <col min="13968" max="13968" width="7.75" style="209" customWidth="1"/>
    <col min="13969" max="13969" width="7.875" style="209" customWidth="1"/>
    <col min="13970" max="13970" width="7.375" style="209" customWidth="1"/>
    <col min="13971" max="13971" width="7.875" style="209" customWidth="1"/>
    <col min="13972" max="13978" width="8.875" style="209" customWidth="1"/>
    <col min="13979" max="13979" width="7.5" style="209" customWidth="1"/>
    <col min="13980" max="13980" width="7.25" style="209" customWidth="1"/>
    <col min="13981" max="13981" width="8.375" style="209" customWidth="1"/>
    <col min="13982" max="13982" width="7.25" style="209" customWidth="1"/>
    <col min="13983" max="13983" width="7.625" style="209" customWidth="1"/>
    <col min="13984" max="14081" width="9" style="209"/>
    <col min="14082" max="14082" width="4.5" style="209" bestFit="1" customWidth="1"/>
    <col min="14083" max="14083" width="69.125" style="209" customWidth="1"/>
    <col min="14084" max="14084" width="9.25" style="209" customWidth="1"/>
    <col min="14085" max="14085" width="8.625" style="209" customWidth="1"/>
    <col min="14086" max="14086" width="9.375" style="209" customWidth="1"/>
    <col min="14087" max="14087" width="10.25" style="209" customWidth="1"/>
    <col min="14088" max="14088" width="10.625" style="209" customWidth="1"/>
    <col min="14089" max="14089" width="10" style="209" customWidth="1"/>
    <col min="14090" max="14091" width="8.5" style="209" customWidth="1"/>
    <col min="14092" max="14092" width="7.5" style="209" customWidth="1"/>
    <col min="14093" max="14093" width="7.125" style="209" customWidth="1"/>
    <col min="14094" max="14094" width="8.125" style="209" customWidth="1"/>
    <col min="14095" max="14096" width="7.5" style="209" customWidth="1"/>
    <col min="14097" max="14097" width="8.625" style="209" customWidth="1"/>
    <col min="14098" max="14100" width="7.5" style="209" customWidth="1"/>
    <col min="14101" max="14101" width="8.375" style="209" customWidth="1"/>
    <col min="14102" max="14102" width="7.5" style="209" customWidth="1"/>
    <col min="14103" max="14103" width="8.25" style="209" customWidth="1"/>
    <col min="14104" max="14106" width="7.5" style="209" customWidth="1"/>
    <col min="14107" max="14107" width="8.25" style="209" customWidth="1"/>
    <col min="14108" max="14108" width="8.125" style="209" customWidth="1"/>
    <col min="14109" max="14109" width="8.25" style="209" customWidth="1"/>
    <col min="14110" max="14110" width="8.75" style="209" customWidth="1"/>
    <col min="14111" max="14111" width="7.125" style="209" customWidth="1"/>
    <col min="14112" max="14112" width="9.5" style="209" customWidth="1"/>
    <col min="14113" max="14113" width="8.625" style="209" customWidth="1"/>
    <col min="14114" max="14114" width="8.875" style="209" customWidth="1"/>
    <col min="14115" max="14115" width="8.125" style="209" customWidth="1"/>
    <col min="14116" max="14118" width="7.625" style="209" customWidth="1"/>
    <col min="14119" max="14119" width="6.5" style="209" customWidth="1"/>
    <col min="14120" max="14128" width="8.5" style="209" customWidth="1"/>
    <col min="14129" max="14129" width="7.5" style="209" customWidth="1"/>
    <col min="14130" max="14130" width="7.25" style="209" customWidth="1"/>
    <col min="14131" max="14131" width="8.5" style="209" customWidth="1"/>
    <col min="14132" max="14132" width="9.375" style="209" customWidth="1"/>
    <col min="14133" max="14135" width="8.5" style="209" customWidth="1"/>
    <col min="14136" max="14136" width="9.25" style="209" customWidth="1"/>
    <col min="14137" max="14139" width="8.5" style="209" customWidth="1"/>
    <col min="14140" max="14140" width="7.875" style="209" customWidth="1"/>
    <col min="14141" max="14141" width="8.5" style="209" customWidth="1"/>
    <col min="14142" max="14142" width="7.375" style="209" customWidth="1"/>
    <col min="14143" max="14143" width="7.625" style="209" customWidth="1"/>
    <col min="14144" max="14144" width="9.875" style="209" customWidth="1"/>
    <col min="14145" max="14145" width="8.25" style="209" customWidth="1"/>
    <col min="14146" max="14148" width="8.875" style="209" customWidth="1"/>
    <col min="14149" max="14149" width="8.75" style="209" customWidth="1"/>
    <col min="14150" max="14150" width="8" style="209" customWidth="1"/>
    <col min="14151" max="14151" width="8.25" style="209" customWidth="1"/>
    <col min="14152" max="14152" width="7.375" style="209" customWidth="1"/>
    <col min="14153" max="14153" width="8.875" style="209" customWidth="1"/>
    <col min="14154" max="14154" width="7.375" style="209" customWidth="1"/>
    <col min="14155" max="14155" width="6.625" style="209" customWidth="1"/>
    <col min="14156" max="14156" width="9.5" style="209" customWidth="1"/>
    <col min="14157" max="14157" width="8" style="209" customWidth="1"/>
    <col min="14158" max="14158" width="8.375" style="209" customWidth="1"/>
    <col min="14159" max="14159" width="8.5" style="209" customWidth="1"/>
    <col min="14160" max="14160" width="8" style="209" customWidth="1"/>
    <col min="14161" max="14161" width="7.875" style="209" customWidth="1"/>
    <col min="14162" max="14162" width="8" style="209" customWidth="1"/>
    <col min="14163" max="14163" width="8.5" style="209" customWidth="1"/>
    <col min="14164" max="14166" width="8.125" style="209" customWidth="1"/>
    <col min="14167" max="14167" width="8" style="209" customWidth="1"/>
    <col min="14168" max="14171" width="8.75" style="209" customWidth="1"/>
    <col min="14172" max="14172" width="7.625" style="209" customWidth="1"/>
    <col min="14173" max="14174" width="8.75" style="209" customWidth="1"/>
    <col min="14175" max="14175" width="7.75" style="209" customWidth="1"/>
    <col min="14176" max="14178" width="8" style="209" customWidth="1"/>
    <col min="14179" max="14179" width="7.875" style="209" customWidth="1"/>
    <col min="14180" max="14181" width="8.75" style="209" customWidth="1"/>
    <col min="14182" max="14182" width="8.375" style="209" customWidth="1"/>
    <col min="14183" max="14183" width="8" style="209" customWidth="1"/>
    <col min="14184" max="14184" width="7.875" style="209" customWidth="1"/>
    <col min="14185" max="14187" width="8.25" style="209" customWidth="1"/>
    <col min="14188" max="14190" width="8.125" style="209" customWidth="1"/>
    <col min="14191" max="14191" width="7.875" style="209" customWidth="1"/>
    <col min="14192" max="14192" width="8.875" style="209" customWidth="1"/>
    <col min="14193" max="14193" width="8.375" style="209" customWidth="1"/>
    <col min="14194" max="14194" width="8.25" style="209" customWidth="1"/>
    <col min="14195" max="14195" width="8.875" style="209" customWidth="1"/>
    <col min="14196" max="14196" width="8.125" style="209" customWidth="1"/>
    <col min="14197" max="14197" width="8.25" style="209" customWidth="1"/>
    <col min="14198" max="14198" width="8.875" style="209" customWidth="1"/>
    <col min="14199" max="14199" width="8" style="209" customWidth="1"/>
    <col min="14200" max="14202" width="7.875" style="209" customWidth="1"/>
    <col min="14203" max="14203" width="7.75" style="209" customWidth="1"/>
    <col min="14204" max="14207" width="8.875" style="209" customWidth="1"/>
    <col min="14208" max="14208" width="8.75" style="209" customWidth="1"/>
    <col min="14209" max="14209" width="8.625" style="209" customWidth="1"/>
    <col min="14210" max="14211" width="8.25" style="209" customWidth="1"/>
    <col min="14212" max="14212" width="7.625" style="209" customWidth="1"/>
    <col min="14213" max="14213" width="8" style="209" customWidth="1"/>
    <col min="14214" max="14214" width="7.125" style="209" customWidth="1"/>
    <col min="14215" max="14215" width="7.625" style="209" customWidth="1"/>
    <col min="14216" max="14216" width="8.875" style="209" customWidth="1"/>
    <col min="14217" max="14217" width="8.125" style="209" customWidth="1"/>
    <col min="14218" max="14222" width="8.875" style="209" customWidth="1"/>
    <col min="14223" max="14223" width="8" style="209" customWidth="1"/>
    <col min="14224" max="14224" width="7.75" style="209" customWidth="1"/>
    <col min="14225" max="14225" width="7.875" style="209" customWidth="1"/>
    <col min="14226" max="14226" width="7.375" style="209" customWidth="1"/>
    <col min="14227" max="14227" width="7.875" style="209" customWidth="1"/>
    <col min="14228" max="14234" width="8.875" style="209" customWidth="1"/>
    <col min="14235" max="14235" width="7.5" style="209" customWidth="1"/>
    <col min="14236" max="14236" width="7.25" style="209" customWidth="1"/>
    <col min="14237" max="14237" width="8.375" style="209" customWidth="1"/>
    <col min="14238" max="14238" width="7.25" style="209" customWidth="1"/>
    <col min="14239" max="14239" width="7.625" style="209" customWidth="1"/>
    <col min="14240" max="14337" width="9" style="209"/>
    <col min="14338" max="14338" width="4.5" style="209" bestFit="1" customWidth="1"/>
    <col min="14339" max="14339" width="69.125" style="209" customWidth="1"/>
    <col min="14340" max="14340" width="9.25" style="209" customWidth="1"/>
    <col min="14341" max="14341" width="8.625" style="209" customWidth="1"/>
    <col min="14342" max="14342" width="9.375" style="209" customWidth="1"/>
    <col min="14343" max="14343" width="10.25" style="209" customWidth="1"/>
    <col min="14344" max="14344" width="10.625" style="209" customWidth="1"/>
    <col min="14345" max="14345" width="10" style="209" customWidth="1"/>
    <col min="14346" max="14347" width="8.5" style="209" customWidth="1"/>
    <col min="14348" max="14348" width="7.5" style="209" customWidth="1"/>
    <col min="14349" max="14349" width="7.125" style="209" customWidth="1"/>
    <col min="14350" max="14350" width="8.125" style="209" customWidth="1"/>
    <col min="14351" max="14352" width="7.5" style="209" customWidth="1"/>
    <col min="14353" max="14353" width="8.625" style="209" customWidth="1"/>
    <col min="14354" max="14356" width="7.5" style="209" customWidth="1"/>
    <col min="14357" max="14357" width="8.375" style="209" customWidth="1"/>
    <col min="14358" max="14358" width="7.5" style="209" customWidth="1"/>
    <col min="14359" max="14359" width="8.25" style="209" customWidth="1"/>
    <col min="14360" max="14362" width="7.5" style="209" customWidth="1"/>
    <col min="14363" max="14363" width="8.25" style="209" customWidth="1"/>
    <col min="14364" max="14364" width="8.125" style="209" customWidth="1"/>
    <col min="14365" max="14365" width="8.25" style="209" customWidth="1"/>
    <col min="14366" max="14366" width="8.75" style="209" customWidth="1"/>
    <col min="14367" max="14367" width="7.125" style="209" customWidth="1"/>
    <col min="14368" max="14368" width="9.5" style="209" customWidth="1"/>
    <col min="14369" max="14369" width="8.625" style="209" customWidth="1"/>
    <col min="14370" max="14370" width="8.875" style="209" customWidth="1"/>
    <col min="14371" max="14371" width="8.125" style="209" customWidth="1"/>
    <col min="14372" max="14374" width="7.625" style="209" customWidth="1"/>
    <col min="14375" max="14375" width="6.5" style="209" customWidth="1"/>
    <col min="14376" max="14384" width="8.5" style="209" customWidth="1"/>
    <col min="14385" max="14385" width="7.5" style="209" customWidth="1"/>
    <col min="14386" max="14386" width="7.25" style="209" customWidth="1"/>
    <col min="14387" max="14387" width="8.5" style="209" customWidth="1"/>
    <col min="14388" max="14388" width="9.375" style="209" customWidth="1"/>
    <col min="14389" max="14391" width="8.5" style="209" customWidth="1"/>
    <col min="14392" max="14392" width="9.25" style="209" customWidth="1"/>
    <col min="14393" max="14395" width="8.5" style="209" customWidth="1"/>
    <col min="14396" max="14396" width="7.875" style="209" customWidth="1"/>
    <col min="14397" max="14397" width="8.5" style="209" customWidth="1"/>
    <col min="14398" max="14398" width="7.375" style="209" customWidth="1"/>
    <col min="14399" max="14399" width="7.625" style="209" customWidth="1"/>
    <col min="14400" max="14400" width="9.875" style="209" customWidth="1"/>
    <col min="14401" max="14401" width="8.25" style="209" customWidth="1"/>
    <col min="14402" max="14404" width="8.875" style="209" customWidth="1"/>
    <col min="14405" max="14405" width="8.75" style="209" customWidth="1"/>
    <col min="14406" max="14406" width="8" style="209" customWidth="1"/>
    <col min="14407" max="14407" width="8.25" style="209" customWidth="1"/>
    <col min="14408" max="14408" width="7.375" style="209" customWidth="1"/>
    <col min="14409" max="14409" width="8.875" style="209" customWidth="1"/>
    <col min="14410" max="14410" width="7.375" style="209" customWidth="1"/>
    <col min="14411" max="14411" width="6.625" style="209" customWidth="1"/>
    <col min="14412" max="14412" width="9.5" style="209" customWidth="1"/>
    <col min="14413" max="14413" width="8" style="209" customWidth="1"/>
    <col min="14414" max="14414" width="8.375" style="209" customWidth="1"/>
    <col min="14415" max="14415" width="8.5" style="209" customWidth="1"/>
    <col min="14416" max="14416" width="8" style="209" customWidth="1"/>
    <col min="14417" max="14417" width="7.875" style="209" customWidth="1"/>
    <col min="14418" max="14418" width="8" style="209" customWidth="1"/>
    <col min="14419" max="14419" width="8.5" style="209" customWidth="1"/>
    <col min="14420" max="14422" width="8.125" style="209" customWidth="1"/>
    <col min="14423" max="14423" width="8" style="209" customWidth="1"/>
    <col min="14424" max="14427" width="8.75" style="209" customWidth="1"/>
    <col min="14428" max="14428" width="7.625" style="209" customWidth="1"/>
    <col min="14429" max="14430" width="8.75" style="209" customWidth="1"/>
    <col min="14431" max="14431" width="7.75" style="209" customWidth="1"/>
    <col min="14432" max="14434" width="8" style="209" customWidth="1"/>
    <col min="14435" max="14435" width="7.875" style="209" customWidth="1"/>
    <col min="14436" max="14437" width="8.75" style="209" customWidth="1"/>
    <col min="14438" max="14438" width="8.375" style="209" customWidth="1"/>
    <col min="14439" max="14439" width="8" style="209" customWidth="1"/>
    <col min="14440" max="14440" width="7.875" style="209" customWidth="1"/>
    <col min="14441" max="14443" width="8.25" style="209" customWidth="1"/>
    <col min="14444" max="14446" width="8.125" style="209" customWidth="1"/>
    <col min="14447" max="14447" width="7.875" style="209" customWidth="1"/>
    <col min="14448" max="14448" width="8.875" style="209" customWidth="1"/>
    <col min="14449" max="14449" width="8.375" style="209" customWidth="1"/>
    <col min="14450" max="14450" width="8.25" style="209" customWidth="1"/>
    <col min="14451" max="14451" width="8.875" style="209" customWidth="1"/>
    <col min="14452" max="14452" width="8.125" style="209" customWidth="1"/>
    <col min="14453" max="14453" width="8.25" style="209" customWidth="1"/>
    <col min="14454" max="14454" width="8.875" style="209" customWidth="1"/>
    <col min="14455" max="14455" width="8" style="209" customWidth="1"/>
    <col min="14456" max="14458" width="7.875" style="209" customWidth="1"/>
    <col min="14459" max="14459" width="7.75" style="209" customWidth="1"/>
    <col min="14460" max="14463" width="8.875" style="209" customWidth="1"/>
    <col min="14464" max="14464" width="8.75" style="209" customWidth="1"/>
    <col min="14465" max="14465" width="8.625" style="209" customWidth="1"/>
    <col min="14466" max="14467" width="8.25" style="209" customWidth="1"/>
    <col min="14468" max="14468" width="7.625" style="209" customWidth="1"/>
    <col min="14469" max="14469" width="8" style="209" customWidth="1"/>
    <col min="14470" max="14470" width="7.125" style="209" customWidth="1"/>
    <col min="14471" max="14471" width="7.625" style="209" customWidth="1"/>
    <col min="14472" max="14472" width="8.875" style="209" customWidth="1"/>
    <col min="14473" max="14473" width="8.125" style="209" customWidth="1"/>
    <col min="14474" max="14478" width="8.875" style="209" customWidth="1"/>
    <col min="14479" max="14479" width="8" style="209" customWidth="1"/>
    <col min="14480" max="14480" width="7.75" style="209" customWidth="1"/>
    <col min="14481" max="14481" width="7.875" style="209" customWidth="1"/>
    <col min="14482" max="14482" width="7.375" style="209" customWidth="1"/>
    <col min="14483" max="14483" width="7.875" style="209" customWidth="1"/>
    <col min="14484" max="14490" width="8.875" style="209" customWidth="1"/>
    <col min="14491" max="14491" width="7.5" style="209" customWidth="1"/>
    <col min="14492" max="14492" width="7.25" style="209" customWidth="1"/>
    <col min="14493" max="14493" width="8.375" style="209" customWidth="1"/>
    <col min="14494" max="14494" width="7.25" style="209" customWidth="1"/>
    <col min="14495" max="14495" width="7.625" style="209" customWidth="1"/>
    <col min="14496" max="14593" width="9" style="209"/>
    <col min="14594" max="14594" width="4.5" style="209" bestFit="1" customWidth="1"/>
    <col min="14595" max="14595" width="69.125" style="209" customWidth="1"/>
    <col min="14596" max="14596" width="9.25" style="209" customWidth="1"/>
    <col min="14597" max="14597" width="8.625" style="209" customWidth="1"/>
    <col min="14598" max="14598" width="9.375" style="209" customWidth="1"/>
    <col min="14599" max="14599" width="10.25" style="209" customWidth="1"/>
    <col min="14600" max="14600" width="10.625" style="209" customWidth="1"/>
    <col min="14601" max="14601" width="10" style="209" customWidth="1"/>
    <col min="14602" max="14603" width="8.5" style="209" customWidth="1"/>
    <col min="14604" max="14604" width="7.5" style="209" customWidth="1"/>
    <col min="14605" max="14605" width="7.125" style="209" customWidth="1"/>
    <col min="14606" max="14606" width="8.125" style="209" customWidth="1"/>
    <col min="14607" max="14608" width="7.5" style="209" customWidth="1"/>
    <col min="14609" max="14609" width="8.625" style="209" customWidth="1"/>
    <col min="14610" max="14612" width="7.5" style="209" customWidth="1"/>
    <col min="14613" max="14613" width="8.375" style="209" customWidth="1"/>
    <col min="14614" max="14614" width="7.5" style="209" customWidth="1"/>
    <col min="14615" max="14615" width="8.25" style="209" customWidth="1"/>
    <col min="14616" max="14618" width="7.5" style="209" customWidth="1"/>
    <col min="14619" max="14619" width="8.25" style="209" customWidth="1"/>
    <col min="14620" max="14620" width="8.125" style="209" customWidth="1"/>
    <col min="14621" max="14621" width="8.25" style="209" customWidth="1"/>
    <col min="14622" max="14622" width="8.75" style="209" customWidth="1"/>
    <col min="14623" max="14623" width="7.125" style="209" customWidth="1"/>
    <col min="14624" max="14624" width="9.5" style="209" customWidth="1"/>
    <col min="14625" max="14625" width="8.625" style="209" customWidth="1"/>
    <col min="14626" max="14626" width="8.875" style="209" customWidth="1"/>
    <col min="14627" max="14627" width="8.125" style="209" customWidth="1"/>
    <col min="14628" max="14630" width="7.625" style="209" customWidth="1"/>
    <col min="14631" max="14631" width="6.5" style="209" customWidth="1"/>
    <col min="14632" max="14640" width="8.5" style="209" customWidth="1"/>
    <col min="14641" max="14641" width="7.5" style="209" customWidth="1"/>
    <col min="14642" max="14642" width="7.25" style="209" customWidth="1"/>
    <col min="14643" max="14643" width="8.5" style="209" customWidth="1"/>
    <col min="14644" max="14644" width="9.375" style="209" customWidth="1"/>
    <col min="14645" max="14647" width="8.5" style="209" customWidth="1"/>
    <col min="14648" max="14648" width="9.25" style="209" customWidth="1"/>
    <col min="14649" max="14651" width="8.5" style="209" customWidth="1"/>
    <col min="14652" max="14652" width="7.875" style="209" customWidth="1"/>
    <col min="14653" max="14653" width="8.5" style="209" customWidth="1"/>
    <col min="14654" max="14654" width="7.375" style="209" customWidth="1"/>
    <col min="14655" max="14655" width="7.625" style="209" customWidth="1"/>
    <col min="14656" max="14656" width="9.875" style="209" customWidth="1"/>
    <col min="14657" max="14657" width="8.25" style="209" customWidth="1"/>
    <col min="14658" max="14660" width="8.875" style="209" customWidth="1"/>
    <col min="14661" max="14661" width="8.75" style="209" customWidth="1"/>
    <col min="14662" max="14662" width="8" style="209" customWidth="1"/>
    <col min="14663" max="14663" width="8.25" style="209" customWidth="1"/>
    <col min="14664" max="14664" width="7.375" style="209" customWidth="1"/>
    <col min="14665" max="14665" width="8.875" style="209" customWidth="1"/>
    <col min="14666" max="14666" width="7.375" style="209" customWidth="1"/>
    <col min="14667" max="14667" width="6.625" style="209" customWidth="1"/>
    <col min="14668" max="14668" width="9.5" style="209" customWidth="1"/>
    <col min="14669" max="14669" width="8" style="209" customWidth="1"/>
    <col min="14670" max="14670" width="8.375" style="209" customWidth="1"/>
    <col min="14671" max="14671" width="8.5" style="209" customWidth="1"/>
    <col min="14672" max="14672" width="8" style="209" customWidth="1"/>
    <col min="14673" max="14673" width="7.875" style="209" customWidth="1"/>
    <col min="14674" max="14674" width="8" style="209" customWidth="1"/>
    <col min="14675" max="14675" width="8.5" style="209" customWidth="1"/>
    <col min="14676" max="14678" width="8.125" style="209" customWidth="1"/>
    <col min="14679" max="14679" width="8" style="209" customWidth="1"/>
    <col min="14680" max="14683" width="8.75" style="209" customWidth="1"/>
    <col min="14684" max="14684" width="7.625" style="209" customWidth="1"/>
    <col min="14685" max="14686" width="8.75" style="209" customWidth="1"/>
    <col min="14687" max="14687" width="7.75" style="209" customWidth="1"/>
    <col min="14688" max="14690" width="8" style="209" customWidth="1"/>
    <col min="14691" max="14691" width="7.875" style="209" customWidth="1"/>
    <col min="14692" max="14693" width="8.75" style="209" customWidth="1"/>
    <col min="14694" max="14694" width="8.375" style="209" customWidth="1"/>
    <col min="14695" max="14695" width="8" style="209" customWidth="1"/>
    <col min="14696" max="14696" width="7.875" style="209" customWidth="1"/>
    <col min="14697" max="14699" width="8.25" style="209" customWidth="1"/>
    <col min="14700" max="14702" width="8.125" style="209" customWidth="1"/>
    <col min="14703" max="14703" width="7.875" style="209" customWidth="1"/>
    <col min="14704" max="14704" width="8.875" style="209" customWidth="1"/>
    <col min="14705" max="14705" width="8.375" style="209" customWidth="1"/>
    <col min="14706" max="14706" width="8.25" style="209" customWidth="1"/>
    <col min="14707" max="14707" width="8.875" style="209" customWidth="1"/>
    <col min="14708" max="14708" width="8.125" style="209" customWidth="1"/>
    <col min="14709" max="14709" width="8.25" style="209" customWidth="1"/>
    <col min="14710" max="14710" width="8.875" style="209" customWidth="1"/>
    <col min="14711" max="14711" width="8" style="209" customWidth="1"/>
    <col min="14712" max="14714" width="7.875" style="209" customWidth="1"/>
    <col min="14715" max="14715" width="7.75" style="209" customWidth="1"/>
    <col min="14716" max="14719" width="8.875" style="209" customWidth="1"/>
    <col min="14720" max="14720" width="8.75" style="209" customWidth="1"/>
    <col min="14721" max="14721" width="8.625" style="209" customWidth="1"/>
    <col min="14722" max="14723" width="8.25" style="209" customWidth="1"/>
    <col min="14724" max="14724" width="7.625" style="209" customWidth="1"/>
    <col min="14725" max="14725" width="8" style="209" customWidth="1"/>
    <col min="14726" max="14726" width="7.125" style="209" customWidth="1"/>
    <col min="14727" max="14727" width="7.625" style="209" customWidth="1"/>
    <col min="14728" max="14728" width="8.875" style="209" customWidth="1"/>
    <col min="14729" max="14729" width="8.125" style="209" customWidth="1"/>
    <col min="14730" max="14734" width="8.875" style="209" customWidth="1"/>
    <col min="14735" max="14735" width="8" style="209" customWidth="1"/>
    <col min="14736" max="14736" width="7.75" style="209" customWidth="1"/>
    <col min="14737" max="14737" width="7.875" style="209" customWidth="1"/>
    <col min="14738" max="14738" width="7.375" style="209" customWidth="1"/>
    <col min="14739" max="14739" width="7.875" style="209" customWidth="1"/>
    <col min="14740" max="14746" width="8.875" style="209" customWidth="1"/>
    <col min="14747" max="14747" width="7.5" style="209" customWidth="1"/>
    <col min="14748" max="14748" width="7.25" style="209" customWidth="1"/>
    <col min="14749" max="14749" width="8.375" style="209" customWidth="1"/>
    <col min="14750" max="14750" width="7.25" style="209" customWidth="1"/>
    <col min="14751" max="14751" width="7.625" style="209" customWidth="1"/>
    <col min="14752" max="14849" width="9" style="209"/>
    <col min="14850" max="14850" width="4.5" style="209" bestFit="1" customWidth="1"/>
    <col min="14851" max="14851" width="69.125" style="209" customWidth="1"/>
    <col min="14852" max="14852" width="9.25" style="209" customWidth="1"/>
    <col min="14853" max="14853" width="8.625" style="209" customWidth="1"/>
    <col min="14854" max="14854" width="9.375" style="209" customWidth="1"/>
    <col min="14855" max="14855" width="10.25" style="209" customWidth="1"/>
    <col min="14856" max="14856" width="10.625" style="209" customWidth="1"/>
    <col min="14857" max="14857" width="10" style="209" customWidth="1"/>
    <col min="14858" max="14859" width="8.5" style="209" customWidth="1"/>
    <col min="14860" max="14860" width="7.5" style="209" customWidth="1"/>
    <col min="14861" max="14861" width="7.125" style="209" customWidth="1"/>
    <col min="14862" max="14862" width="8.125" style="209" customWidth="1"/>
    <col min="14863" max="14864" width="7.5" style="209" customWidth="1"/>
    <col min="14865" max="14865" width="8.625" style="209" customWidth="1"/>
    <col min="14866" max="14868" width="7.5" style="209" customWidth="1"/>
    <col min="14869" max="14869" width="8.375" style="209" customWidth="1"/>
    <col min="14870" max="14870" width="7.5" style="209" customWidth="1"/>
    <col min="14871" max="14871" width="8.25" style="209" customWidth="1"/>
    <col min="14872" max="14874" width="7.5" style="209" customWidth="1"/>
    <col min="14875" max="14875" width="8.25" style="209" customWidth="1"/>
    <col min="14876" max="14876" width="8.125" style="209" customWidth="1"/>
    <col min="14877" max="14877" width="8.25" style="209" customWidth="1"/>
    <col min="14878" max="14878" width="8.75" style="209" customWidth="1"/>
    <col min="14879" max="14879" width="7.125" style="209" customWidth="1"/>
    <col min="14880" max="14880" width="9.5" style="209" customWidth="1"/>
    <col min="14881" max="14881" width="8.625" style="209" customWidth="1"/>
    <col min="14882" max="14882" width="8.875" style="209" customWidth="1"/>
    <col min="14883" max="14883" width="8.125" style="209" customWidth="1"/>
    <col min="14884" max="14886" width="7.625" style="209" customWidth="1"/>
    <col min="14887" max="14887" width="6.5" style="209" customWidth="1"/>
    <col min="14888" max="14896" width="8.5" style="209" customWidth="1"/>
    <col min="14897" max="14897" width="7.5" style="209" customWidth="1"/>
    <col min="14898" max="14898" width="7.25" style="209" customWidth="1"/>
    <col min="14899" max="14899" width="8.5" style="209" customWidth="1"/>
    <col min="14900" max="14900" width="9.375" style="209" customWidth="1"/>
    <col min="14901" max="14903" width="8.5" style="209" customWidth="1"/>
    <col min="14904" max="14904" width="9.25" style="209" customWidth="1"/>
    <col min="14905" max="14907" width="8.5" style="209" customWidth="1"/>
    <col min="14908" max="14908" width="7.875" style="209" customWidth="1"/>
    <col min="14909" max="14909" width="8.5" style="209" customWidth="1"/>
    <col min="14910" max="14910" width="7.375" style="209" customWidth="1"/>
    <col min="14911" max="14911" width="7.625" style="209" customWidth="1"/>
    <col min="14912" max="14912" width="9.875" style="209" customWidth="1"/>
    <col min="14913" max="14913" width="8.25" style="209" customWidth="1"/>
    <col min="14914" max="14916" width="8.875" style="209" customWidth="1"/>
    <col min="14917" max="14917" width="8.75" style="209" customWidth="1"/>
    <col min="14918" max="14918" width="8" style="209" customWidth="1"/>
    <col min="14919" max="14919" width="8.25" style="209" customWidth="1"/>
    <col min="14920" max="14920" width="7.375" style="209" customWidth="1"/>
    <col min="14921" max="14921" width="8.875" style="209" customWidth="1"/>
    <col min="14922" max="14922" width="7.375" style="209" customWidth="1"/>
    <col min="14923" max="14923" width="6.625" style="209" customWidth="1"/>
    <col min="14924" max="14924" width="9.5" style="209" customWidth="1"/>
    <col min="14925" max="14925" width="8" style="209" customWidth="1"/>
    <col min="14926" max="14926" width="8.375" style="209" customWidth="1"/>
    <col min="14927" max="14927" width="8.5" style="209" customWidth="1"/>
    <col min="14928" max="14928" width="8" style="209" customWidth="1"/>
    <col min="14929" max="14929" width="7.875" style="209" customWidth="1"/>
    <col min="14930" max="14930" width="8" style="209" customWidth="1"/>
    <col min="14931" max="14931" width="8.5" style="209" customWidth="1"/>
    <col min="14932" max="14934" width="8.125" style="209" customWidth="1"/>
    <col min="14935" max="14935" width="8" style="209" customWidth="1"/>
    <col min="14936" max="14939" width="8.75" style="209" customWidth="1"/>
    <col min="14940" max="14940" width="7.625" style="209" customWidth="1"/>
    <col min="14941" max="14942" width="8.75" style="209" customWidth="1"/>
    <col min="14943" max="14943" width="7.75" style="209" customWidth="1"/>
    <col min="14944" max="14946" width="8" style="209" customWidth="1"/>
    <col min="14947" max="14947" width="7.875" style="209" customWidth="1"/>
    <col min="14948" max="14949" width="8.75" style="209" customWidth="1"/>
    <col min="14950" max="14950" width="8.375" style="209" customWidth="1"/>
    <col min="14951" max="14951" width="8" style="209" customWidth="1"/>
    <col min="14952" max="14952" width="7.875" style="209" customWidth="1"/>
    <col min="14953" max="14955" width="8.25" style="209" customWidth="1"/>
    <col min="14956" max="14958" width="8.125" style="209" customWidth="1"/>
    <col min="14959" max="14959" width="7.875" style="209" customWidth="1"/>
    <col min="14960" max="14960" width="8.875" style="209" customWidth="1"/>
    <col min="14961" max="14961" width="8.375" style="209" customWidth="1"/>
    <col min="14962" max="14962" width="8.25" style="209" customWidth="1"/>
    <col min="14963" max="14963" width="8.875" style="209" customWidth="1"/>
    <col min="14964" max="14964" width="8.125" style="209" customWidth="1"/>
    <col min="14965" max="14965" width="8.25" style="209" customWidth="1"/>
    <col min="14966" max="14966" width="8.875" style="209" customWidth="1"/>
    <col min="14967" max="14967" width="8" style="209" customWidth="1"/>
    <col min="14968" max="14970" width="7.875" style="209" customWidth="1"/>
    <col min="14971" max="14971" width="7.75" style="209" customWidth="1"/>
    <col min="14972" max="14975" width="8.875" style="209" customWidth="1"/>
    <col min="14976" max="14976" width="8.75" style="209" customWidth="1"/>
    <col min="14977" max="14977" width="8.625" style="209" customWidth="1"/>
    <col min="14978" max="14979" width="8.25" style="209" customWidth="1"/>
    <col min="14980" max="14980" width="7.625" style="209" customWidth="1"/>
    <col min="14981" max="14981" width="8" style="209" customWidth="1"/>
    <col min="14982" max="14982" width="7.125" style="209" customWidth="1"/>
    <col min="14983" max="14983" width="7.625" style="209" customWidth="1"/>
    <col min="14984" max="14984" width="8.875" style="209" customWidth="1"/>
    <col min="14985" max="14985" width="8.125" style="209" customWidth="1"/>
    <col min="14986" max="14990" width="8.875" style="209" customWidth="1"/>
    <col min="14991" max="14991" width="8" style="209" customWidth="1"/>
    <col min="14992" max="14992" width="7.75" style="209" customWidth="1"/>
    <col min="14993" max="14993" width="7.875" style="209" customWidth="1"/>
    <col min="14994" max="14994" width="7.375" style="209" customWidth="1"/>
    <col min="14995" max="14995" width="7.875" style="209" customWidth="1"/>
    <col min="14996" max="15002" width="8.875" style="209" customWidth="1"/>
    <col min="15003" max="15003" width="7.5" style="209" customWidth="1"/>
    <col min="15004" max="15004" width="7.25" style="209" customWidth="1"/>
    <col min="15005" max="15005" width="8.375" style="209" customWidth="1"/>
    <col min="15006" max="15006" width="7.25" style="209" customWidth="1"/>
    <col min="15007" max="15007" width="7.625" style="209" customWidth="1"/>
    <col min="15008" max="15105" width="9" style="209"/>
    <col min="15106" max="15106" width="4.5" style="209" bestFit="1" customWidth="1"/>
    <col min="15107" max="15107" width="69.125" style="209" customWidth="1"/>
    <col min="15108" max="15108" width="9.25" style="209" customWidth="1"/>
    <col min="15109" max="15109" width="8.625" style="209" customWidth="1"/>
    <col min="15110" max="15110" width="9.375" style="209" customWidth="1"/>
    <col min="15111" max="15111" width="10.25" style="209" customWidth="1"/>
    <col min="15112" max="15112" width="10.625" style="209" customWidth="1"/>
    <col min="15113" max="15113" width="10" style="209" customWidth="1"/>
    <col min="15114" max="15115" width="8.5" style="209" customWidth="1"/>
    <col min="15116" max="15116" width="7.5" style="209" customWidth="1"/>
    <col min="15117" max="15117" width="7.125" style="209" customWidth="1"/>
    <col min="15118" max="15118" width="8.125" style="209" customWidth="1"/>
    <col min="15119" max="15120" width="7.5" style="209" customWidth="1"/>
    <col min="15121" max="15121" width="8.625" style="209" customWidth="1"/>
    <col min="15122" max="15124" width="7.5" style="209" customWidth="1"/>
    <col min="15125" max="15125" width="8.375" style="209" customWidth="1"/>
    <col min="15126" max="15126" width="7.5" style="209" customWidth="1"/>
    <col min="15127" max="15127" width="8.25" style="209" customWidth="1"/>
    <col min="15128" max="15130" width="7.5" style="209" customWidth="1"/>
    <col min="15131" max="15131" width="8.25" style="209" customWidth="1"/>
    <col min="15132" max="15132" width="8.125" style="209" customWidth="1"/>
    <col min="15133" max="15133" width="8.25" style="209" customWidth="1"/>
    <col min="15134" max="15134" width="8.75" style="209" customWidth="1"/>
    <col min="15135" max="15135" width="7.125" style="209" customWidth="1"/>
    <col min="15136" max="15136" width="9.5" style="209" customWidth="1"/>
    <col min="15137" max="15137" width="8.625" style="209" customWidth="1"/>
    <col min="15138" max="15138" width="8.875" style="209" customWidth="1"/>
    <col min="15139" max="15139" width="8.125" style="209" customWidth="1"/>
    <col min="15140" max="15142" width="7.625" style="209" customWidth="1"/>
    <col min="15143" max="15143" width="6.5" style="209" customWidth="1"/>
    <col min="15144" max="15152" width="8.5" style="209" customWidth="1"/>
    <col min="15153" max="15153" width="7.5" style="209" customWidth="1"/>
    <col min="15154" max="15154" width="7.25" style="209" customWidth="1"/>
    <col min="15155" max="15155" width="8.5" style="209" customWidth="1"/>
    <col min="15156" max="15156" width="9.375" style="209" customWidth="1"/>
    <col min="15157" max="15159" width="8.5" style="209" customWidth="1"/>
    <col min="15160" max="15160" width="9.25" style="209" customWidth="1"/>
    <col min="15161" max="15163" width="8.5" style="209" customWidth="1"/>
    <col min="15164" max="15164" width="7.875" style="209" customWidth="1"/>
    <col min="15165" max="15165" width="8.5" style="209" customWidth="1"/>
    <col min="15166" max="15166" width="7.375" style="209" customWidth="1"/>
    <col min="15167" max="15167" width="7.625" style="209" customWidth="1"/>
    <col min="15168" max="15168" width="9.875" style="209" customWidth="1"/>
    <col min="15169" max="15169" width="8.25" style="209" customWidth="1"/>
    <col min="15170" max="15172" width="8.875" style="209" customWidth="1"/>
    <col min="15173" max="15173" width="8.75" style="209" customWidth="1"/>
    <col min="15174" max="15174" width="8" style="209" customWidth="1"/>
    <col min="15175" max="15175" width="8.25" style="209" customWidth="1"/>
    <col min="15176" max="15176" width="7.375" style="209" customWidth="1"/>
    <col min="15177" max="15177" width="8.875" style="209" customWidth="1"/>
    <col min="15178" max="15178" width="7.375" style="209" customWidth="1"/>
    <col min="15179" max="15179" width="6.625" style="209" customWidth="1"/>
    <col min="15180" max="15180" width="9.5" style="209" customWidth="1"/>
    <col min="15181" max="15181" width="8" style="209" customWidth="1"/>
    <col min="15182" max="15182" width="8.375" style="209" customWidth="1"/>
    <col min="15183" max="15183" width="8.5" style="209" customWidth="1"/>
    <col min="15184" max="15184" width="8" style="209" customWidth="1"/>
    <col min="15185" max="15185" width="7.875" style="209" customWidth="1"/>
    <col min="15186" max="15186" width="8" style="209" customWidth="1"/>
    <col min="15187" max="15187" width="8.5" style="209" customWidth="1"/>
    <col min="15188" max="15190" width="8.125" style="209" customWidth="1"/>
    <col min="15191" max="15191" width="8" style="209" customWidth="1"/>
    <col min="15192" max="15195" width="8.75" style="209" customWidth="1"/>
    <col min="15196" max="15196" width="7.625" style="209" customWidth="1"/>
    <col min="15197" max="15198" width="8.75" style="209" customWidth="1"/>
    <col min="15199" max="15199" width="7.75" style="209" customWidth="1"/>
    <col min="15200" max="15202" width="8" style="209" customWidth="1"/>
    <col min="15203" max="15203" width="7.875" style="209" customWidth="1"/>
    <col min="15204" max="15205" width="8.75" style="209" customWidth="1"/>
    <col min="15206" max="15206" width="8.375" style="209" customWidth="1"/>
    <col min="15207" max="15207" width="8" style="209" customWidth="1"/>
    <col min="15208" max="15208" width="7.875" style="209" customWidth="1"/>
    <col min="15209" max="15211" width="8.25" style="209" customWidth="1"/>
    <col min="15212" max="15214" width="8.125" style="209" customWidth="1"/>
    <col min="15215" max="15215" width="7.875" style="209" customWidth="1"/>
    <col min="15216" max="15216" width="8.875" style="209" customWidth="1"/>
    <col min="15217" max="15217" width="8.375" style="209" customWidth="1"/>
    <col min="15218" max="15218" width="8.25" style="209" customWidth="1"/>
    <col min="15219" max="15219" width="8.875" style="209" customWidth="1"/>
    <col min="15220" max="15220" width="8.125" style="209" customWidth="1"/>
    <col min="15221" max="15221" width="8.25" style="209" customWidth="1"/>
    <col min="15222" max="15222" width="8.875" style="209" customWidth="1"/>
    <col min="15223" max="15223" width="8" style="209" customWidth="1"/>
    <col min="15224" max="15226" width="7.875" style="209" customWidth="1"/>
    <col min="15227" max="15227" width="7.75" style="209" customWidth="1"/>
    <col min="15228" max="15231" width="8.875" style="209" customWidth="1"/>
    <col min="15232" max="15232" width="8.75" style="209" customWidth="1"/>
    <col min="15233" max="15233" width="8.625" style="209" customWidth="1"/>
    <col min="15234" max="15235" width="8.25" style="209" customWidth="1"/>
    <col min="15236" max="15236" width="7.625" style="209" customWidth="1"/>
    <col min="15237" max="15237" width="8" style="209" customWidth="1"/>
    <col min="15238" max="15238" width="7.125" style="209" customWidth="1"/>
    <col min="15239" max="15239" width="7.625" style="209" customWidth="1"/>
    <col min="15240" max="15240" width="8.875" style="209" customWidth="1"/>
    <col min="15241" max="15241" width="8.125" style="209" customWidth="1"/>
    <col min="15242" max="15246" width="8.875" style="209" customWidth="1"/>
    <col min="15247" max="15247" width="8" style="209" customWidth="1"/>
    <col min="15248" max="15248" width="7.75" style="209" customWidth="1"/>
    <col min="15249" max="15249" width="7.875" style="209" customWidth="1"/>
    <col min="15250" max="15250" width="7.375" style="209" customWidth="1"/>
    <col min="15251" max="15251" width="7.875" style="209" customWidth="1"/>
    <col min="15252" max="15258" width="8.875" style="209" customWidth="1"/>
    <col min="15259" max="15259" width="7.5" style="209" customWidth="1"/>
    <col min="15260" max="15260" width="7.25" style="209" customWidth="1"/>
    <col min="15261" max="15261" width="8.375" style="209" customWidth="1"/>
    <col min="15262" max="15262" width="7.25" style="209" customWidth="1"/>
    <col min="15263" max="15263" width="7.625" style="209" customWidth="1"/>
    <col min="15264" max="15361" width="9" style="209"/>
    <col min="15362" max="15362" width="4.5" style="209" bestFit="1" customWidth="1"/>
    <col min="15363" max="15363" width="69.125" style="209" customWidth="1"/>
    <col min="15364" max="15364" width="9.25" style="209" customWidth="1"/>
    <col min="15365" max="15365" width="8.625" style="209" customWidth="1"/>
    <col min="15366" max="15366" width="9.375" style="209" customWidth="1"/>
    <col min="15367" max="15367" width="10.25" style="209" customWidth="1"/>
    <col min="15368" max="15368" width="10.625" style="209" customWidth="1"/>
    <col min="15369" max="15369" width="10" style="209" customWidth="1"/>
    <col min="15370" max="15371" width="8.5" style="209" customWidth="1"/>
    <col min="15372" max="15372" width="7.5" style="209" customWidth="1"/>
    <col min="15373" max="15373" width="7.125" style="209" customWidth="1"/>
    <col min="15374" max="15374" width="8.125" style="209" customWidth="1"/>
    <col min="15375" max="15376" width="7.5" style="209" customWidth="1"/>
    <col min="15377" max="15377" width="8.625" style="209" customWidth="1"/>
    <col min="15378" max="15380" width="7.5" style="209" customWidth="1"/>
    <col min="15381" max="15381" width="8.375" style="209" customWidth="1"/>
    <col min="15382" max="15382" width="7.5" style="209" customWidth="1"/>
    <col min="15383" max="15383" width="8.25" style="209" customWidth="1"/>
    <col min="15384" max="15386" width="7.5" style="209" customWidth="1"/>
    <col min="15387" max="15387" width="8.25" style="209" customWidth="1"/>
    <col min="15388" max="15388" width="8.125" style="209" customWidth="1"/>
    <col min="15389" max="15389" width="8.25" style="209" customWidth="1"/>
    <col min="15390" max="15390" width="8.75" style="209" customWidth="1"/>
    <col min="15391" max="15391" width="7.125" style="209" customWidth="1"/>
    <col min="15392" max="15392" width="9.5" style="209" customWidth="1"/>
    <col min="15393" max="15393" width="8.625" style="209" customWidth="1"/>
    <col min="15394" max="15394" width="8.875" style="209" customWidth="1"/>
    <col min="15395" max="15395" width="8.125" style="209" customWidth="1"/>
    <col min="15396" max="15398" width="7.625" style="209" customWidth="1"/>
    <col min="15399" max="15399" width="6.5" style="209" customWidth="1"/>
    <col min="15400" max="15408" width="8.5" style="209" customWidth="1"/>
    <col min="15409" max="15409" width="7.5" style="209" customWidth="1"/>
    <col min="15410" max="15410" width="7.25" style="209" customWidth="1"/>
    <col min="15411" max="15411" width="8.5" style="209" customWidth="1"/>
    <col min="15412" max="15412" width="9.375" style="209" customWidth="1"/>
    <col min="15413" max="15415" width="8.5" style="209" customWidth="1"/>
    <col min="15416" max="15416" width="9.25" style="209" customWidth="1"/>
    <col min="15417" max="15419" width="8.5" style="209" customWidth="1"/>
    <col min="15420" max="15420" width="7.875" style="209" customWidth="1"/>
    <col min="15421" max="15421" width="8.5" style="209" customWidth="1"/>
    <col min="15422" max="15422" width="7.375" style="209" customWidth="1"/>
    <col min="15423" max="15423" width="7.625" style="209" customWidth="1"/>
    <col min="15424" max="15424" width="9.875" style="209" customWidth="1"/>
    <col min="15425" max="15425" width="8.25" style="209" customWidth="1"/>
    <col min="15426" max="15428" width="8.875" style="209" customWidth="1"/>
    <col min="15429" max="15429" width="8.75" style="209" customWidth="1"/>
    <col min="15430" max="15430" width="8" style="209" customWidth="1"/>
    <col min="15431" max="15431" width="8.25" style="209" customWidth="1"/>
    <col min="15432" max="15432" width="7.375" style="209" customWidth="1"/>
    <col min="15433" max="15433" width="8.875" style="209" customWidth="1"/>
    <col min="15434" max="15434" width="7.375" style="209" customWidth="1"/>
    <col min="15435" max="15435" width="6.625" style="209" customWidth="1"/>
    <col min="15436" max="15436" width="9.5" style="209" customWidth="1"/>
    <col min="15437" max="15437" width="8" style="209" customWidth="1"/>
    <col min="15438" max="15438" width="8.375" style="209" customWidth="1"/>
    <col min="15439" max="15439" width="8.5" style="209" customWidth="1"/>
    <col min="15440" max="15440" width="8" style="209" customWidth="1"/>
    <col min="15441" max="15441" width="7.875" style="209" customWidth="1"/>
    <col min="15442" max="15442" width="8" style="209" customWidth="1"/>
    <col min="15443" max="15443" width="8.5" style="209" customWidth="1"/>
    <col min="15444" max="15446" width="8.125" style="209" customWidth="1"/>
    <col min="15447" max="15447" width="8" style="209" customWidth="1"/>
    <col min="15448" max="15451" width="8.75" style="209" customWidth="1"/>
    <col min="15452" max="15452" width="7.625" style="209" customWidth="1"/>
    <col min="15453" max="15454" width="8.75" style="209" customWidth="1"/>
    <col min="15455" max="15455" width="7.75" style="209" customWidth="1"/>
    <col min="15456" max="15458" width="8" style="209" customWidth="1"/>
    <col min="15459" max="15459" width="7.875" style="209" customWidth="1"/>
    <col min="15460" max="15461" width="8.75" style="209" customWidth="1"/>
    <col min="15462" max="15462" width="8.375" style="209" customWidth="1"/>
    <col min="15463" max="15463" width="8" style="209" customWidth="1"/>
    <col min="15464" max="15464" width="7.875" style="209" customWidth="1"/>
    <col min="15465" max="15467" width="8.25" style="209" customWidth="1"/>
    <col min="15468" max="15470" width="8.125" style="209" customWidth="1"/>
    <col min="15471" max="15471" width="7.875" style="209" customWidth="1"/>
    <col min="15472" max="15472" width="8.875" style="209" customWidth="1"/>
    <col min="15473" max="15473" width="8.375" style="209" customWidth="1"/>
    <col min="15474" max="15474" width="8.25" style="209" customWidth="1"/>
    <col min="15475" max="15475" width="8.875" style="209" customWidth="1"/>
    <col min="15476" max="15476" width="8.125" style="209" customWidth="1"/>
    <col min="15477" max="15477" width="8.25" style="209" customWidth="1"/>
    <col min="15478" max="15478" width="8.875" style="209" customWidth="1"/>
    <col min="15479" max="15479" width="8" style="209" customWidth="1"/>
    <col min="15480" max="15482" width="7.875" style="209" customWidth="1"/>
    <col min="15483" max="15483" width="7.75" style="209" customWidth="1"/>
    <col min="15484" max="15487" width="8.875" style="209" customWidth="1"/>
    <col min="15488" max="15488" width="8.75" style="209" customWidth="1"/>
    <col min="15489" max="15489" width="8.625" style="209" customWidth="1"/>
    <col min="15490" max="15491" width="8.25" style="209" customWidth="1"/>
    <col min="15492" max="15492" width="7.625" style="209" customWidth="1"/>
    <col min="15493" max="15493" width="8" style="209" customWidth="1"/>
    <col min="15494" max="15494" width="7.125" style="209" customWidth="1"/>
    <col min="15495" max="15495" width="7.625" style="209" customWidth="1"/>
    <col min="15496" max="15496" width="8.875" style="209" customWidth="1"/>
    <col min="15497" max="15497" width="8.125" style="209" customWidth="1"/>
    <col min="15498" max="15502" width="8.875" style="209" customWidth="1"/>
    <col min="15503" max="15503" width="8" style="209" customWidth="1"/>
    <col min="15504" max="15504" width="7.75" style="209" customWidth="1"/>
    <col min="15505" max="15505" width="7.875" style="209" customWidth="1"/>
    <col min="15506" max="15506" width="7.375" style="209" customWidth="1"/>
    <col min="15507" max="15507" width="7.875" style="209" customWidth="1"/>
    <col min="15508" max="15514" width="8.875" style="209" customWidth="1"/>
    <col min="15515" max="15515" width="7.5" style="209" customWidth="1"/>
    <col min="15516" max="15516" width="7.25" style="209" customWidth="1"/>
    <col min="15517" max="15517" width="8.375" style="209" customWidth="1"/>
    <col min="15518" max="15518" width="7.25" style="209" customWidth="1"/>
    <col min="15519" max="15519" width="7.625" style="209" customWidth="1"/>
    <col min="15520" max="15617" width="9" style="209"/>
    <col min="15618" max="15618" width="4.5" style="209" bestFit="1" customWidth="1"/>
    <col min="15619" max="15619" width="69.125" style="209" customWidth="1"/>
    <col min="15620" max="15620" width="9.25" style="209" customWidth="1"/>
    <col min="15621" max="15621" width="8.625" style="209" customWidth="1"/>
    <col min="15622" max="15622" width="9.375" style="209" customWidth="1"/>
    <col min="15623" max="15623" width="10.25" style="209" customWidth="1"/>
    <col min="15624" max="15624" width="10.625" style="209" customWidth="1"/>
    <col min="15625" max="15625" width="10" style="209" customWidth="1"/>
    <col min="15626" max="15627" width="8.5" style="209" customWidth="1"/>
    <col min="15628" max="15628" width="7.5" style="209" customWidth="1"/>
    <col min="15629" max="15629" width="7.125" style="209" customWidth="1"/>
    <col min="15630" max="15630" width="8.125" style="209" customWidth="1"/>
    <col min="15631" max="15632" width="7.5" style="209" customWidth="1"/>
    <col min="15633" max="15633" width="8.625" style="209" customWidth="1"/>
    <col min="15634" max="15636" width="7.5" style="209" customWidth="1"/>
    <col min="15637" max="15637" width="8.375" style="209" customWidth="1"/>
    <col min="15638" max="15638" width="7.5" style="209" customWidth="1"/>
    <col min="15639" max="15639" width="8.25" style="209" customWidth="1"/>
    <col min="15640" max="15642" width="7.5" style="209" customWidth="1"/>
    <col min="15643" max="15643" width="8.25" style="209" customWidth="1"/>
    <col min="15644" max="15644" width="8.125" style="209" customWidth="1"/>
    <col min="15645" max="15645" width="8.25" style="209" customWidth="1"/>
    <col min="15646" max="15646" width="8.75" style="209" customWidth="1"/>
    <col min="15647" max="15647" width="7.125" style="209" customWidth="1"/>
    <col min="15648" max="15648" width="9.5" style="209" customWidth="1"/>
    <col min="15649" max="15649" width="8.625" style="209" customWidth="1"/>
    <col min="15650" max="15650" width="8.875" style="209" customWidth="1"/>
    <col min="15651" max="15651" width="8.125" style="209" customWidth="1"/>
    <col min="15652" max="15654" width="7.625" style="209" customWidth="1"/>
    <col min="15655" max="15655" width="6.5" style="209" customWidth="1"/>
    <col min="15656" max="15664" width="8.5" style="209" customWidth="1"/>
    <col min="15665" max="15665" width="7.5" style="209" customWidth="1"/>
    <col min="15666" max="15666" width="7.25" style="209" customWidth="1"/>
    <col min="15667" max="15667" width="8.5" style="209" customWidth="1"/>
    <col min="15668" max="15668" width="9.375" style="209" customWidth="1"/>
    <col min="15669" max="15671" width="8.5" style="209" customWidth="1"/>
    <col min="15672" max="15672" width="9.25" style="209" customWidth="1"/>
    <col min="15673" max="15675" width="8.5" style="209" customWidth="1"/>
    <col min="15676" max="15676" width="7.875" style="209" customWidth="1"/>
    <col min="15677" max="15677" width="8.5" style="209" customWidth="1"/>
    <col min="15678" max="15678" width="7.375" style="209" customWidth="1"/>
    <col min="15679" max="15679" width="7.625" style="209" customWidth="1"/>
    <col min="15680" max="15680" width="9.875" style="209" customWidth="1"/>
    <col min="15681" max="15681" width="8.25" style="209" customWidth="1"/>
    <col min="15682" max="15684" width="8.875" style="209" customWidth="1"/>
    <col min="15685" max="15685" width="8.75" style="209" customWidth="1"/>
    <col min="15686" max="15686" width="8" style="209" customWidth="1"/>
    <col min="15687" max="15687" width="8.25" style="209" customWidth="1"/>
    <col min="15688" max="15688" width="7.375" style="209" customWidth="1"/>
    <col min="15689" max="15689" width="8.875" style="209" customWidth="1"/>
    <col min="15690" max="15690" width="7.375" style="209" customWidth="1"/>
    <col min="15691" max="15691" width="6.625" style="209" customWidth="1"/>
    <col min="15692" max="15692" width="9.5" style="209" customWidth="1"/>
    <col min="15693" max="15693" width="8" style="209" customWidth="1"/>
    <col min="15694" max="15694" width="8.375" style="209" customWidth="1"/>
    <col min="15695" max="15695" width="8.5" style="209" customWidth="1"/>
    <col min="15696" max="15696" width="8" style="209" customWidth="1"/>
    <col min="15697" max="15697" width="7.875" style="209" customWidth="1"/>
    <col min="15698" max="15698" width="8" style="209" customWidth="1"/>
    <col min="15699" max="15699" width="8.5" style="209" customWidth="1"/>
    <col min="15700" max="15702" width="8.125" style="209" customWidth="1"/>
    <col min="15703" max="15703" width="8" style="209" customWidth="1"/>
    <col min="15704" max="15707" width="8.75" style="209" customWidth="1"/>
    <col min="15708" max="15708" width="7.625" style="209" customWidth="1"/>
    <col min="15709" max="15710" width="8.75" style="209" customWidth="1"/>
    <col min="15711" max="15711" width="7.75" style="209" customWidth="1"/>
    <col min="15712" max="15714" width="8" style="209" customWidth="1"/>
    <col min="15715" max="15715" width="7.875" style="209" customWidth="1"/>
    <col min="15716" max="15717" width="8.75" style="209" customWidth="1"/>
    <col min="15718" max="15718" width="8.375" style="209" customWidth="1"/>
    <col min="15719" max="15719" width="8" style="209" customWidth="1"/>
    <col min="15720" max="15720" width="7.875" style="209" customWidth="1"/>
    <col min="15721" max="15723" width="8.25" style="209" customWidth="1"/>
    <col min="15724" max="15726" width="8.125" style="209" customWidth="1"/>
    <col min="15727" max="15727" width="7.875" style="209" customWidth="1"/>
    <col min="15728" max="15728" width="8.875" style="209" customWidth="1"/>
    <col min="15729" max="15729" width="8.375" style="209" customWidth="1"/>
    <col min="15730" max="15730" width="8.25" style="209" customWidth="1"/>
    <col min="15731" max="15731" width="8.875" style="209" customWidth="1"/>
    <col min="15732" max="15732" width="8.125" style="209" customWidth="1"/>
    <col min="15733" max="15733" width="8.25" style="209" customWidth="1"/>
    <col min="15734" max="15734" width="8.875" style="209" customWidth="1"/>
    <col min="15735" max="15735" width="8" style="209" customWidth="1"/>
    <col min="15736" max="15738" width="7.875" style="209" customWidth="1"/>
    <col min="15739" max="15739" width="7.75" style="209" customWidth="1"/>
    <col min="15740" max="15743" width="8.875" style="209" customWidth="1"/>
    <col min="15744" max="15744" width="8.75" style="209" customWidth="1"/>
    <col min="15745" max="15745" width="8.625" style="209" customWidth="1"/>
    <col min="15746" max="15747" width="8.25" style="209" customWidth="1"/>
    <col min="15748" max="15748" width="7.625" style="209" customWidth="1"/>
    <col min="15749" max="15749" width="8" style="209" customWidth="1"/>
    <col min="15750" max="15750" width="7.125" style="209" customWidth="1"/>
    <col min="15751" max="15751" width="7.625" style="209" customWidth="1"/>
    <col min="15752" max="15752" width="8.875" style="209" customWidth="1"/>
    <col min="15753" max="15753" width="8.125" style="209" customWidth="1"/>
    <col min="15754" max="15758" width="8.875" style="209" customWidth="1"/>
    <col min="15759" max="15759" width="8" style="209" customWidth="1"/>
    <col min="15760" max="15760" width="7.75" style="209" customWidth="1"/>
    <col min="15761" max="15761" width="7.875" style="209" customWidth="1"/>
    <col min="15762" max="15762" width="7.375" style="209" customWidth="1"/>
    <col min="15763" max="15763" width="7.875" style="209" customWidth="1"/>
    <col min="15764" max="15770" width="8.875" style="209" customWidth="1"/>
    <col min="15771" max="15771" width="7.5" style="209" customWidth="1"/>
    <col min="15772" max="15772" width="7.25" style="209" customWidth="1"/>
    <col min="15773" max="15773" width="8.375" style="209" customWidth="1"/>
    <col min="15774" max="15774" width="7.25" style="209" customWidth="1"/>
    <col min="15775" max="15775" width="7.625" style="209" customWidth="1"/>
    <col min="15776" max="15873" width="9" style="209"/>
    <col min="15874" max="15874" width="4.5" style="209" bestFit="1" customWidth="1"/>
    <col min="15875" max="15875" width="69.125" style="209" customWidth="1"/>
    <col min="15876" max="15876" width="9.25" style="209" customWidth="1"/>
    <col min="15877" max="15877" width="8.625" style="209" customWidth="1"/>
    <col min="15878" max="15878" width="9.375" style="209" customWidth="1"/>
    <col min="15879" max="15879" width="10.25" style="209" customWidth="1"/>
    <col min="15880" max="15880" width="10.625" style="209" customWidth="1"/>
    <col min="15881" max="15881" width="10" style="209" customWidth="1"/>
    <col min="15882" max="15883" width="8.5" style="209" customWidth="1"/>
    <col min="15884" max="15884" width="7.5" style="209" customWidth="1"/>
    <col min="15885" max="15885" width="7.125" style="209" customWidth="1"/>
    <col min="15886" max="15886" width="8.125" style="209" customWidth="1"/>
    <col min="15887" max="15888" width="7.5" style="209" customWidth="1"/>
    <col min="15889" max="15889" width="8.625" style="209" customWidth="1"/>
    <col min="15890" max="15892" width="7.5" style="209" customWidth="1"/>
    <col min="15893" max="15893" width="8.375" style="209" customWidth="1"/>
    <col min="15894" max="15894" width="7.5" style="209" customWidth="1"/>
    <col min="15895" max="15895" width="8.25" style="209" customWidth="1"/>
    <col min="15896" max="15898" width="7.5" style="209" customWidth="1"/>
    <col min="15899" max="15899" width="8.25" style="209" customWidth="1"/>
    <col min="15900" max="15900" width="8.125" style="209" customWidth="1"/>
    <col min="15901" max="15901" width="8.25" style="209" customWidth="1"/>
    <col min="15902" max="15902" width="8.75" style="209" customWidth="1"/>
    <col min="15903" max="15903" width="7.125" style="209" customWidth="1"/>
    <col min="15904" max="15904" width="9.5" style="209" customWidth="1"/>
    <col min="15905" max="15905" width="8.625" style="209" customWidth="1"/>
    <col min="15906" max="15906" width="8.875" style="209" customWidth="1"/>
    <col min="15907" max="15907" width="8.125" style="209" customWidth="1"/>
    <col min="15908" max="15910" width="7.625" style="209" customWidth="1"/>
    <col min="15911" max="15911" width="6.5" style="209" customWidth="1"/>
    <col min="15912" max="15920" width="8.5" style="209" customWidth="1"/>
    <col min="15921" max="15921" width="7.5" style="209" customWidth="1"/>
    <col min="15922" max="15922" width="7.25" style="209" customWidth="1"/>
    <col min="15923" max="15923" width="8.5" style="209" customWidth="1"/>
    <col min="15924" max="15924" width="9.375" style="209" customWidth="1"/>
    <col min="15925" max="15927" width="8.5" style="209" customWidth="1"/>
    <col min="15928" max="15928" width="9.25" style="209" customWidth="1"/>
    <col min="15929" max="15931" width="8.5" style="209" customWidth="1"/>
    <col min="15932" max="15932" width="7.875" style="209" customWidth="1"/>
    <col min="15933" max="15933" width="8.5" style="209" customWidth="1"/>
    <col min="15934" max="15934" width="7.375" style="209" customWidth="1"/>
    <col min="15935" max="15935" width="7.625" style="209" customWidth="1"/>
    <col min="15936" max="15936" width="9.875" style="209" customWidth="1"/>
    <col min="15937" max="15937" width="8.25" style="209" customWidth="1"/>
    <col min="15938" max="15940" width="8.875" style="209" customWidth="1"/>
    <col min="15941" max="15941" width="8.75" style="209" customWidth="1"/>
    <col min="15942" max="15942" width="8" style="209" customWidth="1"/>
    <col min="15943" max="15943" width="8.25" style="209" customWidth="1"/>
    <col min="15944" max="15944" width="7.375" style="209" customWidth="1"/>
    <col min="15945" max="15945" width="8.875" style="209" customWidth="1"/>
    <col min="15946" max="15946" width="7.375" style="209" customWidth="1"/>
    <col min="15947" max="15947" width="6.625" style="209" customWidth="1"/>
    <col min="15948" max="15948" width="9.5" style="209" customWidth="1"/>
    <col min="15949" max="15949" width="8" style="209" customWidth="1"/>
    <col min="15950" max="15950" width="8.375" style="209" customWidth="1"/>
    <col min="15951" max="15951" width="8.5" style="209" customWidth="1"/>
    <col min="15952" max="15952" width="8" style="209" customWidth="1"/>
    <col min="15953" max="15953" width="7.875" style="209" customWidth="1"/>
    <col min="15954" max="15954" width="8" style="209" customWidth="1"/>
    <col min="15955" max="15955" width="8.5" style="209" customWidth="1"/>
    <col min="15956" max="15958" width="8.125" style="209" customWidth="1"/>
    <col min="15959" max="15959" width="8" style="209" customWidth="1"/>
    <col min="15960" max="15963" width="8.75" style="209" customWidth="1"/>
    <col min="15964" max="15964" width="7.625" style="209" customWidth="1"/>
    <col min="15965" max="15966" width="8.75" style="209" customWidth="1"/>
    <col min="15967" max="15967" width="7.75" style="209" customWidth="1"/>
    <col min="15968" max="15970" width="8" style="209" customWidth="1"/>
    <col min="15971" max="15971" width="7.875" style="209" customWidth="1"/>
    <col min="15972" max="15973" width="8.75" style="209" customWidth="1"/>
    <col min="15974" max="15974" width="8.375" style="209" customWidth="1"/>
    <col min="15975" max="15975" width="8" style="209" customWidth="1"/>
    <col min="15976" max="15976" width="7.875" style="209" customWidth="1"/>
    <col min="15977" max="15979" width="8.25" style="209" customWidth="1"/>
    <col min="15980" max="15982" width="8.125" style="209" customWidth="1"/>
    <col min="15983" max="15983" width="7.875" style="209" customWidth="1"/>
    <col min="15984" max="15984" width="8.875" style="209" customWidth="1"/>
    <col min="15985" max="15985" width="8.375" style="209" customWidth="1"/>
    <col min="15986" max="15986" width="8.25" style="209" customWidth="1"/>
    <col min="15987" max="15987" width="8.875" style="209" customWidth="1"/>
    <col min="15988" max="15988" width="8.125" style="209" customWidth="1"/>
    <col min="15989" max="15989" width="8.25" style="209" customWidth="1"/>
    <col min="15990" max="15990" width="8.875" style="209" customWidth="1"/>
    <col min="15991" max="15991" width="8" style="209" customWidth="1"/>
    <col min="15992" max="15994" width="7.875" style="209" customWidth="1"/>
    <col min="15995" max="15995" width="7.75" style="209" customWidth="1"/>
    <col min="15996" max="15999" width="8.875" style="209" customWidth="1"/>
    <col min="16000" max="16000" width="8.75" style="209" customWidth="1"/>
    <col min="16001" max="16001" width="8.625" style="209" customWidth="1"/>
    <col min="16002" max="16003" width="8.25" style="209" customWidth="1"/>
    <col min="16004" max="16004" width="7.625" style="209" customWidth="1"/>
    <col min="16005" max="16005" width="8" style="209" customWidth="1"/>
    <col min="16006" max="16006" width="7.125" style="209" customWidth="1"/>
    <col min="16007" max="16007" width="7.625" style="209" customWidth="1"/>
    <col min="16008" max="16008" width="8.875" style="209" customWidth="1"/>
    <col min="16009" max="16009" width="8.125" style="209" customWidth="1"/>
    <col min="16010" max="16014" width="8.875" style="209" customWidth="1"/>
    <col min="16015" max="16015" width="8" style="209" customWidth="1"/>
    <col min="16016" max="16016" width="7.75" style="209" customWidth="1"/>
    <col min="16017" max="16017" width="7.875" style="209" customWidth="1"/>
    <col min="16018" max="16018" width="7.375" style="209" customWidth="1"/>
    <col min="16019" max="16019" width="7.875" style="209" customWidth="1"/>
    <col min="16020" max="16026" width="8.875" style="209" customWidth="1"/>
    <col min="16027" max="16027" width="7.5" style="209" customWidth="1"/>
    <col min="16028" max="16028" width="7.25" style="209" customWidth="1"/>
    <col min="16029" max="16029" width="8.375" style="209" customWidth="1"/>
    <col min="16030" max="16030" width="7.25" style="209" customWidth="1"/>
    <col min="16031" max="16031" width="7.625" style="209" customWidth="1"/>
    <col min="16032" max="16129" width="9" style="209"/>
    <col min="16130" max="16130" width="4.5" style="209" bestFit="1" customWidth="1"/>
    <col min="16131" max="16131" width="69.125" style="209" customWidth="1"/>
    <col min="16132" max="16132" width="9.25" style="209" customWidth="1"/>
    <col min="16133" max="16133" width="8.625" style="209" customWidth="1"/>
    <col min="16134" max="16134" width="9.375" style="209" customWidth="1"/>
    <col min="16135" max="16135" width="10.25" style="209" customWidth="1"/>
    <col min="16136" max="16136" width="10.625" style="209" customWidth="1"/>
    <col min="16137" max="16137" width="10" style="209" customWidth="1"/>
    <col min="16138" max="16139" width="8.5" style="209" customWidth="1"/>
    <col min="16140" max="16140" width="7.5" style="209" customWidth="1"/>
    <col min="16141" max="16141" width="7.125" style="209" customWidth="1"/>
    <col min="16142" max="16142" width="8.125" style="209" customWidth="1"/>
    <col min="16143" max="16144" width="7.5" style="209" customWidth="1"/>
    <col min="16145" max="16145" width="8.625" style="209" customWidth="1"/>
    <col min="16146" max="16148" width="7.5" style="209" customWidth="1"/>
    <col min="16149" max="16149" width="8.375" style="209" customWidth="1"/>
    <col min="16150" max="16150" width="7.5" style="209" customWidth="1"/>
    <col min="16151" max="16151" width="8.25" style="209" customWidth="1"/>
    <col min="16152" max="16154" width="7.5" style="209" customWidth="1"/>
    <col min="16155" max="16155" width="8.25" style="209" customWidth="1"/>
    <col min="16156" max="16156" width="8.125" style="209" customWidth="1"/>
    <col min="16157" max="16157" width="8.25" style="209" customWidth="1"/>
    <col min="16158" max="16158" width="8.75" style="209" customWidth="1"/>
    <col min="16159" max="16159" width="7.125" style="209" customWidth="1"/>
    <col min="16160" max="16160" width="9.5" style="209" customWidth="1"/>
    <col min="16161" max="16161" width="8.625" style="209" customWidth="1"/>
    <col min="16162" max="16162" width="8.875" style="209" customWidth="1"/>
    <col min="16163" max="16163" width="8.125" style="209" customWidth="1"/>
    <col min="16164" max="16166" width="7.625" style="209" customWidth="1"/>
    <col min="16167" max="16167" width="6.5" style="209" customWidth="1"/>
    <col min="16168" max="16176" width="8.5" style="209" customWidth="1"/>
    <col min="16177" max="16177" width="7.5" style="209" customWidth="1"/>
    <col min="16178" max="16178" width="7.25" style="209" customWidth="1"/>
    <col min="16179" max="16179" width="8.5" style="209" customWidth="1"/>
    <col min="16180" max="16180" width="9.375" style="209" customWidth="1"/>
    <col min="16181" max="16183" width="8.5" style="209" customWidth="1"/>
    <col min="16184" max="16184" width="9.25" style="209" customWidth="1"/>
    <col min="16185" max="16187" width="8.5" style="209" customWidth="1"/>
    <col min="16188" max="16188" width="7.875" style="209" customWidth="1"/>
    <col min="16189" max="16189" width="8.5" style="209" customWidth="1"/>
    <col min="16190" max="16190" width="7.375" style="209" customWidth="1"/>
    <col min="16191" max="16191" width="7.625" style="209" customWidth="1"/>
    <col min="16192" max="16192" width="9.875" style="209" customWidth="1"/>
    <col min="16193" max="16193" width="8.25" style="209" customWidth="1"/>
    <col min="16194" max="16196" width="8.875" style="209" customWidth="1"/>
    <col min="16197" max="16197" width="8.75" style="209" customWidth="1"/>
    <col min="16198" max="16198" width="8" style="209" customWidth="1"/>
    <col min="16199" max="16199" width="8.25" style="209" customWidth="1"/>
    <col min="16200" max="16200" width="7.375" style="209" customWidth="1"/>
    <col min="16201" max="16201" width="8.875" style="209" customWidth="1"/>
    <col min="16202" max="16202" width="7.375" style="209" customWidth="1"/>
    <col min="16203" max="16203" width="6.625" style="209" customWidth="1"/>
    <col min="16204" max="16204" width="9.5" style="209" customWidth="1"/>
    <col min="16205" max="16205" width="8" style="209" customWidth="1"/>
    <col min="16206" max="16206" width="8.375" style="209" customWidth="1"/>
    <col min="16207" max="16207" width="8.5" style="209" customWidth="1"/>
    <col min="16208" max="16208" width="8" style="209" customWidth="1"/>
    <col min="16209" max="16209" width="7.875" style="209" customWidth="1"/>
    <col min="16210" max="16210" width="8" style="209" customWidth="1"/>
    <col min="16211" max="16211" width="8.5" style="209" customWidth="1"/>
    <col min="16212" max="16214" width="8.125" style="209" customWidth="1"/>
    <col min="16215" max="16215" width="8" style="209" customWidth="1"/>
    <col min="16216" max="16219" width="8.75" style="209" customWidth="1"/>
    <col min="16220" max="16220" width="7.625" style="209" customWidth="1"/>
    <col min="16221" max="16222" width="8.75" style="209" customWidth="1"/>
    <col min="16223" max="16223" width="7.75" style="209" customWidth="1"/>
    <col min="16224" max="16226" width="8" style="209" customWidth="1"/>
    <col min="16227" max="16227" width="7.875" style="209" customWidth="1"/>
    <col min="16228" max="16229" width="8.75" style="209" customWidth="1"/>
    <col min="16230" max="16230" width="8.375" style="209" customWidth="1"/>
    <col min="16231" max="16231" width="8" style="209" customWidth="1"/>
    <col min="16232" max="16232" width="7.875" style="209" customWidth="1"/>
    <col min="16233" max="16235" width="8.25" style="209" customWidth="1"/>
    <col min="16236" max="16238" width="8.125" style="209" customWidth="1"/>
    <col min="16239" max="16239" width="7.875" style="209" customWidth="1"/>
    <col min="16240" max="16240" width="8.875" style="209" customWidth="1"/>
    <col min="16241" max="16241" width="8.375" style="209" customWidth="1"/>
    <col min="16242" max="16242" width="8.25" style="209" customWidth="1"/>
    <col min="16243" max="16243" width="8.875" style="209" customWidth="1"/>
    <col min="16244" max="16244" width="8.125" style="209" customWidth="1"/>
    <col min="16245" max="16245" width="8.25" style="209" customWidth="1"/>
    <col min="16246" max="16246" width="8.875" style="209" customWidth="1"/>
    <col min="16247" max="16247" width="8" style="209" customWidth="1"/>
    <col min="16248" max="16250" width="7.875" style="209" customWidth="1"/>
    <col min="16251" max="16251" width="7.75" style="209" customWidth="1"/>
    <col min="16252" max="16255" width="8.875" style="209" customWidth="1"/>
    <col min="16256" max="16256" width="8.75" style="209" customWidth="1"/>
    <col min="16257" max="16257" width="8.625" style="209" customWidth="1"/>
    <col min="16258" max="16259" width="8.25" style="209" customWidth="1"/>
    <col min="16260" max="16260" width="7.625" style="209" customWidth="1"/>
    <col min="16261" max="16261" width="8" style="209" customWidth="1"/>
    <col min="16262" max="16262" width="7.125" style="209" customWidth="1"/>
    <col min="16263" max="16263" width="7.625" style="209" customWidth="1"/>
    <col min="16264" max="16264" width="8.875" style="209" customWidth="1"/>
    <col min="16265" max="16265" width="8.125" style="209" customWidth="1"/>
    <col min="16266" max="16270" width="8.875" style="209" customWidth="1"/>
    <col min="16271" max="16271" width="8" style="209" customWidth="1"/>
    <col min="16272" max="16272" width="7.75" style="209" customWidth="1"/>
    <col min="16273" max="16273" width="7.875" style="209" customWidth="1"/>
    <col min="16274" max="16274" width="7.375" style="209" customWidth="1"/>
    <col min="16275" max="16275" width="7.875" style="209" customWidth="1"/>
    <col min="16276" max="16282" width="8.875" style="209" customWidth="1"/>
    <col min="16283" max="16283" width="7.5" style="209" customWidth="1"/>
    <col min="16284" max="16284" width="7.25" style="209" customWidth="1"/>
    <col min="16285" max="16285" width="8.375" style="209" customWidth="1"/>
    <col min="16286" max="16286" width="7.25" style="209" customWidth="1"/>
    <col min="16287" max="16287" width="7.625" style="209" customWidth="1"/>
    <col min="16288" max="16384" width="9" style="209"/>
  </cols>
  <sheetData>
    <row r="1" spans="1:162" ht="43.5" customHeight="1" x14ac:dyDescent="0.25">
      <c r="C1" s="149" t="s">
        <v>1550</v>
      </c>
      <c r="D1" s="150"/>
      <c r="E1" s="150"/>
      <c r="F1" s="150"/>
      <c r="G1" s="150"/>
      <c r="H1" s="150"/>
      <c r="I1" s="150"/>
      <c r="J1" s="150"/>
      <c r="K1" s="150"/>
      <c r="L1" s="150"/>
      <c r="M1" s="150"/>
      <c r="N1" s="150"/>
      <c r="O1" s="149" t="s">
        <v>1550</v>
      </c>
      <c r="P1" s="150"/>
      <c r="Q1" s="150"/>
      <c r="R1" s="150"/>
      <c r="S1" s="149"/>
      <c r="T1" s="150"/>
      <c r="U1" s="150"/>
      <c r="V1" s="150"/>
      <c r="W1" s="150"/>
      <c r="X1" s="150"/>
      <c r="Y1" s="150"/>
      <c r="Z1" s="150"/>
      <c r="AA1" s="149"/>
      <c r="AB1" s="150"/>
      <c r="AC1" s="150"/>
      <c r="AD1" s="150"/>
      <c r="AE1" s="150"/>
      <c r="AF1" s="150"/>
      <c r="AG1" s="150"/>
      <c r="AH1" s="150"/>
      <c r="AI1" s="149"/>
      <c r="AJ1" s="150"/>
      <c r="AK1" s="150"/>
      <c r="AL1" s="150"/>
      <c r="AM1" s="149" t="s">
        <v>1550</v>
      </c>
      <c r="AN1" s="150"/>
      <c r="AO1" s="150"/>
      <c r="AP1" s="150"/>
      <c r="AQ1" s="149"/>
      <c r="AR1" s="150"/>
      <c r="AS1" s="150"/>
      <c r="AT1" s="150"/>
      <c r="AU1" s="150"/>
      <c r="AV1" s="150"/>
      <c r="AW1" s="150"/>
      <c r="AX1" s="150"/>
      <c r="AY1" s="149"/>
      <c r="AZ1" s="150"/>
      <c r="BA1" s="150"/>
      <c r="BB1" s="150"/>
      <c r="BC1" s="150"/>
      <c r="BD1" s="150"/>
      <c r="BE1" s="150"/>
      <c r="BF1" s="150"/>
      <c r="BG1" s="149"/>
      <c r="BH1" s="150"/>
      <c r="BI1" s="150"/>
      <c r="BJ1" s="150"/>
      <c r="BK1" s="149" t="s">
        <v>1550</v>
      </c>
      <c r="BL1" s="150"/>
      <c r="BM1" s="150"/>
      <c r="BN1" s="150"/>
      <c r="BO1" s="149"/>
      <c r="BP1" s="150"/>
      <c r="BQ1" s="150"/>
      <c r="BR1" s="150"/>
      <c r="BS1" s="150"/>
      <c r="BT1" s="150"/>
      <c r="BU1" s="150"/>
      <c r="BV1" s="150"/>
      <c r="BW1" s="149"/>
      <c r="BX1" s="150"/>
      <c r="BY1" s="150"/>
      <c r="BZ1" s="150"/>
      <c r="CA1" s="150"/>
      <c r="CB1" s="150"/>
      <c r="CC1" s="150"/>
      <c r="CD1" s="150"/>
      <c r="CE1" s="149"/>
      <c r="CF1" s="150"/>
      <c r="CG1" s="150"/>
      <c r="CH1" s="150"/>
      <c r="CI1" s="149" t="s">
        <v>1550</v>
      </c>
      <c r="CJ1" s="150"/>
      <c r="CK1" s="150"/>
      <c r="CL1" s="150"/>
      <c r="CM1" s="149"/>
      <c r="CN1" s="150"/>
      <c r="CO1" s="150"/>
      <c r="CP1" s="150"/>
      <c r="CQ1" s="150"/>
      <c r="CR1" s="150"/>
      <c r="CS1" s="150"/>
      <c r="CT1" s="150"/>
      <c r="CU1" s="149"/>
      <c r="CV1" s="150"/>
      <c r="CW1" s="150"/>
      <c r="CX1" s="150"/>
      <c r="CY1" s="150"/>
      <c r="CZ1" s="150"/>
      <c r="DA1" s="150"/>
      <c r="DB1" s="150"/>
      <c r="DC1" s="150"/>
      <c r="DD1" s="150"/>
      <c r="DE1" s="150"/>
      <c r="DF1" s="150"/>
      <c r="DG1" s="149" t="s">
        <v>1550</v>
      </c>
      <c r="DH1" s="150"/>
      <c r="DI1" s="150"/>
      <c r="DJ1" s="150"/>
      <c r="DK1" s="150"/>
      <c r="DL1" s="150"/>
      <c r="DM1" s="150"/>
      <c r="DN1" s="150"/>
      <c r="DO1" s="150"/>
      <c r="DP1" s="150"/>
      <c r="DQ1" s="150"/>
      <c r="DR1" s="150"/>
      <c r="DS1" s="149" t="s">
        <v>1550</v>
      </c>
      <c r="DT1" s="150"/>
      <c r="DU1" s="150"/>
      <c r="DV1" s="150"/>
      <c r="DW1" s="150"/>
      <c r="DX1" s="150"/>
      <c r="DY1" s="150"/>
      <c r="DZ1" s="150"/>
      <c r="EA1" s="150"/>
      <c r="EB1" s="150"/>
      <c r="EC1" s="150"/>
      <c r="ED1" s="150"/>
      <c r="EE1" s="149" t="s">
        <v>1550</v>
      </c>
      <c r="EF1" s="150"/>
      <c r="EG1" s="150"/>
      <c r="EH1" s="150"/>
      <c r="EI1" s="150"/>
      <c r="EJ1" s="150"/>
      <c r="EK1" s="150"/>
      <c r="EL1" s="150"/>
      <c r="EM1" s="150"/>
      <c r="EN1" s="150"/>
      <c r="EO1" s="150"/>
      <c r="EP1" s="150"/>
      <c r="EQ1" s="149" t="s">
        <v>1550</v>
      </c>
      <c r="ER1" s="150"/>
      <c r="ES1" s="150"/>
      <c r="ET1" s="150"/>
      <c r="EU1" s="150"/>
      <c r="EV1" s="150"/>
      <c r="EW1" s="150"/>
      <c r="EX1" s="150"/>
      <c r="EY1" s="150"/>
      <c r="EZ1" s="150"/>
      <c r="FA1" s="150"/>
      <c r="FB1" s="150"/>
    </row>
    <row r="2" spans="1:162" ht="18" customHeight="1" x14ac:dyDescent="0.25">
      <c r="B2" s="151"/>
      <c r="C2" s="151"/>
      <c r="D2" s="151"/>
      <c r="E2" s="151"/>
      <c r="F2" s="151"/>
      <c r="G2" s="151"/>
      <c r="H2" s="151"/>
      <c r="I2" s="151"/>
      <c r="J2" s="151"/>
      <c r="K2" s="151"/>
      <c r="L2" s="151"/>
      <c r="M2" s="151"/>
      <c r="N2" s="842" t="s">
        <v>516</v>
      </c>
      <c r="O2" s="842"/>
      <c r="P2" s="842"/>
      <c r="Q2" s="842"/>
      <c r="R2" s="842"/>
      <c r="S2" s="842"/>
      <c r="T2" s="842"/>
      <c r="U2" s="842"/>
      <c r="V2" s="842"/>
      <c r="W2" s="842"/>
      <c r="X2" s="842"/>
      <c r="Y2" s="842"/>
      <c r="Z2" s="842"/>
      <c r="AA2" s="151"/>
      <c r="AB2" s="151"/>
      <c r="AC2" s="151"/>
      <c r="AD2" s="151"/>
      <c r="AE2" s="151"/>
      <c r="AF2" s="151"/>
      <c r="AG2" s="151"/>
      <c r="AH2" s="151"/>
      <c r="AI2" s="151"/>
      <c r="AJ2" s="151"/>
      <c r="AK2" s="151"/>
      <c r="AL2" s="842" t="s">
        <v>516</v>
      </c>
      <c r="AM2" s="151"/>
      <c r="AN2" s="151"/>
      <c r="AO2" s="151"/>
      <c r="AP2" s="151"/>
      <c r="AQ2" s="151"/>
      <c r="AR2" s="151"/>
      <c r="AS2" s="151"/>
      <c r="AT2" s="151"/>
      <c r="AU2" s="151"/>
      <c r="AV2" s="151"/>
      <c r="AW2" s="151"/>
      <c r="AX2" s="842" t="s">
        <v>516</v>
      </c>
      <c r="BA2" s="210"/>
      <c r="BB2" s="210"/>
      <c r="BC2" s="210"/>
      <c r="BD2" s="210"/>
      <c r="BE2" s="210"/>
      <c r="BF2" s="210"/>
      <c r="BJ2" s="842" t="s">
        <v>516</v>
      </c>
      <c r="BM2" s="210"/>
      <c r="BN2" s="210"/>
      <c r="BO2" s="210"/>
      <c r="BP2" s="210"/>
      <c r="BQ2" s="210"/>
      <c r="BR2" s="210"/>
      <c r="BS2" s="210"/>
      <c r="BT2" s="210"/>
      <c r="BU2" s="210"/>
      <c r="BV2" s="842" t="s">
        <v>516</v>
      </c>
      <c r="BY2" s="210"/>
      <c r="CH2" s="842" t="s">
        <v>516</v>
      </c>
      <c r="CK2" s="210"/>
      <c r="CL2" s="210"/>
      <c r="CM2" s="210"/>
      <c r="CN2" s="210"/>
      <c r="CO2" s="210"/>
      <c r="CP2" s="210"/>
      <c r="CT2" s="842" t="s">
        <v>516</v>
      </c>
      <c r="CW2" s="210"/>
      <c r="CX2" s="210"/>
      <c r="CY2" s="210"/>
      <c r="CZ2" s="210"/>
      <c r="DA2" s="210"/>
      <c r="DB2" s="210"/>
      <c r="DF2" s="842" t="s">
        <v>516</v>
      </c>
      <c r="DI2" s="210"/>
      <c r="DJ2" s="210"/>
      <c r="DK2" s="210"/>
      <c r="DL2" s="210"/>
      <c r="DM2" s="210"/>
      <c r="DN2" s="210"/>
      <c r="DR2" s="842" t="s">
        <v>516</v>
      </c>
      <c r="DU2" s="210"/>
      <c r="DV2" s="210"/>
      <c r="DW2" s="210"/>
      <c r="DX2" s="210"/>
      <c r="DY2" s="210"/>
      <c r="DZ2" s="210"/>
      <c r="ED2" s="842" t="s">
        <v>516</v>
      </c>
      <c r="EF2" s="210"/>
      <c r="EG2" s="210"/>
      <c r="EH2" s="210"/>
      <c r="EI2" s="210"/>
      <c r="EJ2" s="210"/>
      <c r="EK2" s="210"/>
      <c r="EL2" s="210"/>
      <c r="EM2" s="210"/>
      <c r="EN2" s="210"/>
      <c r="EO2" s="210"/>
      <c r="EP2" s="842" t="s">
        <v>516</v>
      </c>
      <c r="ES2" s="210"/>
      <c r="ET2" s="210"/>
      <c r="EU2" s="210"/>
      <c r="EV2" s="210"/>
      <c r="EW2" s="210"/>
      <c r="EX2" s="210"/>
      <c r="FB2" s="842" t="s">
        <v>516</v>
      </c>
    </row>
    <row r="3" spans="1:162" s="846" customFormat="1" ht="30" customHeight="1" x14ac:dyDescent="0.25">
      <c r="A3" s="1491" t="s">
        <v>519</v>
      </c>
      <c r="B3" s="1491" t="s">
        <v>33</v>
      </c>
      <c r="C3" s="1491" t="s">
        <v>321</v>
      </c>
      <c r="D3" s="1491"/>
      <c r="E3" s="1491"/>
      <c r="F3" s="1491"/>
      <c r="G3" s="1491"/>
      <c r="H3" s="1491"/>
      <c r="I3" s="1491"/>
      <c r="J3" s="1491"/>
      <c r="K3" s="1491"/>
      <c r="L3" s="1491"/>
      <c r="M3" s="1491"/>
      <c r="N3" s="1491"/>
      <c r="O3" s="1491" t="s">
        <v>322</v>
      </c>
      <c r="P3" s="1491"/>
      <c r="Q3" s="1491"/>
      <c r="R3" s="1491"/>
      <c r="S3" s="1491"/>
      <c r="T3" s="1491"/>
      <c r="U3" s="1491"/>
      <c r="V3" s="1491"/>
      <c r="W3" s="1491"/>
      <c r="X3" s="1491"/>
      <c r="Y3" s="1491"/>
      <c r="Z3" s="1491"/>
      <c r="AA3" s="1491" t="s">
        <v>1518</v>
      </c>
      <c r="AB3" s="1491"/>
      <c r="AC3" s="1491"/>
      <c r="AD3" s="1491"/>
      <c r="AE3" s="1491"/>
      <c r="AF3" s="1491"/>
      <c r="AG3" s="1491"/>
      <c r="AH3" s="1491"/>
      <c r="AI3" s="1491"/>
      <c r="AJ3" s="1491"/>
      <c r="AK3" s="1491"/>
      <c r="AL3" s="1491"/>
      <c r="AM3" s="1491" t="s">
        <v>323</v>
      </c>
      <c r="AN3" s="1491"/>
      <c r="AO3" s="1491"/>
      <c r="AP3" s="1491"/>
      <c r="AQ3" s="1491"/>
      <c r="AR3" s="1491"/>
      <c r="AS3" s="1491"/>
      <c r="AT3" s="1491"/>
      <c r="AU3" s="1491"/>
      <c r="AV3" s="1491"/>
      <c r="AW3" s="1491"/>
      <c r="AX3" s="1491"/>
      <c r="AY3" s="1491" t="s">
        <v>90</v>
      </c>
      <c r="AZ3" s="1491"/>
      <c r="BA3" s="1491"/>
      <c r="BB3" s="1491"/>
      <c r="BC3" s="1491"/>
      <c r="BD3" s="1491"/>
      <c r="BE3" s="1491"/>
      <c r="BF3" s="1491"/>
      <c r="BG3" s="1491"/>
      <c r="BH3" s="1491"/>
      <c r="BI3" s="1491"/>
      <c r="BJ3" s="1491"/>
      <c r="BK3" s="1491" t="s">
        <v>324</v>
      </c>
      <c r="BL3" s="1491"/>
      <c r="BM3" s="1491"/>
      <c r="BN3" s="1491"/>
      <c r="BO3" s="1491"/>
      <c r="BP3" s="1491"/>
      <c r="BQ3" s="1491"/>
      <c r="BR3" s="1491"/>
      <c r="BS3" s="1491"/>
      <c r="BT3" s="1491"/>
      <c r="BU3" s="1491"/>
      <c r="BV3" s="1491"/>
      <c r="BW3" s="1491" t="s">
        <v>54</v>
      </c>
      <c r="BX3" s="1491"/>
      <c r="BY3" s="1491"/>
      <c r="BZ3" s="1491"/>
      <c r="CA3" s="1491"/>
      <c r="CB3" s="1491"/>
      <c r="CC3" s="1491"/>
      <c r="CD3" s="1491"/>
      <c r="CE3" s="1491"/>
      <c r="CF3" s="1491"/>
      <c r="CG3" s="1491"/>
      <c r="CH3" s="1491"/>
      <c r="CI3" s="1491" t="s">
        <v>325</v>
      </c>
      <c r="CJ3" s="1491"/>
      <c r="CK3" s="1491"/>
      <c r="CL3" s="1491"/>
      <c r="CM3" s="1491"/>
      <c r="CN3" s="1491"/>
      <c r="CO3" s="1491"/>
      <c r="CP3" s="1491"/>
      <c r="CQ3" s="1491"/>
      <c r="CR3" s="1491"/>
      <c r="CS3" s="1491"/>
      <c r="CT3" s="1491"/>
      <c r="CU3" s="1491" t="s">
        <v>25</v>
      </c>
      <c r="CV3" s="1491"/>
      <c r="CW3" s="1491"/>
      <c r="CX3" s="1491"/>
      <c r="CY3" s="1491"/>
      <c r="CZ3" s="1491"/>
      <c r="DA3" s="1491"/>
      <c r="DB3" s="1491"/>
      <c r="DC3" s="1491"/>
      <c r="DD3" s="1491"/>
      <c r="DE3" s="1491"/>
      <c r="DF3" s="1491"/>
      <c r="DG3" s="1491" t="s">
        <v>26</v>
      </c>
      <c r="DH3" s="1491"/>
      <c r="DI3" s="1491"/>
      <c r="DJ3" s="1491"/>
      <c r="DK3" s="1491"/>
      <c r="DL3" s="1491"/>
      <c r="DM3" s="1491"/>
      <c r="DN3" s="1491"/>
      <c r="DO3" s="1491"/>
      <c r="DP3" s="1491"/>
      <c r="DQ3" s="1491"/>
      <c r="DR3" s="1491"/>
      <c r="DS3" s="1491" t="s">
        <v>326</v>
      </c>
      <c r="DT3" s="1491"/>
      <c r="DU3" s="1491"/>
      <c r="DV3" s="1491"/>
      <c r="DW3" s="1491"/>
      <c r="DX3" s="1491"/>
      <c r="DY3" s="1491"/>
      <c r="DZ3" s="1491"/>
      <c r="EA3" s="1491"/>
      <c r="EB3" s="1491"/>
      <c r="EC3" s="1491"/>
      <c r="ED3" s="1491"/>
      <c r="EE3" s="1491" t="s">
        <v>150</v>
      </c>
      <c r="EF3" s="1491"/>
      <c r="EG3" s="1491"/>
      <c r="EH3" s="1491"/>
      <c r="EI3" s="1491"/>
      <c r="EJ3" s="1491"/>
      <c r="EK3" s="1491"/>
      <c r="EL3" s="1491"/>
      <c r="EM3" s="1491"/>
      <c r="EN3" s="1491"/>
      <c r="EO3" s="1491"/>
      <c r="EP3" s="1491"/>
      <c r="EQ3" s="1491" t="s">
        <v>327</v>
      </c>
      <c r="ER3" s="1491"/>
      <c r="ES3" s="1491"/>
      <c r="ET3" s="1491"/>
      <c r="EU3" s="1491"/>
      <c r="EV3" s="1491"/>
      <c r="EW3" s="1491"/>
      <c r="EX3" s="1491"/>
      <c r="EY3" s="1491"/>
      <c r="EZ3" s="1491"/>
      <c r="FA3" s="1491"/>
      <c r="FB3" s="1491"/>
    </row>
    <row r="4" spans="1:162" s="846" customFormat="1" ht="25.5" customHeight="1" x14ac:dyDescent="0.25">
      <c r="A4" s="1491"/>
      <c r="B4" s="1491"/>
      <c r="C4" s="1491" t="s">
        <v>959</v>
      </c>
      <c r="D4" s="1491"/>
      <c r="E4" s="1491" t="s">
        <v>1622</v>
      </c>
      <c r="F4" s="1491"/>
      <c r="G4" s="1491" t="s">
        <v>1399</v>
      </c>
      <c r="H4" s="1491"/>
      <c r="I4" s="1491" t="s">
        <v>1391</v>
      </c>
      <c r="J4" s="1491"/>
      <c r="K4" s="1494" t="s">
        <v>307</v>
      </c>
      <c r="L4" s="1494"/>
      <c r="M4" s="1494"/>
      <c r="N4" s="1494"/>
      <c r="O4" s="1491" t="s">
        <v>959</v>
      </c>
      <c r="P4" s="1491"/>
      <c r="Q4" s="1491" t="s">
        <v>1622</v>
      </c>
      <c r="R4" s="1491"/>
      <c r="S4" s="1491" t="s">
        <v>1399</v>
      </c>
      <c r="T4" s="1491"/>
      <c r="U4" s="1491" t="s">
        <v>1391</v>
      </c>
      <c r="V4" s="1491"/>
      <c r="W4" s="1494" t="s">
        <v>307</v>
      </c>
      <c r="X4" s="1494"/>
      <c r="Y4" s="1494"/>
      <c r="Z4" s="1494"/>
      <c r="AA4" s="1491" t="s">
        <v>959</v>
      </c>
      <c r="AB4" s="1491"/>
      <c r="AC4" s="1491" t="s">
        <v>1622</v>
      </c>
      <c r="AD4" s="1491"/>
      <c r="AE4" s="1491" t="s">
        <v>1399</v>
      </c>
      <c r="AF4" s="1491"/>
      <c r="AG4" s="1491" t="s">
        <v>1391</v>
      </c>
      <c r="AH4" s="1491"/>
      <c r="AI4" s="1494" t="s">
        <v>307</v>
      </c>
      <c r="AJ4" s="1494"/>
      <c r="AK4" s="1494"/>
      <c r="AL4" s="1494"/>
      <c r="AM4" s="1491" t="s">
        <v>959</v>
      </c>
      <c r="AN4" s="1491"/>
      <c r="AO4" s="1491" t="s">
        <v>1622</v>
      </c>
      <c r="AP4" s="1491"/>
      <c r="AQ4" s="1491" t="s">
        <v>1399</v>
      </c>
      <c r="AR4" s="1491"/>
      <c r="AS4" s="1491" t="s">
        <v>1391</v>
      </c>
      <c r="AT4" s="1491"/>
      <c r="AU4" s="1494" t="s">
        <v>307</v>
      </c>
      <c r="AV4" s="1494"/>
      <c r="AW4" s="1494"/>
      <c r="AX4" s="1494"/>
      <c r="AY4" s="1491" t="s">
        <v>959</v>
      </c>
      <c r="AZ4" s="1491"/>
      <c r="BA4" s="1491" t="s">
        <v>1622</v>
      </c>
      <c r="BB4" s="1491"/>
      <c r="BC4" s="1491" t="s">
        <v>1399</v>
      </c>
      <c r="BD4" s="1491"/>
      <c r="BE4" s="1491" t="s">
        <v>1391</v>
      </c>
      <c r="BF4" s="1491"/>
      <c r="BG4" s="1494" t="s">
        <v>307</v>
      </c>
      <c r="BH4" s="1494"/>
      <c r="BI4" s="1494"/>
      <c r="BJ4" s="1494"/>
      <c r="BK4" s="1491" t="s">
        <v>959</v>
      </c>
      <c r="BL4" s="1491"/>
      <c r="BM4" s="1491" t="s">
        <v>1622</v>
      </c>
      <c r="BN4" s="1491"/>
      <c r="BO4" s="1491" t="s">
        <v>1399</v>
      </c>
      <c r="BP4" s="1491"/>
      <c r="BQ4" s="1491" t="s">
        <v>1391</v>
      </c>
      <c r="BR4" s="1491"/>
      <c r="BS4" s="1494" t="s">
        <v>307</v>
      </c>
      <c r="BT4" s="1494"/>
      <c r="BU4" s="1494"/>
      <c r="BV4" s="1494"/>
      <c r="BW4" s="1491" t="s">
        <v>959</v>
      </c>
      <c r="BX4" s="1491"/>
      <c r="BY4" s="1491" t="s">
        <v>1622</v>
      </c>
      <c r="BZ4" s="1491"/>
      <c r="CA4" s="1491" t="s">
        <v>1399</v>
      </c>
      <c r="CB4" s="1491"/>
      <c r="CC4" s="1491" t="s">
        <v>1391</v>
      </c>
      <c r="CD4" s="1491"/>
      <c r="CE4" s="1494" t="s">
        <v>307</v>
      </c>
      <c r="CF4" s="1494"/>
      <c r="CG4" s="1494"/>
      <c r="CH4" s="1494"/>
      <c r="CI4" s="1491" t="s">
        <v>959</v>
      </c>
      <c r="CJ4" s="1491"/>
      <c r="CK4" s="1491" t="s">
        <v>1622</v>
      </c>
      <c r="CL4" s="1491"/>
      <c r="CM4" s="1491" t="s">
        <v>1399</v>
      </c>
      <c r="CN4" s="1491"/>
      <c r="CO4" s="1491" t="s">
        <v>1391</v>
      </c>
      <c r="CP4" s="1491"/>
      <c r="CQ4" s="1494" t="s">
        <v>307</v>
      </c>
      <c r="CR4" s="1494"/>
      <c r="CS4" s="1494"/>
      <c r="CT4" s="1494"/>
      <c r="CU4" s="1491" t="s">
        <v>959</v>
      </c>
      <c r="CV4" s="1491"/>
      <c r="CW4" s="1491" t="s">
        <v>1622</v>
      </c>
      <c r="CX4" s="1491"/>
      <c r="CY4" s="1491" t="s">
        <v>1399</v>
      </c>
      <c r="CZ4" s="1491"/>
      <c r="DA4" s="1491" t="s">
        <v>1391</v>
      </c>
      <c r="DB4" s="1491"/>
      <c r="DC4" s="1494" t="s">
        <v>307</v>
      </c>
      <c r="DD4" s="1494"/>
      <c r="DE4" s="1494"/>
      <c r="DF4" s="1494"/>
      <c r="DG4" s="1491" t="s">
        <v>959</v>
      </c>
      <c r="DH4" s="1491"/>
      <c r="DI4" s="1491" t="s">
        <v>1622</v>
      </c>
      <c r="DJ4" s="1491"/>
      <c r="DK4" s="1491" t="s">
        <v>1399</v>
      </c>
      <c r="DL4" s="1491"/>
      <c r="DM4" s="1491" t="s">
        <v>1391</v>
      </c>
      <c r="DN4" s="1491"/>
      <c r="DO4" s="1494" t="s">
        <v>307</v>
      </c>
      <c r="DP4" s="1494"/>
      <c r="DQ4" s="1494"/>
      <c r="DR4" s="1494"/>
      <c r="DS4" s="1491" t="s">
        <v>959</v>
      </c>
      <c r="DT4" s="1491"/>
      <c r="DU4" s="1491" t="s">
        <v>1622</v>
      </c>
      <c r="DV4" s="1491"/>
      <c r="DW4" s="1491" t="s">
        <v>1399</v>
      </c>
      <c r="DX4" s="1491"/>
      <c r="DY4" s="1491" t="s">
        <v>1391</v>
      </c>
      <c r="DZ4" s="1491"/>
      <c r="EA4" s="1494" t="s">
        <v>307</v>
      </c>
      <c r="EB4" s="1494"/>
      <c r="EC4" s="1494"/>
      <c r="ED4" s="1494"/>
      <c r="EE4" s="1491" t="s">
        <v>959</v>
      </c>
      <c r="EF4" s="1491"/>
      <c r="EG4" s="1491" t="s">
        <v>1622</v>
      </c>
      <c r="EH4" s="1491"/>
      <c r="EI4" s="1491" t="s">
        <v>1399</v>
      </c>
      <c r="EJ4" s="1491"/>
      <c r="EK4" s="1491" t="s">
        <v>1391</v>
      </c>
      <c r="EL4" s="1491"/>
      <c r="EM4" s="1494" t="s">
        <v>307</v>
      </c>
      <c r="EN4" s="1494"/>
      <c r="EO4" s="1494"/>
      <c r="EP4" s="1494"/>
      <c r="EQ4" s="1491" t="s">
        <v>959</v>
      </c>
      <c r="ER4" s="1491"/>
      <c r="ES4" s="1491" t="s">
        <v>1622</v>
      </c>
      <c r="ET4" s="1491"/>
      <c r="EU4" s="1491" t="s">
        <v>1399</v>
      </c>
      <c r="EV4" s="1491"/>
      <c r="EW4" s="1491" t="s">
        <v>1391</v>
      </c>
      <c r="EX4" s="1491"/>
      <c r="EY4" s="1494" t="s">
        <v>307</v>
      </c>
      <c r="EZ4" s="1494"/>
      <c r="FA4" s="1494"/>
      <c r="FB4" s="1494"/>
      <c r="FC4" s="1491" t="s">
        <v>1623</v>
      </c>
      <c r="FD4" s="1491"/>
      <c r="FE4" s="1491"/>
      <c r="FF4" s="1491"/>
    </row>
    <row r="5" spans="1:162" s="846" customFormat="1" ht="43.5" customHeight="1" x14ac:dyDescent="0.25">
      <c r="A5" s="1491"/>
      <c r="B5" s="1491"/>
      <c r="C5" s="1491" t="s">
        <v>328</v>
      </c>
      <c r="D5" s="1406" t="s">
        <v>329</v>
      </c>
      <c r="E5" s="1491" t="s">
        <v>328</v>
      </c>
      <c r="F5" s="1406" t="s">
        <v>329</v>
      </c>
      <c r="G5" s="1491" t="s">
        <v>328</v>
      </c>
      <c r="H5" s="1406" t="s">
        <v>329</v>
      </c>
      <c r="I5" s="1491" t="s">
        <v>328</v>
      </c>
      <c r="J5" s="1406" t="s">
        <v>329</v>
      </c>
      <c r="K5" s="1406" t="s">
        <v>1403</v>
      </c>
      <c r="L5" s="1406"/>
      <c r="M5" s="1406" t="s">
        <v>1404</v>
      </c>
      <c r="N5" s="1406"/>
      <c r="O5" s="1491" t="s">
        <v>328</v>
      </c>
      <c r="P5" s="1406" t="s">
        <v>329</v>
      </c>
      <c r="Q5" s="1491" t="s">
        <v>328</v>
      </c>
      <c r="R5" s="1406" t="s">
        <v>329</v>
      </c>
      <c r="S5" s="1491" t="s">
        <v>328</v>
      </c>
      <c r="T5" s="1406" t="s">
        <v>329</v>
      </c>
      <c r="U5" s="1491" t="s">
        <v>328</v>
      </c>
      <c r="V5" s="1406" t="s">
        <v>329</v>
      </c>
      <c r="W5" s="1406" t="s">
        <v>1403</v>
      </c>
      <c r="X5" s="1406"/>
      <c r="Y5" s="1406" t="s">
        <v>1404</v>
      </c>
      <c r="Z5" s="1406"/>
      <c r="AA5" s="1491" t="s">
        <v>328</v>
      </c>
      <c r="AB5" s="1406" t="s">
        <v>329</v>
      </c>
      <c r="AC5" s="1491" t="s">
        <v>328</v>
      </c>
      <c r="AD5" s="1406" t="s">
        <v>329</v>
      </c>
      <c r="AE5" s="1491" t="s">
        <v>328</v>
      </c>
      <c r="AF5" s="1406" t="s">
        <v>329</v>
      </c>
      <c r="AG5" s="1491" t="s">
        <v>328</v>
      </c>
      <c r="AH5" s="1406" t="s">
        <v>329</v>
      </c>
      <c r="AI5" s="1406" t="s">
        <v>1403</v>
      </c>
      <c r="AJ5" s="1406"/>
      <c r="AK5" s="1406" t="s">
        <v>1404</v>
      </c>
      <c r="AL5" s="1406"/>
      <c r="AM5" s="1491" t="s">
        <v>328</v>
      </c>
      <c r="AN5" s="1406" t="s">
        <v>329</v>
      </c>
      <c r="AO5" s="1491" t="s">
        <v>328</v>
      </c>
      <c r="AP5" s="1406" t="s">
        <v>329</v>
      </c>
      <c r="AQ5" s="1491" t="s">
        <v>328</v>
      </c>
      <c r="AR5" s="1406" t="s">
        <v>329</v>
      </c>
      <c r="AS5" s="1491" t="s">
        <v>328</v>
      </c>
      <c r="AT5" s="1406" t="s">
        <v>329</v>
      </c>
      <c r="AU5" s="1406" t="s">
        <v>1403</v>
      </c>
      <c r="AV5" s="1406"/>
      <c r="AW5" s="1406" t="s">
        <v>1404</v>
      </c>
      <c r="AX5" s="1406"/>
      <c r="AY5" s="1491" t="s">
        <v>328</v>
      </c>
      <c r="AZ5" s="1406" t="s">
        <v>329</v>
      </c>
      <c r="BA5" s="1491" t="s">
        <v>328</v>
      </c>
      <c r="BB5" s="1406" t="s">
        <v>329</v>
      </c>
      <c r="BC5" s="1491" t="s">
        <v>328</v>
      </c>
      <c r="BD5" s="1406" t="s">
        <v>329</v>
      </c>
      <c r="BE5" s="1491" t="s">
        <v>328</v>
      </c>
      <c r="BF5" s="1406" t="s">
        <v>329</v>
      </c>
      <c r="BG5" s="1406" t="s">
        <v>1403</v>
      </c>
      <c r="BH5" s="1406"/>
      <c r="BI5" s="1406" t="s">
        <v>1404</v>
      </c>
      <c r="BJ5" s="1406"/>
      <c r="BK5" s="1491" t="s">
        <v>328</v>
      </c>
      <c r="BL5" s="1406" t="s">
        <v>329</v>
      </c>
      <c r="BM5" s="1491" t="s">
        <v>328</v>
      </c>
      <c r="BN5" s="1406" t="s">
        <v>329</v>
      </c>
      <c r="BO5" s="1491" t="s">
        <v>328</v>
      </c>
      <c r="BP5" s="1406" t="s">
        <v>329</v>
      </c>
      <c r="BQ5" s="1491" t="s">
        <v>328</v>
      </c>
      <c r="BR5" s="1406" t="s">
        <v>329</v>
      </c>
      <c r="BS5" s="1406" t="s">
        <v>1403</v>
      </c>
      <c r="BT5" s="1406"/>
      <c r="BU5" s="1406" t="s">
        <v>1404</v>
      </c>
      <c r="BV5" s="1406"/>
      <c r="BW5" s="1491" t="s">
        <v>328</v>
      </c>
      <c r="BX5" s="1406" t="s">
        <v>329</v>
      </c>
      <c r="BY5" s="1491" t="s">
        <v>328</v>
      </c>
      <c r="BZ5" s="1406" t="s">
        <v>329</v>
      </c>
      <c r="CA5" s="1491" t="s">
        <v>328</v>
      </c>
      <c r="CB5" s="1406" t="s">
        <v>329</v>
      </c>
      <c r="CC5" s="1491" t="s">
        <v>328</v>
      </c>
      <c r="CD5" s="1406" t="s">
        <v>329</v>
      </c>
      <c r="CE5" s="1406" t="s">
        <v>1403</v>
      </c>
      <c r="CF5" s="1406"/>
      <c r="CG5" s="1406" t="s">
        <v>1404</v>
      </c>
      <c r="CH5" s="1406"/>
      <c r="CI5" s="1491" t="s">
        <v>328</v>
      </c>
      <c r="CJ5" s="1406" t="s">
        <v>329</v>
      </c>
      <c r="CK5" s="1491" t="s">
        <v>328</v>
      </c>
      <c r="CL5" s="1406" t="s">
        <v>329</v>
      </c>
      <c r="CM5" s="1491" t="s">
        <v>328</v>
      </c>
      <c r="CN5" s="1406" t="s">
        <v>329</v>
      </c>
      <c r="CO5" s="1491" t="s">
        <v>328</v>
      </c>
      <c r="CP5" s="1406" t="s">
        <v>329</v>
      </c>
      <c r="CQ5" s="1406" t="s">
        <v>1403</v>
      </c>
      <c r="CR5" s="1406"/>
      <c r="CS5" s="1406" t="s">
        <v>1404</v>
      </c>
      <c r="CT5" s="1406"/>
      <c r="CU5" s="1491" t="s">
        <v>328</v>
      </c>
      <c r="CV5" s="1406" t="s">
        <v>329</v>
      </c>
      <c r="CW5" s="1491" t="s">
        <v>328</v>
      </c>
      <c r="CX5" s="1406" t="s">
        <v>329</v>
      </c>
      <c r="CY5" s="1491" t="s">
        <v>328</v>
      </c>
      <c r="CZ5" s="1406" t="s">
        <v>329</v>
      </c>
      <c r="DA5" s="1491" t="s">
        <v>328</v>
      </c>
      <c r="DB5" s="1406" t="s">
        <v>329</v>
      </c>
      <c r="DC5" s="1406" t="s">
        <v>1403</v>
      </c>
      <c r="DD5" s="1406"/>
      <c r="DE5" s="1406" t="s">
        <v>1404</v>
      </c>
      <c r="DF5" s="1406"/>
      <c r="DG5" s="1491" t="s">
        <v>328</v>
      </c>
      <c r="DH5" s="1406" t="s">
        <v>329</v>
      </c>
      <c r="DI5" s="1491" t="s">
        <v>328</v>
      </c>
      <c r="DJ5" s="1406" t="s">
        <v>329</v>
      </c>
      <c r="DK5" s="1491" t="s">
        <v>328</v>
      </c>
      <c r="DL5" s="1406" t="s">
        <v>329</v>
      </c>
      <c r="DM5" s="1491" t="s">
        <v>328</v>
      </c>
      <c r="DN5" s="1406" t="s">
        <v>329</v>
      </c>
      <c r="DO5" s="1406" t="s">
        <v>1403</v>
      </c>
      <c r="DP5" s="1406"/>
      <c r="DQ5" s="1406" t="s">
        <v>1404</v>
      </c>
      <c r="DR5" s="1406"/>
      <c r="DS5" s="1491" t="s">
        <v>328</v>
      </c>
      <c r="DT5" s="1406" t="s">
        <v>329</v>
      </c>
      <c r="DU5" s="1491" t="s">
        <v>328</v>
      </c>
      <c r="DV5" s="1406" t="s">
        <v>329</v>
      </c>
      <c r="DW5" s="1491" t="s">
        <v>328</v>
      </c>
      <c r="DX5" s="1406" t="s">
        <v>329</v>
      </c>
      <c r="DY5" s="1491" t="s">
        <v>328</v>
      </c>
      <c r="DZ5" s="1406" t="s">
        <v>329</v>
      </c>
      <c r="EA5" s="1406" t="s">
        <v>1403</v>
      </c>
      <c r="EB5" s="1406"/>
      <c r="EC5" s="1406" t="s">
        <v>1404</v>
      </c>
      <c r="ED5" s="1406"/>
      <c r="EE5" s="1491" t="s">
        <v>328</v>
      </c>
      <c r="EF5" s="1406" t="s">
        <v>329</v>
      </c>
      <c r="EG5" s="1491" t="s">
        <v>328</v>
      </c>
      <c r="EH5" s="1406" t="s">
        <v>329</v>
      </c>
      <c r="EI5" s="1491" t="s">
        <v>328</v>
      </c>
      <c r="EJ5" s="1406" t="s">
        <v>329</v>
      </c>
      <c r="EK5" s="1491" t="s">
        <v>328</v>
      </c>
      <c r="EL5" s="1406" t="s">
        <v>329</v>
      </c>
      <c r="EM5" s="1406" t="s">
        <v>1403</v>
      </c>
      <c r="EN5" s="1406"/>
      <c r="EO5" s="1406" t="s">
        <v>1404</v>
      </c>
      <c r="EP5" s="1406"/>
      <c r="EQ5" s="1491" t="s">
        <v>328</v>
      </c>
      <c r="ER5" s="1406" t="s">
        <v>329</v>
      </c>
      <c r="ES5" s="1491" t="s">
        <v>328</v>
      </c>
      <c r="ET5" s="1406" t="s">
        <v>329</v>
      </c>
      <c r="EU5" s="1491" t="s">
        <v>328</v>
      </c>
      <c r="EV5" s="1406" t="s">
        <v>329</v>
      </c>
      <c r="EW5" s="1491" t="s">
        <v>328</v>
      </c>
      <c r="EX5" s="1406" t="s">
        <v>329</v>
      </c>
      <c r="EY5" s="1406" t="s">
        <v>1403</v>
      </c>
      <c r="EZ5" s="1406"/>
      <c r="FA5" s="1406" t="s">
        <v>1404</v>
      </c>
      <c r="FB5" s="1406"/>
      <c r="FC5" s="1406" t="s">
        <v>1233</v>
      </c>
      <c r="FD5" s="1406" t="s">
        <v>1234</v>
      </c>
      <c r="FE5" s="1492" t="s">
        <v>1235</v>
      </c>
      <c r="FF5" s="1492" t="s">
        <v>1236</v>
      </c>
    </row>
    <row r="6" spans="1:162" s="846" customFormat="1" ht="54.75" customHeight="1" x14ac:dyDescent="0.25">
      <c r="A6" s="1491"/>
      <c r="B6" s="1491"/>
      <c r="C6" s="1491"/>
      <c r="D6" s="1406"/>
      <c r="E6" s="1491"/>
      <c r="F6" s="1406"/>
      <c r="G6" s="1491"/>
      <c r="H6" s="1406"/>
      <c r="I6" s="1491"/>
      <c r="J6" s="1406"/>
      <c r="K6" s="843" t="s">
        <v>330</v>
      </c>
      <c r="L6" s="843" t="s">
        <v>331</v>
      </c>
      <c r="M6" s="843" t="s">
        <v>330</v>
      </c>
      <c r="N6" s="843" t="s">
        <v>331</v>
      </c>
      <c r="O6" s="1491"/>
      <c r="P6" s="1406"/>
      <c r="Q6" s="1491"/>
      <c r="R6" s="1406"/>
      <c r="S6" s="1491"/>
      <c r="T6" s="1406"/>
      <c r="U6" s="1491"/>
      <c r="V6" s="1406"/>
      <c r="W6" s="843" t="s">
        <v>330</v>
      </c>
      <c r="X6" s="843" t="s">
        <v>331</v>
      </c>
      <c r="Y6" s="843" t="s">
        <v>330</v>
      </c>
      <c r="Z6" s="843" t="s">
        <v>331</v>
      </c>
      <c r="AA6" s="1491"/>
      <c r="AB6" s="1406"/>
      <c r="AC6" s="1491"/>
      <c r="AD6" s="1406"/>
      <c r="AE6" s="1491"/>
      <c r="AF6" s="1406"/>
      <c r="AG6" s="1491"/>
      <c r="AH6" s="1406"/>
      <c r="AI6" s="843" t="s">
        <v>330</v>
      </c>
      <c r="AJ6" s="843" t="s">
        <v>331</v>
      </c>
      <c r="AK6" s="843" t="s">
        <v>330</v>
      </c>
      <c r="AL6" s="843" t="s">
        <v>331</v>
      </c>
      <c r="AM6" s="1491"/>
      <c r="AN6" s="1406"/>
      <c r="AO6" s="1491"/>
      <c r="AP6" s="1406"/>
      <c r="AQ6" s="1491"/>
      <c r="AR6" s="1406"/>
      <c r="AS6" s="1491"/>
      <c r="AT6" s="1406"/>
      <c r="AU6" s="843" t="s">
        <v>330</v>
      </c>
      <c r="AV6" s="843" t="s">
        <v>331</v>
      </c>
      <c r="AW6" s="843" t="s">
        <v>330</v>
      </c>
      <c r="AX6" s="843" t="s">
        <v>331</v>
      </c>
      <c r="AY6" s="1491"/>
      <c r="AZ6" s="1406"/>
      <c r="BA6" s="1491"/>
      <c r="BB6" s="1406"/>
      <c r="BC6" s="1491"/>
      <c r="BD6" s="1406"/>
      <c r="BE6" s="1491"/>
      <c r="BF6" s="1406"/>
      <c r="BG6" s="843" t="s">
        <v>330</v>
      </c>
      <c r="BH6" s="843" t="s">
        <v>331</v>
      </c>
      <c r="BI6" s="843" t="s">
        <v>330</v>
      </c>
      <c r="BJ6" s="843" t="s">
        <v>331</v>
      </c>
      <c r="BK6" s="1491"/>
      <c r="BL6" s="1406"/>
      <c r="BM6" s="1491"/>
      <c r="BN6" s="1406"/>
      <c r="BO6" s="1491"/>
      <c r="BP6" s="1406"/>
      <c r="BQ6" s="1491"/>
      <c r="BR6" s="1406"/>
      <c r="BS6" s="843" t="s">
        <v>330</v>
      </c>
      <c r="BT6" s="843" t="s">
        <v>331</v>
      </c>
      <c r="BU6" s="843" t="s">
        <v>330</v>
      </c>
      <c r="BV6" s="843" t="s">
        <v>331</v>
      </c>
      <c r="BW6" s="1491"/>
      <c r="BX6" s="1406"/>
      <c r="BY6" s="1491"/>
      <c r="BZ6" s="1406"/>
      <c r="CA6" s="1491"/>
      <c r="CB6" s="1406"/>
      <c r="CC6" s="1491"/>
      <c r="CD6" s="1406"/>
      <c r="CE6" s="843" t="s">
        <v>330</v>
      </c>
      <c r="CF6" s="843" t="s">
        <v>331</v>
      </c>
      <c r="CG6" s="843" t="s">
        <v>330</v>
      </c>
      <c r="CH6" s="843" t="s">
        <v>331</v>
      </c>
      <c r="CI6" s="1491"/>
      <c r="CJ6" s="1406"/>
      <c r="CK6" s="1491"/>
      <c r="CL6" s="1406"/>
      <c r="CM6" s="1491"/>
      <c r="CN6" s="1406"/>
      <c r="CO6" s="1491"/>
      <c r="CP6" s="1406"/>
      <c r="CQ6" s="843" t="s">
        <v>330</v>
      </c>
      <c r="CR6" s="843" t="s">
        <v>331</v>
      </c>
      <c r="CS6" s="843" t="s">
        <v>330</v>
      </c>
      <c r="CT6" s="843" t="s">
        <v>331</v>
      </c>
      <c r="CU6" s="1491"/>
      <c r="CV6" s="1406"/>
      <c r="CW6" s="1491"/>
      <c r="CX6" s="1406"/>
      <c r="CY6" s="1491"/>
      <c r="CZ6" s="1406"/>
      <c r="DA6" s="1491"/>
      <c r="DB6" s="1406"/>
      <c r="DC6" s="843" t="s">
        <v>330</v>
      </c>
      <c r="DD6" s="843" t="s">
        <v>331</v>
      </c>
      <c r="DE6" s="843" t="s">
        <v>330</v>
      </c>
      <c r="DF6" s="843" t="s">
        <v>331</v>
      </c>
      <c r="DG6" s="1491"/>
      <c r="DH6" s="1406"/>
      <c r="DI6" s="1491"/>
      <c r="DJ6" s="1406"/>
      <c r="DK6" s="1491"/>
      <c r="DL6" s="1406"/>
      <c r="DM6" s="1491"/>
      <c r="DN6" s="1406"/>
      <c r="DO6" s="843" t="s">
        <v>330</v>
      </c>
      <c r="DP6" s="843" t="s">
        <v>331</v>
      </c>
      <c r="DQ6" s="843" t="s">
        <v>330</v>
      </c>
      <c r="DR6" s="843" t="s">
        <v>331</v>
      </c>
      <c r="DS6" s="1491"/>
      <c r="DT6" s="1406"/>
      <c r="DU6" s="1491"/>
      <c r="DV6" s="1406"/>
      <c r="DW6" s="1491"/>
      <c r="DX6" s="1406"/>
      <c r="DY6" s="1491"/>
      <c r="DZ6" s="1406"/>
      <c r="EA6" s="843" t="s">
        <v>330</v>
      </c>
      <c r="EB6" s="843" t="s">
        <v>331</v>
      </c>
      <c r="EC6" s="843" t="s">
        <v>330</v>
      </c>
      <c r="ED6" s="843" t="s">
        <v>331</v>
      </c>
      <c r="EE6" s="1491"/>
      <c r="EF6" s="1406"/>
      <c r="EG6" s="1491"/>
      <c r="EH6" s="1406"/>
      <c r="EI6" s="1491"/>
      <c r="EJ6" s="1406"/>
      <c r="EK6" s="1491"/>
      <c r="EL6" s="1406"/>
      <c r="EM6" s="843" t="s">
        <v>330</v>
      </c>
      <c r="EN6" s="843" t="s">
        <v>331</v>
      </c>
      <c r="EO6" s="843" t="s">
        <v>330</v>
      </c>
      <c r="EP6" s="843" t="s">
        <v>331</v>
      </c>
      <c r="EQ6" s="1491"/>
      <c r="ER6" s="1406"/>
      <c r="ES6" s="1491"/>
      <c r="ET6" s="1406"/>
      <c r="EU6" s="1491"/>
      <c r="EV6" s="1406"/>
      <c r="EW6" s="1491"/>
      <c r="EX6" s="1406"/>
      <c r="EY6" s="843" t="s">
        <v>330</v>
      </c>
      <c r="EZ6" s="843" t="s">
        <v>331</v>
      </c>
      <c r="FA6" s="843" t="s">
        <v>330</v>
      </c>
      <c r="FB6" s="843" t="s">
        <v>331</v>
      </c>
      <c r="FC6" s="1491"/>
      <c r="FD6" s="1406"/>
      <c r="FE6" s="1493"/>
      <c r="FF6" s="1492"/>
    </row>
    <row r="7" spans="1:162" s="846" customFormat="1" x14ac:dyDescent="0.25">
      <c r="A7" s="844" t="s">
        <v>407</v>
      </c>
      <c r="B7" s="844" t="s">
        <v>422</v>
      </c>
      <c r="C7" s="844">
        <v>1</v>
      </c>
      <c r="D7" s="844">
        <v>2</v>
      </c>
      <c r="E7" s="844">
        <v>3</v>
      </c>
      <c r="F7" s="844">
        <v>4</v>
      </c>
      <c r="G7" s="844">
        <v>3</v>
      </c>
      <c r="H7" s="844">
        <v>4</v>
      </c>
      <c r="I7" s="844">
        <v>5</v>
      </c>
      <c r="J7" s="844">
        <v>6</v>
      </c>
      <c r="K7" s="845" t="s">
        <v>332</v>
      </c>
      <c r="L7" s="845" t="s">
        <v>333</v>
      </c>
      <c r="M7" s="845" t="s">
        <v>334</v>
      </c>
      <c r="N7" s="845" t="s">
        <v>335</v>
      </c>
      <c r="O7" s="844">
        <v>1</v>
      </c>
      <c r="P7" s="844">
        <v>2</v>
      </c>
      <c r="Q7" s="844">
        <v>3</v>
      </c>
      <c r="R7" s="844">
        <v>4</v>
      </c>
      <c r="S7" s="844">
        <v>3</v>
      </c>
      <c r="T7" s="844">
        <v>4</v>
      </c>
      <c r="U7" s="844">
        <v>5</v>
      </c>
      <c r="V7" s="844">
        <v>6</v>
      </c>
      <c r="W7" s="845" t="s">
        <v>332</v>
      </c>
      <c r="X7" s="845" t="s">
        <v>333</v>
      </c>
      <c r="Y7" s="845" t="s">
        <v>334</v>
      </c>
      <c r="Z7" s="845" t="s">
        <v>335</v>
      </c>
      <c r="AA7" s="844">
        <v>1</v>
      </c>
      <c r="AB7" s="844">
        <v>2</v>
      </c>
      <c r="AC7" s="844">
        <v>3</v>
      </c>
      <c r="AD7" s="844">
        <v>4</v>
      </c>
      <c r="AE7" s="844">
        <v>3</v>
      </c>
      <c r="AF7" s="844">
        <v>4</v>
      </c>
      <c r="AG7" s="844">
        <v>5</v>
      </c>
      <c r="AH7" s="844">
        <v>6</v>
      </c>
      <c r="AI7" s="845" t="s">
        <v>332</v>
      </c>
      <c r="AJ7" s="845" t="s">
        <v>333</v>
      </c>
      <c r="AK7" s="845" t="s">
        <v>334</v>
      </c>
      <c r="AL7" s="845" t="s">
        <v>335</v>
      </c>
      <c r="AM7" s="844">
        <v>1</v>
      </c>
      <c r="AN7" s="844">
        <v>2</v>
      </c>
      <c r="AO7" s="844">
        <v>3</v>
      </c>
      <c r="AP7" s="844">
        <v>4</v>
      </c>
      <c r="AQ7" s="844">
        <v>3</v>
      </c>
      <c r="AR7" s="844">
        <v>4</v>
      </c>
      <c r="AS7" s="844">
        <v>5</v>
      </c>
      <c r="AT7" s="844">
        <v>6</v>
      </c>
      <c r="AU7" s="845" t="s">
        <v>332</v>
      </c>
      <c r="AV7" s="845" t="s">
        <v>333</v>
      </c>
      <c r="AW7" s="845" t="s">
        <v>334</v>
      </c>
      <c r="AX7" s="845" t="s">
        <v>335</v>
      </c>
      <c r="AY7" s="844">
        <v>1</v>
      </c>
      <c r="AZ7" s="844">
        <v>2</v>
      </c>
      <c r="BA7" s="844">
        <v>3</v>
      </c>
      <c r="BB7" s="844">
        <v>4</v>
      </c>
      <c r="BC7" s="844">
        <v>3</v>
      </c>
      <c r="BD7" s="844">
        <v>4</v>
      </c>
      <c r="BE7" s="844">
        <v>5</v>
      </c>
      <c r="BF7" s="844">
        <v>6</v>
      </c>
      <c r="BG7" s="845" t="s">
        <v>332</v>
      </c>
      <c r="BH7" s="845" t="s">
        <v>333</v>
      </c>
      <c r="BI7" s="845" t="s">
        <v>334</v>
      </c>
      <c r="BJ7" s="845" t="s">
        <v>335</v>
      </c>
      <c r="BK7" s="844">
        <v>1</v>
      </c>
      <c r="BL7" s="844">
        <v>2</v>
      </c>
      <c r="BM7" s="844">
        <v>3</v>
      </c>
      <c r="BN7" s="844">
        <v>4</v>
      </c>
      <c r="BO7" s="844">
        <v>3</v>
      </c>
      <c r="BP7" s="844">
        <v>4</v>
      </c>
      <c r="BQ7" s="844">
        <v>5</v>
      </c>
      <c r="BR7" s="844">
        <v>6</v>
      </c>
      <c r="BS7" s="845" t="s">
        <v>332</v>
      </c>
      <c r="BT7" s="845" t="s">
        <v>333</v>
      </c>
      <c r="BU7" s="845" t="s">
        <v>334</v>
      </c>
      <c r="BV7" s="845" t="s">
        <v>335</v>
      </c>
      <c r="BW7" s="844">
        <v>1</v>
      </c>
      <c r="BX7" s="844">
        <v>2</v>
      </c>
      <c r="BY7" s="844">
        <v>3</v>
      </c>
      <c r="BZ7" s="844">
        <v>4</v>
      </c>
      <c r="CA7" s="844">
        <v>3</v>
      </c>
      <c r="CB7" s="844">
        <v>4</v>
      </c>
      <c r="CC7" s="844">
        <v>5</v>
      </c>
      <c r="CD7" s="844">
        <v>6</v>
      </c>
      <c r="CE7" s="845" t="s">
        <v>332</v>
      </c>
      <c r="CF7" s="845" t="s">
        <v>333</v>
      </c>
      <c r="CG7" s="845" t="s">
        <v>334</v>
      </c>
      <c r="CH7" s="845" t="s">
        <v>335</v>
      </c>
      <c r="CI7" s="844">
        <v>1</v>
      </c>
      <c r="CJ7" s="844">
        <v>2</v>
      </c>
      <c r="CK7" s="844">
        <v>3</v>
      </c>
      <c r="CL7" s="844">
        <v>4</v>
      </c>
      <c r="CM7" s="844">
        <v>3</v>
      </c>
      <c r="CN7" s="844">
        <v>4</v>
      </c>
      <c r="CO7" s="844">
        <v>5</v>
      </c>
      <c r="CP7" s="844">
        <v>6</v>
      </c>
      <c r="CQ7" s="845" t="s">
        <v>332</v>
      </c>
      <c r="CR7" s="845" t="s">
        <v>333</v>
      </c>
      <c r="CS7" s="845" t="s">
        <v>334</v>
      </c>
      <c r="CT7" s="845" t="s">
        <v>335</v>
      </c>
      <c r="CU7" s="844">
        <v>1</v>
      </c>
      <c r="CV7" s="844">
        <v>2</v>
      </c>
      <c r="CW7" s="844">
        <v>3</v>
      </c>
      <c r="CX7" s="844">
        <v>4</v>
      </c>
      <c r="CY7" s="844">
        <v>3</v>
      </c>
      <c r="CZ7" s="844">
        <v>4</v>
      </c>
      <c r="DA7" s="844">
        <v>5</v>
      </c>
      <c r="DB7" s="844">
        <v>6</v>
      </c>
      <c r="DC7" s="845" t="s">
        <v>332</v>
      </c>
      <c r="DD7" s="845" t="s">
        <v>333</v>
      </c>
      <c r="DE7" s="845" t="s">
        <v>334</v>
      </c>
      <c r="DF7" s="845" t="s">
        <v>335</v>
      </c>
      <c r="DG7" s="844">
        <v>1</v>
      </c>
      <c r="DH7" s="844">
        <v>2</v>
      </c>
      <c r="DI7" s="844">
        <v>3</v>
      </c>
      <c r="DJ7" s="844">
        <v>4</v>
      </c>
      <c r="DK7" s="844">
        <v>3</v>
      </c>
      <c r="DL7" s="844">
        <v>4</v>
      </c>
      <c r="DM7" s="844">
        <v>5</v>
      </c>
      <c r="DN7" s="844">
        <v>6</v>
      </c>
      <c r="DO7" s="845" t="s">
        <v>332</v>
      </c>
      <c r="DP7" s="845" t="s">
        <v>333</v>
      </c>
      <c r="DQ7" s="845" t="s">
        <v>334</v>
      </c>
      <c r="DR7" s="845" t="s">
        <v>335</v>
      </c>
      <c r="DS7" s="844">
        <v>1</v>
      </c>
      <c r="DT7" s="844">
        <v>2</v>
      </c>
      <c r="DU7" s="844">
        <v>3</v>
      </c>
      <c r="DV7" s="844">
        <v>4</v>
      </c>
      <c r="DW7" s="844">
        <v>3</v>
      </c>
      <c r="DX7" s="844">
        <v>4</v>
      </c>
      <c r="DY7" s="844">
        <v>5</v>
      </c>
      <c r="DZ7" s="844">
        <v>6</v>
      </c>
      <c r="EA7" s="845" t="s">
        <v>332</v>
      </c>
      <c r="EB7" s="845" t="s">
        <v>333</v>
      </c>
      <c r="EC7" s="845" t="s">
        <v>334</v>
      </c>
      <c r="ED7" s="845" t="s">
        <v>335</v>
      </c>
      <c r="EE7" s="844">
        <v>1</v>
      </c>
      <c r="EF7" s="844">
        <v>2</v>
      </c>
      <c r="EG7" s="844">
        <v>3</v>
      </c>
      <c r="EH7" s="844">
        <v>4</v>
      </c>
      <c r="EI7" s="844">
        <v>3</v>
      </c>
      <c r="EJ7" s="844">
        <v>4</v>
      </c>
      <c r="EK7" s="844">
        <v>5</v>
      </c>
      <c r="EL7" s="844">
        <v>6</v>
      </c>
      <c r="EM7" s="845" t="s">
        <v>332</v>
      </c>
      <c r="EN7" s="845" t="s">
        <v>333</v>
      </c>
      <c r="EO7" s="845" t="s">
        <v>334</v>
      </c>
      <c r="EP7" s="845" t="s">
        <v>335</v>
      </c>
      <c r="EQ7" s="844">
        <v>1</v>
      </c>
      <c r="ER7" s="844">
        <v>2</v>
      </c>
      <c r="ES7" s="844">
        <v>3</v>
      </c>
      <c r="ET7" s="844">
        <v>4</v>
      </c>
      <c r="EU7" s="844">
        <v>3</v>
      </c>
      <c r="EV7" s="844">
        <v>4</v>
      </c>
      <c r="EW7" s="844">
        <v>5</v>
      </c>
      <c r="EX7" s="844">
        <v>6</v>
      </c>
      <c r="EY7" s="845" t="s">
        <v>332</v>
      </c>
      <c r="EZ7" s="845" t="s">
        <v>333</v>
      </c>
      <c r="FA7" s="845" t="s">
        <v>334</v>
      </c>
      <c r="FB7" s="845" t="s">
        <v>335</v>
      </c>
      <c r="FC7" s="844"/>
      <c r="FD7" s="844"/>
      <c r="FE7" s="844"/>
      <c r="FF7" s="844"/>
    </row>
    <row r="8" spans="1:162" s="86" customFormat="1" x14ac:dyDescent="0.25">
      <c r="A8" s="48" t="s">
        <v>409</v>
      </c>
      <c r="B8" s="211" t="s">
        <v>336</v>
      </c>
      <c r="C8" s="539">
        <f t="shared" ref="C8:J8" si="0">SUM(C10,C16,C17,C18,C19,C20,C25,C28,C31,C35)</f>
        <v>3076600</v>
      </c>
      <c r="D8" s="539">
        <f t="shared" si="0"/>
        <v>2508435</v>
      </c>
      <c r="E8" s="539">
        <f t="shared" si="0"/>
        <v>2355837.0568200001</v>
      </c>
      <c r="F8" s="539">
        <f t="shared" si="0"/>
        <v>1939584.0568200001</v>
      </c>
      <c r="G8" s="539">
        <f t="shared" si="0"/>
        <v>2858271.5</v>
      </c>
      <c r="H8" s="539">
        <f t="shared" si="0"/>
        <v>2391255.5</v>
      </c>
      <c r="I8" s="539">
        <f t="shared" si="0"/>
        <v>2972800</v>
      </c>
      <c r="J8" s="539">
        <f t="shared" si="0"/>
        <v>2377310</v>
      </c>
      <c r="K8" s="539">
        <f>+I8-G8</f>
        <v>114528.5</v>
      </c>
      <c r="L8" s="539">
        <f>+I8/G8*100</f>
        <v>104.00691466853307</v>
      </c>
      <c r="M8" s="539">
        <f>+G8-C8</f>
        <v>-218328.5</v>
      </c>
      <c r="N8" s="539">
        <f t="shared" ref="N8:N17" si="1">+G8/C8*100</f>
        <v>92.903578625755699</v>
      </c>
      <c r="O8" s="539">
        <f>SUM(O10,O16,O17,O18,O19,O20,O25,O28,O31,O35)</f>
        <v>70200</v>
      </c>
      <c r="P8" s="539">
        <f>SUM(P10,P16,P17,P18,P19,P20,P25,P28,P31,P35)</f>
        <v>60330</v>
      </c>
      <c r="Q8" s="539">
        <f t="shared" ref="Q8:V8" si="2">SUM(Q10,Q16,Q17,Q18,Q19,Q20,Q25,Q28,Q31,Q35)</f>
        <v>68708</v>
      </c>
      <c r="R8" s="539">
        <f t="shared" si="2"/>
        <v>59474</v>
      </c>
      <c r="S8" s="539">
        <f t="shared" si="2"/>
        <v>69241.5</v>
      </c>
      <c r="T8" s="539">
        <f t="shared" si="2"/>
        <v>58165</v>
      </c>
      <c r="U8" s="539">
        <f t="shared" si="2"/>
        <v>69900</v>
      </c>
      <c r="V8" s="539">
        <f t="shared" si="2"/>
        <v>64000</v>
      </c>
      <c r="W8" s="539">
        <f>+U8-S8</f>
        <v>658.5</v>
      </c>
      <c r="X8" s="539">
        <f>+U8/S8*100</f>
        <v>100.95101925868157</v>
      </c>
      <c r="Y8" s="539">
        <f>+S8-O8</f>
        <v>-958.5</v>
      </c>
      <c r="Z8" s="539">
        <f>+S8/O8*100</f>
        <v>98.634615384615387</v>
      </c>
      <c r="AA8" s="539">
        <f>SUM(AA10,AA16,AA17,AA18,AA19,AA20,AA25,AA28,AA31,AA35)</f>
        <v>249650</v>
      </c>
      <c r="AB8" s="539">
        <f>SUM(AB10,AB16,AB17,AB18,AB19,AB20,AB25,AB28,AB31,AB35)</f>
        <v>225250</v>
      </c>
      <c r="AC8" s="539">
        <f t="shared" ref="AC8:AH8" si="3">SUM(AC10,AC16,AC17,AC18,AC19,AC20,AC25,AC28,AC31,AC35)</f>
        <v>199202</v>
      </c>
      <c r="AD8" s="539">
        <f t="shared" si="3"/>
        <v>180190</v>
      </c>
      <c r="AE8" s="539">
        <f t="shared" si="3"/>
        <v>235920.5</v>
      </c>
      <c r="AF8" s="539">
        <f t="shared" si="3"/>
        <v>214780</v>
      </c>
      <c r="AG8" s="539">
        <f t="shared" si="3"/>
        <v>213850</v>
      </c>
      <c r="AH8" s="539">
        <f t="shared" si="3"/>
        <v>195950</v>
      </c>
      <c r="AI8" s="539">
        <f>+AG8-AE8</f>
        <v>-22070.5</v>
      </c>
      <c r="AJ8" s="539">
        <f>+AG8/AE8*100</f>
        <v>90.64494183421958</v>
      </c>
      <c r="AK8" s="539">
        <f>+AE8-AA8</f>
        <v>-13729.5</v>
      </c>
      <c r="AL8" s="539">
        <f>+AE8/AA8*100</f>
        <v>94.500500700981377</v>
      </c>
      <c r="AM8" s="539">
        <f>SUM(AM10,AM16,AM17,AM18,AM19,AM20,AM25,AM28,AM31,AM35)</f>
        <v>58770</v>
      </c>
      <c r="AN8" s="539">
        <f>SUM(AN10,AN16,AN17,AN18,AN19,AN20,AN25,AN28,AN31,AN35)</f>
        <v>44215</v>
      </c>
      <c r="AO8" s="539">
        <f t="shared" ref="AO8:AT8" si="4">SUM(AO10,AO16,AO17,AO18,AO19,AO20,AO25,AO28,AO31,AO35)</f>
        <v>75297</v>
      </c>
      <c r="AP8" s="539">
        <f t="shared" si="4"/>
        <v>65141</v>
      </c>
      <c r="AQ8" s="539">
        <f t="shared" si="4"/>
        <v>81804</v>
      </c>
      <c r="AR8" s="539">
        <f t="shared" si="4"/>
        <v>70140.5</v>
      </c>
      <c r="AS8" s="539">
        <f t="shared" si="4"/>
        <v>62350</v>
      </c>
      <c r="AT8" s="539">
        <f t="shared" si="4"/>
        <v>50570</v>
      </c>
      <c r="AU8" s="539">
        <f>+AS8-AQ8</f>
        <v>-19454</v>
      </c>
      <c r="AV8" s="539">
        <f>+AS8/AQ8*100</f>
        <v>76.218766808469013</v>
      </c>
      <c r="AW8" s="539">
        <f>+AQ8-AM8</f>
        <v>23034</v>
      </c>
      <c r="AX8" s="539">
        <f>+AQ8/AM8*100</f>
        <v>139.19346605410925</v>
      </c>
      <c r="AY8" s="539">
        <f>SUM(AY10,AY16,AY17,AY18,AY19,AY20,AY25,AY28,AY31,AY35)</f>
        <v>99730</v>
      </c>
      <c r="AZ8" s="539">
        <f>SUM(AZ10,AZ16,AZ17,AZ18,AZ19,AZ20,AZ25,AZ28,AZ31,AZ35)</f>
        <v>72820</v>
      </c>
      <c r="BA8" s="539">
        <f t="shared" ref="BA8:BF8" si="5">SUM(BA10,BA16,BA17,BA18,BA19,BA20,BA25,BA28,BA31,BA35)</f>
        <v>85118</v>
      </c>
      <c r="BB8" s="539">
        <f t="shared" si="5"/>
        <v>67312</v>
      </c>
      <c r="BC8" s="539">
        <f t="shared" si="5"/>
        <v>93946</v>
      </c>
      <c r="BD8" s="539">
        <f t="shared" si="5"/>
        <v>74400</v>
      </c>
      <c r="BE8" s="539">
        <f t="shared" si="5"/>
        <v>89400</v>
      </c>
      <c r="BF8" s="539">
        <f t="shared" si="5"/>
        <v>66380</v>
      </c>
      <c r="BG8" s="539">
        <f>+BE8-BC8</f>
        <v>-4546</v>
      </c>
      <c r="BH8" s="539">
        <f>+BE8/BC8*100</f>
        <v>95.161049964873428</v>
      </c>
      <c r="BI8" s="539">
        <f>+BC8-AY8</f>
        <v>-5784</v>
      </c>
      <c r="BJ8" s="539">
        <f>+BC8/AY8*100</f>
        <v>94.200340920485317</v>
      </c>
      <c r="BK8" s="539">
        <f>SUM(BK10,BK16,BK17,BK18,BK19,BK20,BK25,BK28,BK31,BK35)</f>
        <v>165800</v>
      </c>
      <c r="BL8" s="539">
        <f>SUM(BL10,BL16,BL17,BL18,BL19,BL20,BL25,BL28,BL31,BL35)</f>
        <v>143170</v>
      </c>
      <c r="BM8" s="539">
        <f t="shared" ref="BM8:BR8" si="6">SUM(BM10,BM16,BM17,BM18,BM19,BM20,BM25,BM28,BM31,BM35)</f>
        <v>117745</v>
      </c>
      <c r="BN8" s="539">
        <f t="shared" si="6"/>
        <v>103207</v>
      </c>
      <c r="BO8" s="539">
        <f t="shared" si="6"/>
        <v>147824.5</v>
      </c>
      <c r="BP8" s="539">
        <f t="shared" si="6"/>
        <v>128200</v>
      </c>
      <c r="BQ8" s="539">
        <f t="shared" si="6"/>
        <v>162900</v>
      </c>
      <c r="BR8" s="539">
        <f t="shared" si="6"/>
        <v>140700</v>
      </c>
      <c r="BS8" s="539">
        <f>+BQ8-BO8</f>
        <v>15075.5</v>
      </c>
      <c r="BT8" s="539">
        <f>+BQ8/BO8*100</f>
        <v>110.19824183406675</v>
      </c>
      <c r="BU8" s="539">
        <f>+BO8-BK8</f>
        <v>-17975.5</v>
      </c>
      <c r="BV8" s="539">
        <f>+BO8/BK8*100</f>
        <v>89.158323281061527</v>
      </c>
      <c r="BW8" s="539">
        <f>SUM(BW10,BW16,BW17,BW18,BW19,BW20,BW25,BW28,BW31,BW35)</f>
        <v>1055100</v>
      </c>
      <c r="BX8" s="539">
        <f>SUM(BX10,BX16,BX17,BX18,BX19,BX20,BX25,BX28,BX31,BX35)</f>
        <v>781330</v>
      </c>
      <c r="BY8" s="539">
        <f t="shared" ref="BY8:CD8" si="7">SUM(BY10,BY16,BY17,BY18,BY19,BY20,BY25,BY28,BY31,BY35)</f>
        <v>800593</v>
      </c>
      <c r="BZ8" s="539">
        <f t="shared" si="7"/>
        <v>600829</v>
      </c>
      <c r="CA8" s="539">
        <f t="shared" si="7"/>
        <v>960502</v>
      </c>
      <c r="CB8" s="539">
        <f t="shared" si="7"/>
        <v>748800</v>
      </c>
      <c r="CC8" s="539">
        <f t="shared" si="7"/>
        <v>1067100</v>
      </c>
      <c r="CD8" s="539">
        <f t="shared" si="7"/>
        <v>738900</v>
      </c>
      <c r="CE8" s="539">
        <f>+CC8-CA8</f>
        <v>106598</v>
      </c>
      <c r="CF8" s="539">
        <f>+CC8/CA8*100</f>
        <v>111.09815492315475</v>
      </c>
      <c r="CG8" s="539">
        <f>+CA8-BW8</f>
        <v>-94598</v>
      </c>
      <c r="CH8" s="539">
        <f>+CA8/BW8*100</f>
        <v>91.034214766372855</v>
      </c>
      <c r="CI8" s="539">
        <f>SUM(CI10,CI16,CI17,CI18,CI19,CI20,CI25,CI28,CI31,CI35)</f>
        <v>186050</v>
      </c>
      <c r="CJ8" s="539">
        <f>SUM(CJ10,CJ16,CJ17,CJ18,CJ19,CJ20,CJ25,CJ28,CJ31,CJ35)</f>
        <v>155600</v>
      </c>
      <c r="CK8" s="539">
        <f t="shared" ref="CK8:CP8" si="8">SUM(CK10,CK16,CK17,CK18,CK19,CK20,CK25,CK28,CK31,CK35)</f>
        <v>145821</v>
      </c>
      <c r="CL8" s="539">
        <f t="shared" si="8"/>
        <v>124292</v>
      </c>
      <c r="CM8" s="539">
        <f t="shared" si="8"/>
        <v>182804.5</v>
      </c>
      <c r="CN8" s="539">
        <f t="shared" si="8"/>
        <v>154930</v>
      </c>
      <c r="CO8" s="539">
        <f t="shared" si="8"/>
        <v>180050</v>
      </c>
      <c r="CP8" s="539">
        <f t="shared" si="8"/>
        <v>145720</v>
      </c>
      <c r="CQ8" s="539">
        <f>+CO8-CM8</f>
        <v>-2754.5</v>
      </c>
      <c r="CR8" s="539">
        <f>+CO8/CM8*100</f>
        <v>98.493199018623727</v>
      </c>
      <c r="CS8" s="539">
        <f>+CM8-CI8</f>
        <v>-3245.5</v>
      </c>
      <c r="CT8" s="539">
        <f>+CM8/CI8*100</f>
        <v>98.255576457941416</v>
      </c>
      <c r="CU8" s="539">
        <f t="shared" ref="CU8:DB8" si="9">SUM(CU10,CU16,CU17,CU18,CU19,CU20,CU25,CU28,CU31,CU35)</f>
        <v>182050</v>
      </c>
      <c r="CV8" s="539">
        <f t="shared" si="9"/>
        <v>154670</v>
      </c>
      <c r="CW8" s="539">
        <f t="shared" si="9"/>
        <v>122071.05682</v>
      </c>
      <c r="CX8" s="539">
        <f t="shared" si="9"/>
        <v>99094.056819999998</v>
      </c>
      <c r="CY8" s="539">
        <f t="shared" si="9"/>
        <v>159274.5</v>
      </c>
      <c r="CZ8" s="539">
        <f t="shared" si="9"/>
        <v>131892.5</v>
      </c>
      <c r="DA8" s="539">
        <f t="shared" si="9"/>
        <v>173900</v>
      </c>
      <c r="DB8" s="539">
        <f t="shared" si="9"/>
        <v>145720</v>
      </c>
      <c r="DC8" s="539">
        <f>+DA8-CY8</f>
        <v>14625.5</v>
      </c>
      <c r="DD8" s="539">
        <f>+DA8/CY8*100</f>
        <v>109.18257473732456</v>
      </c>
      <c r="DE8" s="539">
        <f>+CY8-CU8</f>
        <v>-22775.5</v>
      </c>
      <c r="DF8" s="539">
        <f>+CY8/CU8*100</f>
        <v>87.489425981873111</v>
      </c>
      <c r="DG8" s="539">
        <f>SUM(DG10,DG16,DG17,DG18,DG19,DG20,DG25,DG28,DG31,DG35)</f>
        <v>233800</v>
      </c>
      <c r="DH8" s="539">
        <f>SUM(DH10,DH16,DH17,DH18,DH19,DH20,DH25,DH28,DH31,DH35)</f>
        <v>201000</v>
      </c>
      <c r="DI8" s="539">
        <f t="shared" ref="DI8:DN8" si="10">SUM(DI10,DI16,DI17,DI18,DI19,DI20,DI25,DI28,DI31,DI35)</f>
        <v>161781</v>
      </c>
      <c r="DJ8" s="539">
        <f t="shared" si="10"/>
        <v>137604</v>
      </c>
      <c r="DK8" s="539">
        <f t="shared" si="10"/>
        <v>184651</v>
      </c>
      <c r="DL8" s="539">
        <f t="shared" si="10"/>
        <v>159076</v>
      </c>
      <c r="DM8" s="539">
        <f t="shared" si="10"/>
        <v>179250</v>
      </c>
      <c r="DN8" s="539">
        <f t="shared" si="10"/>
        <v>149950</v>
      </c>
      <c r="DO8" s="539">
        <f>+DM8-DK8</f>
        <v>-5401</v>
      </c>
      <c r="DP8" s="539">
        <f>+DM8/DK8*100</f>
        <v>97.075022610221438</v>
      </c>
      <c r="DQ8" s="539">
        <f>+DK8-DG8</f>
        <v>-49149</v>
      </c>
      <c r="DR8" s="539">
        <f>+DK8/DG8*100</f>
        <v>78.9781864841745</v>
      </c>
      <c r="DS8" s="539">
        <f>SUM(DS10,DS16,DS17,DS18,DS19,DS20,DS25,DS28,DS31,DS35)</f>
        <v>138750</v>
      </c>
      <c r="DT8" s="539">
        <f>SUM(DT10,DT16,DT17,DT18,DT19,DT20,DT25,DT28,DT31,DT35)</f>
        <v>107990</v>
      </c>
      <c r="DU8" s="539">
        <f t="shared" ref="DU8:DZ8" si="11">SUM(DU10,DU16,DU17,DU18,DU19,DU20,DU25,DU28,DU31,DU35)</f>
        <v>96301</v>
      </c>
      <c r="DV8" s="539">
        <f t="shared" si="11"/>
        <v>75654</v>
      </c>
      <c r="DW8" s="539">
        <f t="shared" si="11"/>
        <v>119402</v>
      </c>
      <c r="DX8" s="539">
        <f t="shared" si="11"/>
        <v>95031</v>
      </c>
      <c r="DY8" s="539">
        <f t="shared" si="11"/>
        <v>119900</v>
      </c>
      <c r="DZ8" s="539">
        <f t="shared" si="11"/>
        <v>94500</v>
      </c>
      <c r="EA8" s="539">
        <f>+DY8-DW8</f>
        <v>498</v>
      </c>
      <c r="EB8" s="539">
        <f>+DY8/DW8*100</f>
        <v>100.41707844089713</v>
      </c>
      <c r="EC8" s="539">
        <f>+DW8-DS8</f>
        <v>-19348</v>
      </c>
      <c r="ED8" s="539">
        <f>+DW8/DS8*100</f>
        <v>86.055495495495492</v>
      </c>
      <c r="EE8" s="539">
        <f>SUM(EE10,EE16,EE17,EE18,EE19,EE20,EE25,EE28,EE31,EE35)</f>
        <v>514500</v>
      </c>
      <c r="EF8" s="539">
        <f>SUM(EF10,EF16,EF17,EF18,EF19,EF20,EF25,EF28,EF31,EF35)</f>
        <v>460240</v>
      </c>
      <c r="EG8" s="539">
        <f t="shared" ref="EG8:EL8" si="12">SUM(EG10,EG16,EG17,EG18,EG19,EG20,EG25,EG28,EG31,EG35)</f>
        <v>391001</v>
      </c>
      <c r="EH8" s="539">
        <f t="shared" si="12"/>
        <v>351084</v>
      </c>
      <c r="EI8" s="539">
        <f t="shared" si="12"/>
        <v>507983.5</v>
      </c>
      <c r="EJ8" s="539">
        <f t="shared" si="12"/>
        <v>459670.5</v>
      </c>
      <c r="EK8" s="539">
        <f t="shared" si="12"/>
        <v>521600</v>
      </c>
      <c r="EL8" s="539">
        <f t="shared" si="12"/>
        <v>473520</v>
      </c>
      <c r="EM8" s="539">
        <f>+EK8-EI8</f>
        <v>13616.5</v>
      </c>
      <c r="EN8" s="539">
        <f>+EK8/EI8*100</f>
        <v>102.68050044932562</v>
      </c>
      <c r="EO8" s="539">
        <f>+EI8-EE8</f>
        <v>-6516.5</v>
      </c>
      <c r="EP8" s="539">
        <f>+EI8/EE8*100</f>
        <v>98.733430515063176</v>
      </c>
      <c r="EQ8" s="539">
        <f>SUM(EQ10,EQ16,EQ17,EQ18,EQ19,EQ20,EQ25,EQ28,EQ31,EQ35)</f>
        <v>122200</v>
      </c>
      <c r="ER8" s="539">
        <f>SUM(ER10,ER16,ER17,ER18,ER19,ER20,ER25,ER28,ER31,ER35)</f>
        <v>101820</v>
      </c>
      <c r="ES8" s="539">
        <f t="shared" ref="ES8:EX8" si="13">SUM(ES10,ES16,ES17,ES18,ES19,ES20,ES25,ES28,ES31,ES35)</f>
        <v>92199</v>
      </c>
      <c r="ET8" s="539">
        <f t="shared" si="13"/>
        <v>75703</v>
      </c>
      <c r="EU8" s="539">
        <f t="shared" si="13"/>
        <v>114917.5</v>
      </c>
      <c r="EV8" s="539">
        <f t="shared" si="13"/>
        <v>96170</v>
      </c>
      <c r="EW8" s="539">
        <f t="shared" si="13"/>
        <v>132600</v>
      </c>
      <c r="EX8" s="539">
        <f t="shared" si="13"/>
        <v>111400</v>
      </c>
      <c r="EY8" s="539">
        <f>+EW8-EU8</f>
        <v>17682.5</v>
      </c>
      <c r="EZ8" s="539">
        <f>+EW8/EU8*100</f>
        <v>115.38712554658777</v>
      </c>
      <c r="FA8" s="539">
        <f>+EU8-EQ8</f>
        <v>-7282.5</v>
      </c>
      <c r="FB8" s="539">
        <f>+EU8/EQ8*100</f>
        <v>94.04050736497544</v>
      </c>
      <c r="FC8" s="828">
        <f t="shared" ref="FC8:FD10" si="14">E8/C8</f>
        <v>0.76572744484820909</v>
      </c>
      <c r="FD8" s="828">
        <f t="shared" si="14"/>
        <v>0.77322476237973081</v>
      </c>
      <c r="FE8" s="833">
        <f t="shared" ref="FE8:FF10" si="15">E8-C8</f>
        <v>-720762.94317999994</v>
      </c>
      <c r="FF8" s="833">
        <f t="shared" si="15"/>
        <v>-568850.94317999994</v>
      </c>
    </row>
    <row r="9" spans="1:162" s="86" customFormat="1" x14ac:dyDescent="0.25">
      <c r="A9" s="213"/>
      <c r="B9" s="214" t="s">
        <v>348</v>
      </c>
      <c r="C9" s="539">
        <f t="shared" ref="C9:J9" si="16">C8-C28</f>
        <v>2476600</v>
      </c>
      <c r="D9" s="539">
        <f t="shared" si="16"/>
        <v>2008435</v>
      </c>
      <c r="E9" s="539">
        <f t="shared" si="16"/>
        <v>1711667.0568200001</v>
      </c>
      <c r="F9" s="539">
        <f t="shared" si="16"/>
        <v>1295414.0568200001</v>
      </c>
      <c r="G9" s="539">
        <f t="shared" si="16"/>
        <v>2108271.5</v>
      </c>
      <c r="H9" s="539">
        <f t="shared" si="16"/>
        <v>1641255.5</v>
      </c>
      <c r="I9" s="539">
        <f t="shared" si="16"/>
        <v>2222800</v>
      </c>
      <c r="J9" s="539">
        <f t="shared" si="16"/>
        <v>1727310</v>
      </c>
      <c r="K9" s="540">
        <f>I9-G9</f>
        <v>114528.5</v>
      </c>
      <c r="L9" s="540">
        <f>I9/G9*100</f>
        <v>105.43234113822626</v>
      </c>
      <c r="M9" s="540">
        <f>G9-C9</f>
        <v>-368328.5</v>
      </c>
      <c r="N9" s="540">
        <f>G9/C9*100</f>
        <v>85.127654849390282</v>
      </c>
      <c r="O9" s="539">
        <f>O8-O28</f>
        <v>57200</v>
      </c>
      <c r="P9" s="539">
        <f>P8-P28</f>
        <v>47330</v>
      </c>
      <c r="Q9" s="539">
        <f t="shared" ref="Q9:V9" si="17">Q8-Q28</f>
        <v>37790</v>
      </c>
      <c r="R9" s="539">
        <f t="shared" si="17"/>
        <v>28556</v>
      </c>
      <c r="S9" s="539">
        <f t="shared" si="17"/>
        <v>44241.5</v>
      </c>
      <c r="T9" s="539">
        <f t="shared" si="17"/>
        <v>33165</v>
      </c>
      <c r="U9" s="539">
        <f t="shared" si="17"/>
        <v>44900</v>
      </c>
      <c r="V9" s="539">
        <f t="shared" si="17"/>
        <v>39000</v>
      </c>
      <c r="W9" s="540">
        <f>U9-S9</f>
        <v>658.5</v>
      </c>
      <c r="X9" s="540">
        <f>U9/S9*100</f>
        <v>101.48842150469581</v>
      </c>
      <c r="Y9" s="540">
        <f>S9-O9</f>
        <v>-12958.5</v>
      </c>
      <c r="Z9" s="540">
        <f>S9/O9*100</f>
        <v>77.34527972027972</v>
      </c>
      <c r="AA9" s="539">
        <f>AA8-AA28</f>
        <v>99650</v>
      </c>
      <c r="AB9" s="539">
        <f>AB8-AB28</f>
        <v>75250</v>
      </c>
      <c r="AC9" s="539">
        <f t="shared" ref="AC9:AH9" si="18">AC8-AC28</f>
        <v>67256</v>
      </c>
      <c r="AD9" s="539">
        <f t="shared" si="18"/>
        <v>48244</v>
      </c>
      <c r="AE9" s="539">
        <f t="shared" si="18"/>
        <v>75920.5</v>
      </c>
      <c r="AF9" s="539">
        <f t="shared" si="18"/>
        <v>54780</v>
      </c>
      <c r="AG9" s="539">
        <f t="shared" si="18"/>
        <v>63850</v>
      </c>
      <c r="AH9" s="539">
        <f t="shared" si="18"/>
        <v>45950</v>
      </c>
      <c r="AI9" s="540">
        <f>AG9-AE9</f>
        <v>-12070.5</v>
      </c>
      <c r="AJ9" s="540">
        <f>AG9/AE9*100</f>
        <v>84.101132105294354</v>
      </c>
      <c r="AK9" s="540">
        <f>AE9-AA9</f>
        <v>-23729.5</v>
      </c>
      <c r="AL9" s="540">
        <f>AE9/AA9*100</f>
        <v>76.187155042649266</v>
      </c>
      <c r="AM9" s="539">
        <f>AM8-AM28</f>
        <v>48770</v>
      </c>
      <c r="AN9" s="539">
        <f>AN8-AN28</f>
        <v>34215</v>
      </c>
      <c r="AO9" s="539">
        <f t="shared" ref="AO9:AT9" si="19">AO8-AO28</f>
        <v>48258</v>
      </c>
      <c r="AP9" s="539">
        <f t="shared" si="19"/>
        <v>38102</v>
      </c>
      <c r="AQ9" s="539">
        <f t="shared" si="19"/>
        <v>51804</v>
      </c>
      <c r="AR9" s="539">
        <f t="shared" si="19"/>
        <v>40140.5</v>
      </c>
      <c r="AS9" s="539">
        <f t="shared" si="19"/>
        <v>47350</v>
      </c>
      <c r="AT9" s="539">
        <f t="shared" si="19"/>
        <v>35570</v>
      </c>
      <c r="AU9" s="540">
        <f>AS9-AQ9</f>
        <v>-4454</v>
      </c>
      <c r="AV9" s="540">
        <f>AS9/AQ9*100</f>
        <v>91.402208323681563</v>
      </c>
      <c r="AW9" s="540">
        <f>AQ9-AM9</f>
        <v>3034</v>
      </c>
      <c r="AX9" s="540">
        <f>AQ9/AM9*100</f>
        <v>106.22103752306747</v>
      </c>
      <c r="AY9" s="539">
        <f>AY8-AY28</f>
        <v>79730</v>
      </c>
      <c r="AZ9" s="539">
        <f>AZ8-AZ28</f>
        <v>52820</v>
      </c>
      <c r="BA9" s="539">
        <f t="shared" ref="BA9:BF9" si="20">BA8-BA28</f>
        <v>64607</v>
      </c>
      <c r="BB9" s="539">
        <f t="shared" si="20"/>
        <v>46801</v>
      </c>
      <c r="BC9" s="539">
        <f t="shared" si="20"/>
        <v>68946</v>
      </c>
      <c r="BD9" s="539">
        <f t="shared" si="20"/>
        <v>49400</v>
      </c>
      <c r="BE9" s="539">
        <f t="shared" si="20"/>
        <v>69400</v>
      </c>
      <c r="BF9" s="539">
        <f t="shared" si="20"/>
        <v>46380</v>
      </c>
      <c r="BG9" s="540">
        <f>BE9-BC9</f>
        <v>454</v>
      </c>
      <c r="BH9" s="540">
        <f>BE9/BC9*100</f>
        <v>100.65848635163752</v>
      </c>
      <c r="BI9" s="540">
        <f>BC9-AY9</f>
        <v>-10784</v>
      </c>
      <c r="BJ9" s="540">
        <f>BC9/AY9*100</f>
        <v>86.474350934403617</v>
      </c>
      <c r="BK9" s="539">
        <f>BK8-BK28</f>
        <v>145800</v>
      </c>
      <c r="BL9" s="539">
        <f>BL8-BL28</f>
        <v>123170</v>
      </c>
      <c r="BM9" s="539">
        <f t="shared" ref="BM9:BR9" si="21">BM8-BM28</f>
        <v>99065</v>
      </c>
      <c r="BN9" s="539">
        <f t="shared" si="21"/>
        <v>84527</v>
      </c>
      <c r="BO9" s="539">
        <f t="shared" si="21"/>
        <v>127824.5</v>
      </c>
      <c r="BP9" s="539">
        <f t="shared" si="21"/>
        <v>108200</v>
      </c>
      <c r="BQ9" s="539">
        <f t="shared" si="21"/>
        <v>137900</v>
      </c>
      <c r="BR9" s="539">
        <f t="shared" si="21"/>
        <v>115700</v>
      </c>
      <c r="BS9" s="540">
        <f>BQ9-BO9</f>
        <v>10075.5</v>
      </c>
      <c r="BT9" s="540">
        <f>BQ9/BO9*100</f>
        <v>107.88229173593481</v>
      </c>
      <c r="BU9" s="540">
        <f>BO9-BK9</f>
        <v>-17975.5</v>
      </c>
      <c r="BV9" s="540">
        <f>BO9/BK9*100</f>
        <v>87.671124828532228</v>
      </c>
      <c r="BW9" s="539">
        <f>BW8-BW28</f>
        <v>905100</v>
      </c>
      <c r="BX9" s="539">
        <f>BX8-BX28</f>
        <v>729330</v>
      </c>
      <c r="BY9" s="539">
        <f t="shared" ref="BY9:CD9" si="22">BY8-BY28</f>
        <v>658267</v>
      </c>
      <c r="BZ9" s="539">
        <f t="shared" si="22"/>
        <v>458503</v>
      </c>
      <c r="CA9" s="539">
        <f t="shared" si="22"/>
        <v>800502</v>
      </c>
      <c r="CB9" s="539">
        <f t="shared" si="22"/>
        <v>588800</v>
      </c>
      <c r="CC9" s="539">
        <f t="shared" si="22"/>
        <v>867100</v>
      </c>
      <c r="CD9" s="539">
        <f t="shared" si="22"/>
        <v>638900</v>
      </c>
      <c r="CE9" s="540">
        <f>CC9-CA9</f>
        <v>66598</v>
      </c>
      <c r="CF9" s="540">
        <f>CC9/CA9*100</f>
        <v>108.31952949524172</v>
      </c>
      <c r="CG9" s="540">
        <f>CA9-BW9</f>
        <v>-104598</v>
      </c>
      <c r="CH9" s="540">
        <f>CA9/BW9*100</f>
        <v>88.443486907524033</v>
      </c>
      <c r="CI9" s="539">
        <f>CI8-CI28</f>
        <v>151050</v>
      </c>
      <c r="CJ9" s="539">
        <f>CJ8-CJ28</f>
        <v>120600</v>
      </c>
      <c r="CK9" s="539">
        <f t="shared" ref="CK9:CP9" si="23">CK8-CK28</f>
        <v>111156</v>
      </c>
      <c r="CL9" s="539">
        <f t="shared" si="23"/>
        <v>89627</v>
      </c>
      <c r="CM9" s="539">
        <f t="shared" si="23"/>
        <v>142804.5</v>
      </c>
      <c r="CN9" s="539">
        <f t="shared" si="23"/>
        <v>114930</v>
      </c>
      <c r="CO9" s="539">
        <f t="shared" si="23"/>
        <v>145050</v>
      </c>
      <c r="CP9" s="539">
        <f t="shared" si="23"/>
        <v>110720</v>
      </c>
      <c r="CQ9" s="540">
        <f>CO9-CM9</f>
        <v>2245.5</v>
      </c>
      <c r="CR9" s="540">
        <f>CO9/CM9*100</f>
        <v>101.57242944024874</v>
      </c>
      <c r="CS9" s="540">
        <f>CM9-CI9</f>
        <v>-8245.5</v>
      </c>
      <c r="CT9" s="540">
        <f>CM9/CI9*100</f>
        <v>94.541211519364452</v>
      </c>
      <c r="CU9" s="539">
        <f>CU8-CU28</f>
        <v>132050</v>
      </c>
      <c r="CV9" s="539">
        <f>CV8-CV28</f>
        <v>104670</v>
      </c>
      <c r="CW9" s="539">
        <f t="shared" ref="CW9:DB9" si="24">CW8-CW28</f>
        <v>85505.056819999998</v>
      </c>
      <c r="CX9" s="539">
        <f t="shared" si="24"/>
        <v>62528.056819999998</v>
      </c>
      <c r="CY9" s="539">
        <f t="shared" si="24"/>
        <v>104274.5</v>
      </c>
      <c r="CZ9" s="539">
        <f t="shared" si="24"/>
        <v>76892.5</v>
      </c>
      <c r="DA9" s="539">
        <f t="shared" si="24"/>
        <v>113900</v>
      </c>
      <c r="DB9" s="539">
        <f t="shared" si="24"/>
        <v>85720</v>
      </c>
      <c r="DC9" s="540">
        <f>DA9-CY9</f>
        <v>9625.5</v>
      </c>
      <c r="DD9" s="540">
        <f>DA9/CY9*100</f>
        <v>109.2309241473227</v>
      </c>
      <c r="DE9" s="540">
        <f>CY9-CU9</f>
        <v>-27775.5</v>
      </c>
      <c r="DF9" s="540">
        <f>CY9/CU9*100</f>
        <v>78.96592199924271</v>
      </c>
      <c r="DG9" s="539">
        <f>DG8-DG28</f>
        <v>216800</v>
      </c>
      <c r="DH9" s="539">
        <f>DH8-DH28</f>
        <v>186000</v>
      </c>
      <c r="DI9" s="539">
        <f t="shared" ref="DI9:DN9" si="25">DI8-DI28</f>
        <v>116209</v>
      </c>
      <c r="DJ9" s="539">
        <f t="shared" si="25"/>
        <v>92032</v>
      </c>
      <c r="DK9" s="539">
        <f t="shared" si="25"/>
        <v>144651</v>
      </c>
      <c r="DL9" s="539">
        <f t="shared" si="25"/>
        <v>119076</v>
      </c>
      <c r="DM9" s="539">
        <f t="shared" si="25"/>
        <v>154250</v>
      </c>
      <c r="DN9" s="539">
        <f t="shared" si="25"/>
        <v>124950</v>
      </c>
      <c r="DO9" s="540">
        <f>DM9-DK9</f>
        <v>9599</v>
      </c>
      <c r="DP9" s="540">
        <f>DM9/DK9*100</f>
        <v>106.63597209836088</v>
      </c>
      <c r="DQ9" s="540">
        <f>DK9-DG9</f>
        <v>-72149</v>
      </c>
      <c r="DR9" s="540">
        <f>DK9/DG9*100</f>
        <v>66.720940959409589</v>
      </c>
      <c r="DS9" s="539">
        <f>DS8-DS28</f>
        <v>123750</v>
      </c>
      <c r="DT9" s="539">
        <f>DT8-DT28</f>
        <v>92990</v>
      </c>
      <c r="DU9" s="539">
        <f t="shared" ref="DU9:DZ9" si="26">DU8-DU28</f>
        <v>71533</v>
      </c>
      <c r="DV9" s="539">
        <f t="shared" si="26"/>
        <v>50886</v>
      </c>
      <c r="DW9" s="539">
        <f t="shared" si="26"/>
        <v>92402</v>
      </c>
      <c r="DX9" s="539">
        <f t="shared" si="26"/>
        <v>68031</v>
      </c>
      <c r="DY9" s="539">
        <f t="shared" si="26"/>
        <v>99900</v>
      </c>
      <c r="DZ9" s="539">
        <f t="shared" si="26"/>
        <v>74500</v>
      </c>
      <c r="EA9" s="540">
        <f>DY9-DW9</f>
        <v>7498</v>
      </c>
      <c r="EB9" s="540">
        <f>DY9/DW9*100</f>
        <v>108.11454297526029</v>
      </c>
      <c r="EC9" s="540">
        <f>DW9-DS9</f>
        <v>-31348</v>
      </c>
      <c r="ED9" s="540">
        <f>DW9/DS9*100</f>
        <v>74.668282828282827</v>
      </c>
      <c r="EE9" s="539">
        <f>EE8-EE28</f>
        <v>414500</v>
      </c>
      <c r="EF9" s="539">
        <f>EF8-EF28</f>
        <v>360240</v>
      </c>
      <c r="EG9" s="539">
        <f t="shared" ref="EG9:EL9" si="27">EG8-EG28</f>
        <v>283076</v>
      </c>
      <c r="EH9" s="539">
        <f t="shared" si="27"/>
        <v>243159</v>
      </c>
      <c r="EI9" s="539">
        <f t="shared" si="27"/>
        <v>364983.5</v>
      </c>
      <c r="EJ9" s="539">
        <f t="shared" si="27"/>
        <v>316670.5</v>
      </c>
      <c r="EK9" s="539">
        <f t="shared" si="27"/>
        <v>381600</v>
      </c>
      <c r="EL9" s="539">
        <f t="shared" si="27"/>
        <v>333520</v>
      </c>
      <c r="EM9" s="540">
        <f>EK9-EI9</f>
        <v>16616.5</v>
      </c>
      <c r="EN9" s="540">
        <f>EK9/EI9*100</f>
        <v>104.55267155912526</v>
      </c>
      <c r="EO9" s="540">
        <f>EI9-EE9</f>
        <v>-49516.5</v>
      </c>
      <c r="EP9" s="540">
        <f>EI9/EE9*100</f>
        <v>88.053920386007235</v>
      </c>
      <c r="EQ9" s="539">
        <f>EQ8-EQ28</f>
        <v>102200</v>
      </c>
      <c r="ER9" s="539">
        <f>ER8-ER28</f>
        <v>81820</v>
      </c>
      <c r="ES9" s="539">
        <f t="shared" ref="ES9:EX9" si="28">ES8-ES28</f>
        <v>68945</v>
      </c>
      <c r="ET9" s="539">
        <f t="shared" si="28"/>
        <v>52449</v>
      </c>
      <c r="EU9" s="539">
        <f t="shared" si="28"/>
        <v>89917.5</v>
      </c>
      <c r="EV9" s="539">
        <f t="shared" si="28"/>
        <v>71170</v>
      </c>
      <c r="EW9" s="539">
        <f t="shared" si="28"/>
        <v>97600</v>
      </c>
      <c r="EX9" s="539">
        <f t="shared" si="28"/>
        <v>76400</v>
      </c>
      <c r="EY9" s="540">
        <f>EW9-EU9</f>
        <v>7682.5</v>
      </c>
      <c r="EZ9" s="540">
        <f>EW9/EU9*100</f>
        <v>108.54394305891513</v>
      </c>
      <c r="FA9" s="540">
        <f>EU9-EQ9</f>
        <v>-12282.5</v>
      </c>
      <c r="FB9" s="540">
        <f>EU9/EQ9*100</f>
        <v>87.981898238747561</v>
      </c>
      <c r="FC9" s="832">
        <f t="shared" si="14"/>
        <v>0.69113585432447711</v>
      </c>
      <c r="FD9" s="832">
        <f t="shared" si="14"/>
        <v>0.64498679659535907</v>
      </c>
      <c r="FE9" s="834">
        <f t="shared" si="15"/>
        <v>-764932.94317999994</v>
      </c>
      <c r="FF9" s="834">
        <f t="shared" si="15"/>
        <v>-713020.94317999994</v>
      </c>
    </row>
    <row r="10" spans="1:162" s="154" customFormat="1" x14ac:dyDescent="0.25">
      <c r="A10" s="215">
        <v>1</v>
      </c>
      <c r="B10" s="216" t="s">
        <v>42</v>
      </c>
      <c r="C10" s="541">
        <f t="shared" ref="C10:J10" si="29">SUM(C11:C15)</f>
        <v>1410000</v>
      </c>
      <c r="D10" s="541">
        <f t="shared" si="29"/>
        <v>1322735</v>
      </c>
      <c r="E10" s="541">
        <f t="shared" si="29"/>
        <v>956658</v>
      </c>
      <c r="F10" s="541">
        <f t="shared" si="29"/>
        <v>845044</v>
      </c>
      <c r="G10" s="541">
        <f t="shared" si="29"/>
        <v>1221404</v>
      </c>
      <c r="H10" s="541">
        <f t="shared" si="29"/>
        <v>1083821</v>
      </c>
      <c r="I10" s="541">
        <f>SUM(I11:I15)</f>
        <v>1315000</v>
      </c>
      <c r="J10" s="541">
        <f t="shared" si="29"/>
        <v>1165310</v>
      </c>
      <c r="K10" s="541">
        <f t="shared" ref="K10:K20" si="30">+I10-G10</f>
        <v>93596</v>
      </c>
      <c r="L10" s="541">
        <f>+I10/G10*100</f>
        <v>107.66298456530355</v>
      </c>
      <c r="M10" s="541">
        <f t="shared" ref="M10:M20" si="31">+G10-C10</f>
        <v>-188596</v>
      </c>
      <c r="N10" s="541">
        <f t="shared" si="1"/>
        <v>86.624397163120577</v>
      </c>
      <c r="O10" s="541">
        <f>SUM(O11:O15)</f>
        <v>14000</v>
      </c>
      <c r="P10" s="541">
        <f>SUM(P11:P15)</f>
        <v>13930</v>
      </c>
      <c r="Q10" s="541">
        <f t="shared" ref="Q10:V10" si="32">SUM(Q11:Q15)</f>
        <v>9140</v>
      </c>
      <c r="R10" s="541">
        <f t="shared" si="32"/>
        <v>7555</v>
      </c>
      <c r="S10" s="541">
        <f t="shared" si="32"/>
        <v>11400</v>
      </c>
      <c r="T10" s="541">
        <f t="shared" si="32"/>
        <v>9655</v>
      </c>
      <c r="U10" s="541">
        <f t="shared" si="32"/>
        <v>10500</v>
      </c>
      <c r="V10" s="541">
        <f t="shared" si="32"/>
        <v>10400</v>
      </c>
      <c r="W10" s="541">
        <f t="shared" ref="W10:W16" si="33">+U10-S10</f>
        <v>-900</v>
      </c>
      <c r="X10" s="541">
        <f>+U10/S10*100</f>
        <v>92.10526315789474</v>
      </c>
      <c r="Y10" s="541">
        <f t="shared" ref="Y10:Y16" si="34">+S10-O10</f>
        <v>-2600</v>
      </c>
      <c r="Z10" s="541">
        <f>+S10/O10*100</f>
        <v>81.428571428571431</v>
      </c>
      <c r="AA10" s="541">
        <f>SUM(AA11:AA15)</f>
        <v>32200</v>
      </c>
      <c r="AB10" s="541">
        <f>SUM(AB11:AB15)</f>
        <v>31800</v>
      </c>
      <c r="AC10" s="541">
        <f t="shared" ref="AC10:AH10" si="35">SUM(AC11:AC15)</f>
        <v>15807</v>
      </c>
      <c r="AD10" s="541">
        <f t="shared" si="35"/>
        <v>15673</v>
      </c>
      <c r="AE10" s="541">
        <f>SUM(AE11:AE15)</f>
        <v>18700</v>
      </c>
      <c r="AF10" s="541">
        <f t="shared" si="35"/>
        <v>18400</v>
      </c>
      <c r="AG10" s="541">
        <f>SUM(AG11:AG15)</f>
        <v>20500</v>
      </c>
      <c r="AH10" s="541">
        <f t="shared" si="35"/>
        <v>20100</v>
      </c>
      <c r="AI10" s="541">
        <f t="shared" ref="AI10:AI31" si="36">+AG10-AE10</f>
        <v>1800</v>
      </c>
      <c r="AJ10" s="541">
        <f>+AG10/AE10*100</f>
        <v>109.62566844919786</v>
      </c>
      <c r="AK10" s="541">
        <f>+AE10-AA10</f>
        <v>-13500</v>
      </c>
      <c r="AL10" s="541">
        <f t="shared" ref="AL10:AL17" si="37">+AE10/AA10*100</f>
        <v>58.074534161490689</v>
      </c>
      <c r="AM10" s="541">
        <f>SUM(AM11:AM15)</f>
        <v>14000</v>
      </c>
      <c r="AN10" s="541">
        <f>SUM(AN11:AN15)</f>
        <v>13945</v>
      </c>
      <c r="AO10" s="541">
        <f t="shared" ref="AO10:AT10" si="38">SUM(AO11:AO15)</f>
        <v>12539</v>
      </c>
      <c r="AP10" s="541">
        <f t="shared" si="38"/>
        <v>12471</v>
      </c>
      <c r="AQ10" s="541">
        <f>SUM(AQ11:AQ15)</f>
        <v>13034</v>
      </c>
      <c r="AR10" s="541">
        <f t="shared" si="38"/>
        <v>12951</v>
      </c>
      <c r="AS10" s="541">
        <f t="shared" si="38"/>
        <v>14000</v>
      </c>
      <c r="AT10" s="541">
        <f t="shared" si="38"/>
        <v>13920</v>
      </c>
      <c r="AU10" s="541">
        <f t="shared" ref="AU10:AU20" si="39">+AS10-AQ10</f>
        <v>966</v>
      </c>
      <c r="AV10" s="541">
        <f>+AS10/AQ10*100</f>
        <v>107.41138560687433</v>
      </c>
      <c r="AW10" s="541">
        <f t="shared" ref="AW10:AW20" si="40">+AQ10-AM10</f>
        <v>-966</v>
      </c>
      <c r="AX10" s="541">
        <f>+AQ10/AM10*100</f>
        <v>93.100000000000009</v>
      </c>
      <c r="AY10" s="541">
        <f>SUM(AY11:AY15)</f>
        <v>22000</v>
      </c>
      <c r="AZ10" s="541">
        <f>SUM(AZ11:AZ15)</f>
        <v>21090</v>
      </c>
      <c r="BA10" s="541">
        <f t="shared" ref="BA10:BF10" si="41">SUM(BA11:BA15)</f>
        <v>18473</v>
      </c>
      <c r="BB10" s="541">
        <f t="shared" si="41"/>
        <v>17874</v>
      </c>
      <c r="BC10" s="541">
        <f>SUM(BC11:BC15)</f>
        <v>19000</v>
      </c>
      <c r="BD10" s="541">
        <f t="shared" si="41"/>
        <v>18200</v>
      </c>
      <c r="BE10" s="541">
        <f t="shared" si="41"/>
        <v>20500</v>
      </c>
      <c r="BF10" s="541">
        <f t="shared" si="41"/>
        <v>19680</v>
      </c>
      <c r="BG10" s="541">
        <f t="shared" ref="BG10:BG15" si="42">+BE10-BC10</f>
        <v>1500</v>
      </c>
      <c r="BH10" s="541">
        <f>+BE10/BC10*100</f>
        <v>107.89473684210526</v>
      </c>
      <c r="BI10" s="541">
        <f t="shared" ref="BI10:BI15" si="43">+BC10-AY10</f>
        <v>-3000</v>
      </c>
      <c r="BJ10" s="541">
        <f>+BC10/AY10*100</f>
        <v>86.36363636363636</v>
      </c>
      <c r="BK10" s="541">
        <f>SUM(BK11:BK15)</f>
        <v>67000</v>
      </c>
      <c r="BL10" s="541">
        <f>SUM(BL11:BL15)</f>
        <v>66370</v>
      </c>
      <c r="BM10" s="541">
        <f t="shared" ref="BM10:BR10" si="44">SUM(BM11:BM15)</f>
        <v>46586</v>
      </c>
      <c r="BN10" s="541">
        <f t="shared" si="44"/>
        <v>46119</v>
      </c>
      <c r="BO10" s="541">
        <f>SUM(BO11:BO15)</f>
        <v>59280</v>
      </c>
      <c r="BP10" s="541">
        <f t="shared" si="44"/>
        <v>58400</v>
      </c>
      <c r="BQ10" s="541">
        <f t="shared" si="44"/>
        <v>64500</v>
      </c>
      <c r="BR10" s="541">
        <f t="shared" si="44"/>
        <v>63900</v>
      </c>
      <c r="BS10" s="541">
        <f t="shared" ref="BS10:BS20" si="45">+BQ10-BO10</f>
        <v>5220</v>
      </c>
      <c r="BT10" s="541">
        <f>+BQ10/BO10*100</f>
        <v>108.80566801619433</v>
      </c>
      <c r="BU10" s="541">
        <f t="shared" ref="BU10:BU20" si="46">+BO10-BK10</f>
        <v>-7720</v>
      </c>
      <c r="BV10" s="541">
        <f>+BO10/BK10*100</f>
        <v>88.477611940298502</v>
      </c>
      <c r="BW10" s="541">
        <f>SUM(BW11:BW15)</f>
        <v>666000</v>
      </c>
      <c r="BX10" s="541">
        <f>SUM(BX11:BX15)</f>
        <v>586730</v>
      </c>
      <c r="BY10" s="541">
        <f t="shared" ref="BY10:CD10" si="47">SUM(BY11:BY15)</f>
        <v>473757</v>
      </c>
      <c r="BZ10" s="541">
        <f t="shared" si="47"/>
        <v>367786</v>
      </c>
      <c r="CA10" s="541">
        <f>SUM(CA11:CA15)</f>
        <v>607170</v>
      </c>
      <c r="CB10" s="541">
        <f t="shared" si="47"/>
        <v>478000</v>
      </c>
      <c r="CC10" s="541">
        <f t="shared" si="47"/>
        <v>662000</v>
      </c>
      <c r="CD10" s="541">
        <f t="shared" si="47"/>
        <v>519300</v>
      </c>
      <c r="CE10" s="541">
        <f t="shared" ref="CE10:CE20" si="48">+CC10-CA10</f>
        <v>54830</v>
      </c>
      <c r="CF10" s="541">
        <f>+CC10/CA10*100</f>
        <v>109.03041981652586</v>
      </c>
      <c r="CG10" s="541">
        <f t="shared" ref="CG10:CG20" si="49">+CA10-BW10</f>
        <v>-58830</v>
      </c>
      <c r="CH10" s="541">
        <f>+CA10/BW10*100</f>
        <v>91.166666666666657</v>
      </c>
      <c r="CI10" s="541">
        <f>SUM(CI11:CI15)</f>
        <v>54000</v>
      </c>
      <c r="CJ10" s="541">
        <f>SUM(CJ11:CJ15)</f>
        <v>53550</v>
      </c>
      <c r="CK10" s="541">
        <f t="shared" ref="CK10:CP10" si="50">SUM(CK11:CK15)</f>
        <v>34642</v>
      </c>
      <c r="CL10" s="541">
        <f t="shared" si="50"/>
        <v>34432</v>
      </c>
      <c r="CM10" s="541">
        <f>SUM(CM11:CM15)</f>
        <v>49500</v>
      </c>
      <c r="CN10" s="541">
        <f t="shared" si="50"/>
        <v>49220</v>
      </c>
      <c r="CO10" s="541">
        <f t="shared" si="50"/>
        <v>53000</v>
      </c>
      <c r="CP10" s="541">
        <f t="shared" si="50"/>
        <v>52670</v>
      </c>
      <c r="CQ10" s="541">
        <f t="shared" ref="CQ10:CQ15" si="51">+CO10-CM10</f>
        <v>3500</v>
      </c>
      <c r="CR10" s="541">
        <f>+CO10/CM10*100</f>
        <v>107.07070707070707</v>
      </c>
      <c r="CS10" s="541">
        <f t="shared" ref="CS10:CS15" si="52">+CM10-CI10</f>
        <v>-4500</v>
      </c>
      <c r="CT10" s="541">
        <f>+CM10/CI10*100</f>
        <v>91.666666666666657</v>
      </c>
      <c r="CU10" s="541">
        <f>SUM(CU11:CU15)</f>
        <v>62400</v>
      </c>
      <c r="CV10" s="541">
        <f>SUM(CV11:CV15)</f>
        <v>61520</v>
      </c>
      <c r="CW10" s="541">
        <f t="shared" ref="CW10:DB10" si="53">SUM(CW11:CW15)</f>
        <v>36433</v>
      </c>
      <c r="CX10" s="541">
        <f t="shared" si="53"/>
        <v>36180</v>
      </c>
      <c r="CY10" s="541">
        <f>SUM(CY11:CY15)</f>
        <v>41230</v>
      </c>
      <c r="CZ10" s="541">
        <f t="shared" si="53"/>
        <v>40900</v>
      </c>
      <c r="DA10" s="541">
        <f t="shared" si="53"/>
        <v>46500</v>
      </c>
      <c r="DB10" s="541">
        <f t="shared" si="53"/>
        <v>46120</v>
      </c>
      <c r="DC10" s="541">
        <f t="shared" ref="DC10:DC20" si="54">+DA10-CY10</f>
        <v>5270</v>
      </c>
      <c r="DD10" s="541">
        <f>+DA10/CY10*100</f>
        <v>112.78195488721805</v>
      </c>
      <c r="DE10" s="541">
        <f t="shared" ref="DE10:DE20" si="55">+CY10-CU10</f>
        <v>-21170</v>
      </c>
      <c r="DF10" s="541">
        <f>+CY10/CU10*100</f>
        <v>66.073717948717942</v>
      </c>
      <c r="DG10" s="541">
        <f>SUM(DG11:DG15)</f>
        <v>142000</v>
      </c>
      <c r="DH10" s="541">
        <f>SUM(DH11:DH15)</f>
        <v>140300</v>
      </c>
      <c r="DI10" s="541">
        <f t="shared" ref="DI10:DN10" si="56">SUM(DI11:DI15)</f>
        <v>51583</v>
      </c>
      <c r="DJ10" s="541">
        <f t="shared" si="56"/>
        <v>50366</v>
      </c>
      <c r="DK10" s="541">
        <f>SUM(DK11:DK15)</f>
        <v>75820</v>
      </c>
      <c r="DL10" s="541">
        <f t="shared" si="56"/>
        <v>74100</v>
      </c>
      <c r="DM10" s="541">
        <f t="shared" si="56"/>
        <v>82700</v>
      </c>
      <c r="DN10" s="541">
        <f t="shared" si="56"/>
        <v>80900</v>
      </c>
      <c r="DO10" s="541">
        <f t="shared" ref="DO10:DO15" si="57">+DM10-DK10</f>
        <v>6880</v>
      </c>
      <c r="DP10" s="541">
        <f>+DM10/DK10*100</f>
        <v>109.07412292271168</v>
      </c>
      <c r="DQ10" s="541">
        <f t="shared" ref="DQ10:DQ15" si="58">+DK10-DG10</f>
        <v>-66180</v>
      </c>
      <c r="DR10" s="541">
        <f>+DK10/DG10*100</f>
        <v>53.394366197183096</v>
      </c>
      <c r="DS10" s="541">
        <f>SUM(DS11:DS15)</f>
        <v>52700</v>
      </c>
      <c r="DT10" s="541">
        <f>SUM(DT11:DT15)</f>
        <v>51940</v>
      </c>
      <c r="DU10" s="541">
        <f t="shared" ref="DU10:DZ10" si="59">SUM(DU11:DU15)</f>
        <v>25920</v>
      </c>
      <c r="DV10" s="541">
        <f t="shared" si="59"/>
        <v>25557</v>
      </c>
      <c r="DW10" s="541">
        <f>SUM(DW11:DW15)</f>
        <v>35900</v>
      </c>
      <c r="DX10" s="541">
        <f t="shared" si="59"/>
        <v>35255</v>
      </c>
      <c r="DY10" s="541">
        <f t="shared" si="59"/>
        <v>39500</v>
      </c>
      <c r="DZ10" s="541">
        <f t="shared" si="59"/>
        <v>38800</v>
      </c>
      <c r="EA10" s="541">
        <f t="shared" ref="EA10:EA20" si="60">+DY10-DW10</f>
        <v>3600</v>
      </c>
      <c r="EB10" s="541">
        <f>+DY10/DW10*100</f>
        <v>110.02785515320335</v>
      </c>
      <c r="EC10" s="541">
        <f t="shared" ref="EC10:EC20" si="61">+DW10-DS10</f>
        <v>-16800</v>
      </c>
      <c r="ED10" s="541">
        <f>+DW10/DS10*100</f>
        <v>68.121442125237195</v>
      </c>
      <c r="EE10" s="541">
        <f>SUM(EE11:EE15)</f>
        <v>241000</v>
      </c>
      <c r="EF10" s="541">
        <f>SUM(EF11:EF15)</f>
        <v>239240</v>
      </c>
      <c r="EG10" s="541">
        <f t="shared" ref="EG10:EL10" si="62">SUM(EG11:EG15)</f>
        <v>202443</v>
      </c>
      <c r="EH10" s="541">
        <f t="shared" si="62"/>
        <v>201825</v>
      </c>
      <c r="EI10" s="541">
        <f>SUM(EI11:EI15)</f>
        <v>251900</v>
      </c>
      <c r="EJ10" s="541">
        <f t="shared" si="62"/>
        <v>250620</v>
      </c>
      <c r="EK10" s="541">
        <f t="shared" si="62"/>
        <v>260000</v>
      </c>
      <c r="EL10" s="541">
        <f t="shared" si="62"/>
        <v>258620</v>
      </c>
      <c r="EM10" s="541">
        <f t="shared" ref="EM10:EM15" si="63">+EK10-EI10</f>
        <v>8100</v>
      </c>
      <c r="EN10" s="541">
        <f>+EK10/EI10*100</f>
        <v>103.21556173084558</v>
      </c>
      <c r="EO10" s="541">
        <f t="shared" ref="EO10:EO15" si="64">+EI10-EE10</f>
        <v>10900</v>
      </c>
      <c r="EP10" s="541">
        <f>+EI10/EE10*100</f>
        <v>104.52282157676349</v>
      </c>
      <c r="EQ10" s="541">
        <f>SUM(EQ11:EQ15)</f>
        <v>42700</v>
      </c>
      <c r="ER10" s="541">
        <f>SUM(ER11:ER15)</f>
        <v>42320</v>
      </c>
      <c r="ES10" s="541">
        <f t="shared" ref="ES10:EX10" si="65">SUM(ES11:ES15)</f>
        <v>29335</v>
      </c>
      <c r="ET10" s="541">
        <f t="shared" si="65"/>
        <v>29206</v>
      </c>
      <c r="EU10" s="541">
        <f>SUM(EU11:EU15)</f>
        <v>38470</v>
      </c>
      <c r="EV10" s="541">
        <f t="shared" si="65"/>
        <v>38120</v>
      </c>
      <c r="EW10" s="541">
        <f t="shared" si="65"/>
        <v>41300</v>
      </c>
      <c r="EX10" s="541">
        <f t="shared" si="65"/>
        <v>40900</v>
      </c>
      <c r="EY10" s="541">
        <f t="shared" ref="EY10:EY20" si="66">+EW10-EU10</f>
        <v>2830</v>
      </c>
      <c r="EZ10" s="541">
        <f>+EW10/EU10*100</f>
        <v>107.35638159604888</v>
      </c>
      <c r="FA10" s="541">
        <f t="shared" ref="FA10:FA20" si="67">+EU10-EQ10</f>
        <v>-4230</v>
      </c>
      <c r="FB10" s="541">
        <f>+EU10/EQ10*100</f>
        <v>90.093676814988285</v>
      </c>
      <c r="FC10" s="829">
        <f t="shared" si="14"/>
        <v>0.67848085106382983</v>
      </c>
      <c r="FD10" s="829">
        <f t="shared" si="14"/>
        <v>0.63886114754656076</v>
      </c>
      <c r="FE10" s="835">
        <f t="shared" si="15"/>
        <v>-453342</v>
      </c>
      <c r="FF10" s="835">
        <f t="shared" si="15"/>
        <v>-477691</v>
      </c>
    </row>
    <row r="11" spans="1:162" x14ac:dyDescent="0.25">
      <c r="A11" s="217" t="s">
        <v>564</v>
      </c>
      <c r="B11" s="218" t="s">
        <v>411</v>
      </c>
      <c r="C11" s="542">
        <f t="shared" ref="C11:J35" si="68">SUM(O11,AA11,AM11,AY11,BK11,BW11,CI11,CU11,DG11,DS11,EE11,EQ11)</f>
        <v>664230</v>
      </c>
      <c r="D11" s="542">
        <f t="shared" si="68"/>
        <v>664230</v>
      </c>
      <c r="E11" s="542">
        <f t="shared" si="68"/>
        <v>404876</v>
      </c>
      <c r="F11" s="542">
        <f t="shared" si="68"/>
        <v>404876</v>
      </c>
      <c r="G11" s="542">
        <f>SUM(S11,AE11,AQ11,BC11,BO11,CA11,CM11,CY11,DK11,DW11,EI11,EU11)</f>
        <v>552471</v>
      </c>
      <c r="H11" s="542">
        <f t="shared" ref="H11:J35" si="69">SUM(T11,AF11,AR11,BD11,BP11,CB11,CN11,CZ11,DL11,DX11,EJ11,EV11)</f>
        <v>552471</v>
      </c>
      <c r="I11" s="542">
        <f t="shared" si="69"/>
        <v>606070</v>
      </c>
      <c r="J11" s="542">
        <f t="shared" si="69"/>
        <v>606070</v>
      </c>
      <c r="K11" s="542">
        <f t="shared" si="30"/>
        <v>53599</v>
      </c>
      <c r="L11" s="542">
        <f>+I11/G11*100</f>
        <v>109.70168569933986</v>
      </c>
      <c r="M11" s="542">
        <f t="shared" si="31"/>
        <v>-111759</v>
      </c>
      <c r="N11" s="542">
        <f t="shared" si="1"/>
        <v>83.174653358023576</v>
      </c>
      <c r="O11" s="542">
        <v>12480</v>
      </c>
      <c r="P11" s="542">
        <f>O11</f>
        <v>12480</v>
      </c>
      <c r="Q11" s="543">
        <v>5924</v>
      </c>
      <c r="R11" s="542">
        <f>Q11</f>
        <v>5924</v>
      </c>
      <c r="S11" s="542">
        <v>8000</v>
      </c>
      <c r="T11" s="542">
        <f>+S11</f>
        <v>8000</v>
      </c>
      <c r="U11" s="542">
        <v>9300</v>
      </c>
      <c r="V11" s="542">
        <f>U11</f>
        <v>9300</v>
      </c>
      <c r="W11" s="542">
        <f t="shared" si="33"/>
        <v>1300</v>
      </c>
      <c r="X11" s="542">
        <f>+U11/S11*100</f>
        <v>116.25000000000001</v>
      </c>
      <c r="Y11" s="542">
        <f t="shared" si="34"/>
        <v>-4480</v>
      </c>
      <c r="Z11" s="542">
        <f>+S11/O11*100</f>
        <v>64.102564102564102</v>
      </c>
      <c r="AA11" s="542">
        <f>27600</f>
        <v>27600</v>
      </c>
      <c r="AB11" s="542">
        <f>AA11</f>
        <v>27600</v>
      </c>
      <c r="AC11" s="542">
        <v>13544</v>
      </c>
      <c r="AD11" s="542">
        <f>AC11</f>
        <v>13544</v>
      </c>
      <c r="AE11" s="542">
        <v>16100</v>
      </c>
      <c r="AF11" s="542">
        <f>+AE11</f>
        <v>16100</v>
      </c>
      <c r="AG11" s="542">
        <v>18100</v>
      </c>
      <c r="AH11" s="542">
        <f>AG11</f>
        <v>18100</v>
      </c>
      <c r="AI11" s="542">
        <f t="shared" si="36"/>
        <v>2000</v>
      </c>
      <c r="AJ11" s="542">
        <f>+AG11/AE11*100</f>
        <v>112.42236024844721</v>
      </c>
      <c r="AK11" s="542">
        <f t="shared" ref="AK11:AK31" si="70">+AE11-AA11</f>
        <v>-11500</v>
      </c>
      <c r="AL11" s="542">
        <f t="shared" si="37"/>
        <v>58.333333333333336</v>
      </c>
      <c r="AM11" s="542">
        <v>12100</v>
      </c>
      <c r="AN11" s="542">
        <f>AM11</f>
        <v>12100</v>
      </c>
      <c r="AO11" s="542">
        <v>11484</v>
      </c>
      <c r="AP11" s="542">
        <f>AO11</f>
        <v>11484</v>
      </c>
      <c r="AQ11" s="542">
        <v>11741</v>
      </c>
      <c r="AR11" s="542">
        <f>+AQ11</f>
        <v>11741</v>
      </c>
      <c r="AS11" s="542">
        <v>12720</v>
      </c>
      <c r="AT11" s="542">
        <f>AS11</f>
        <v>12720</v>
      </c>
      <c r="AU11" s="542">
        <f t="shared" si="39"/>
        <v>979</v>
      </c>
      <c r="AV11" s="542">
        <f>+AS11/AQ11*100</f>
        <v>108.33830167788092</v>
      </c>
      <c r="AW11" s="542">
        <f t="shared" si="40"/>
        <v>-359</v>
      </c>
      <c r="AX11" s="542">
        <f>+AQ11/AM11*100</f>
        <v>97.033057851239661</v>
      </c>
      <c r="AY11" s="554">
        <v>15780</v>
      </c>
      <c r="AZ11" s="542">
        <f>AY11</f>
        <v>15780</v>
      </c>
      <c r="BA11" s="542">
        <v>11745</v>
      </c>
      <c r="BB11" s="542">
        <f>BA11</f>
        <v>11745</v>
      </c>
      <c r="BC11" s="542">
        <v>14030</v>
      </c>
      <c r="BD11" s="542">
        <f>+BC11</f>
        <v>14030</v>
      </c>
      <c r="BE11" s="554">
        <v>15280</v>
      </c>
      <c r="BF11" s="542">
        <f>BE11</f>
        <v>15280</v>
      </c>
      <c r="BG11" s="542">
        <f t="shared" si="42"/>
        <v>1250</v>
      </c>
      <c r="BH11" s="542">
        <f>+BE11/BC11*100</f>
        <v>108.90947968638631</v>
      </c>
      <c r="BI11" s="542">
        <f t="shared" si="43"/>
        <v>-1750</v>
      </c>
      <c r="BJ11" s="542">
        <f>+BC11/AY11*100</f>
        <v>88.910012674271229</v>
      </c>
      <c r="BK11" s="542">
        <v>22070</v>
      </c>
      <c r="BL11" s="542">
        <f>BK11</f>
        <v>22070</v>
      </c>
      <c r="BM11" s="542">
        <v>10996</v>
      </c>
      <c r="BN11" s="542">
        <f>BM11</f>
        <v>10996</v>
      </c>
      <c r="BO11" s="542">
        <v>15000</v>
      </c>
      <c r="BP11" s="542">
        <f>+BO11</f>
        <v>15000</v>
      </c>
      <c r="BQ11" s="542">
        <v>16700</v>
      </c>
      <c r="BR11" s="542">
        <f>BQ11</f>
        <v>16700</v>
      </c>
      <c r="BS11" s="542">
        <f t="shared" si="45"/>
        <v>1700</v>
      </c>
      <c r="BT11" s="542">
        <f>+BQ11/BO11*100</f>
        <v>111.33333333333333</v>
      </c>
      <c r="BU11" s="542">
        <f t="shared" si="46"/>
        <v>-7070</v>
      </c>
      <c r="BV11" s="542">
        <f>+BO11/BK11*100</f>
        <v>67.965564114182158</v>
      </c>
      <c r="BW11" s="542">
        <v>263830</v>
      </c>
      <c r="BX11" s="542">
        <f>BW11</f>
        <v>263830</v>
      </c>
      <c r="BY11" s="542">
        <v>142191</v>
      </c>
      <c r="BZ11" s="542">
        <f>BY11</f>
        <v>142191</v>
      </c>
      <c r="CA11" s="542">
        <v>213000</v>
      </c>
      <c r="CB11" s="542">
        <f>+CA11</f>
        <v>213000</v>
      </c>
      <c r="CC11" s="542">
        <v>234600</v>
      </c>
      <c r="CD11" s="542">
        <f>CC11</f>
        <v>234600</v>
      </c>
      <c r="CE11" s="542">
        <f t="shared" si="48"/>
        <v>21600</v>
      </c>
      <c r="CF11" s="542">
        <f>+CC11/CA11*100</f>
        <v>110.14084507042254</v>
      </c>
      <c r="CG11" s="542">
        <f t="shared" si="49"/>
        <v>-50830</v>
      </c>
      <c r="CH11" s="542">
        <f>+CA11/BW11*100</f>
        <v>80.733805859833979</v>
      </c>
      <c r="CI11" s="542">
        <v>42320</v>
      </c>
      <c r="CJ11" s="542">
        <f>CI11</f>
        <v>42320</v>
      </c>
      <c r="CK11" s="542">
        <v>25720</v>
      </c>
      <c r="CL11" s="542">
        <f>CK11</f>
        <v>25720</v>
      </c>
      <c r="CM11" s="542">
        <v>37930</v>
      </c>
      <c r="CN11" s="542">
        <f>+CM11</f>
        <v>37930</v>
      </c>
      <c r="CO11" s="542">
        <v>40600</v>
      </c>
      <c r="CP11" s="542">
        <f>CO11</f>
        <v>40600</v>
      </c>
      <c r="CQ11" s="542">
        <f t="shared" si="51"/>
        <v>2670</v>
      </c>
      <c r="CR11" s="542">
        <f>+CO11/CM11*100</f>
        <v>107.03928288953335</v>
      </c>
      <c r="CS11" s="542">
        <f t="shared" si="52"/>
        <v>-4390</v>
      </c>
      <c r="CT11" s="542">
        <f>+CM11/CI11*100</f>
        <v>89.626654064272216</v>
      </c>
      <c r="CU11" s="542">
        <v>53550</v>
      </c>
      <c r="CV11" s="542">
        <f>CU11</f>
        <v>53550</v>
      </c>
      <c r="CW11" s="542">
        <v>33106</v>
      </c>
      <c r="CX11" s="542">
        <f>CW11</f>
        <v>33106</v>
      </c>
      <c r="CY11" s="542">
        <v>36100</v>
      </c>
      <c r="CZ11" s="542">
        <f>+CY11</f>
        <v>36100</v>
      </c>
      <c r="DA11" s="542">
        <v>39670</v>
      </c>
      <c r="DB11" s="542">
        <f>DA11</f>
        <v>39670</v>
      </c>
      <c r="DC11" s="542">
        <f t="shared" si="54"/>
        <v>3570</v>
      </c>
      <c r="DD11" s="542">
        <f>+DA11/CY11*100</f>
        <v>109.88919667590027</v>
      </c>
      <c r="DE11" s="542">
        <f t="shared" si="55"/>
        <v>-17450</v>
      </c>
      <c r="DF11" s="542">
        <f>+CY11/CU11*100</f>
        <v>67.413632119514475</v>
      </c>
      <c r="DG11" s="542">
        <v>44200</v>
      </c>
      <c r="DH11" s="542">
        <f>DG11</f>
        <v>44200</v>
      </c>
      <c r="DI11" s="542">
        <v>15508</v>
      </c>
      <c r="DJ11" s="542">
        <f>DI11</f>
        <v>15508</v>
      </c>
      <c r="DK11" s="542">
        <v>29000</v>
      </c>
      <c r="DL11" s="542">
        <f>+DK11</f>
        <v>29000</v>
      </c>
      <c r="DM11" s="542">
        <v>32400</v>
      </c>
      <c r="DN11" s="542">
        <f>DM11</f>
        <v>32400</v>
      </c>
      <c r="DO11" s="542">
        <f t="shared" si="57"/>
        <v>3400</v>
      </c>
      <c r="DP11" s="542">
        <f>+DM11/DK11*100</f>
        <v>111.72413793103448</v>
      </c>
      <c r="DQ11" s="542">
        <f t="shared" si="58"/>
        <v>-15200</v>
      </c>
      <c r="DR11" s="542">
        <f>+DK11/DG11*100</f>
        <v>65.610859728506782</v>
      </c>
      <c r="DS11" s="542">
        <v>21310</v>
      </c>
      <c r="DT11" s="542">
        <f>DS11</f>
        <v>21310</v>
      </c>
      <c r="DU11" s="542">
        <v>14627</v>
      </c>
      <c r="DV11" s="542">
        <f>DU11</f>
        <v>14627</v>
      </c>
      <c r="DW11" s="542">
        <v>19900</v>
      </c>
      <c r="DX11" s="542">
        <f>+DW11</f>
        <v>19900</v>
      </c>
      <c r="DY11" s="542">
        <v>21880</v>
      </c>
      <c r="DZ11" s="542">
        <f>DY11</f>
        <v>21880</v>
      </c>
      <c r="EA11" s="542">
        <f t="shared" si="60"/>
        <v>1980</v>
      </c>
      <c r="EB11" s="542">
        <f>+DY11/DW11*100</f>
        <v>109.94974874371859</v>
      </c>
      <c r="EC11" s="542">
        <f t="shared" si="61"/>
        <v>-1410</v>
      </c>
      <c r="ED11" s="542">
        <f>+DW11/DS11*100</f>
        <v>93.383388080713274</v>
      </c>
      <c r="EE11" s="542">
        <v>114200</v>
      </c>
      <c r="EF11" s="542">
        <f>EE11</f>
        <v>114200</v>
      </c>
      <c r="EG11" s="542">
        <v>94132</v>
      </c>
      <c r="EH11" s="542">
        <f>EG11</f>
        <v>94132</v>
      </c>
      <c r="EI11" s="542">
        <v>119170</v>
      </c>
      <c r="EJ11" s="542">
        <f>+EI11</f>
        <v>119170</v>
      </c>
      <c r="EK11" s="542">
        <v>129620</v>
      </c>
      <c r="EL11" s="542">
        <f>EK11</f>
        <v>129620</v>
      </c>
      <c r="EM11" s="542">
        <f t="shared" si="63"/>
        <v>10450</v>
      </c>
      <c r="EN11" s="542">
        <f>+EK11/EI11*100</f>
        <v>108.76898548292355</v>
      </c>
      <c r="EO11" s="542">
        <f t="shared" si="64"/>
        <v>4970</v>
      </c>
      <c r="EP11" s="542">
        <f>+EI11/EE11*100</f>
        <v>104.35201401050789</v>
      </c>
      <c r="EQ11" s="542">
        <v>34790</v>
      </c>
      <c r="ER11" s="542">
        <f>EQ11</f>
        <v>34790</v>
      </c>
      <c r="ES11" s="542">
        <v>25899</v>
      </c>
      <c r="ET11" s="542">
        <f>ES11</f>
        <v>25899</v>
      </c>
      <c r="EU11" s="542">
        <v>32500</v>
      </c>
      <c r="EV11" s="542">
        <f>+EU11</f>
        <v>32500</v>
      </c>
      <c r="EW11" s="542">
        <v>35200</v>
      </c>
      <c r="EX11" s="542">
        <f>EW11</f>
        <v>35200</v>
      </c>
      <c r="EY11" s="542">
        <f t="shared" si="66"/>
        <v>2700</v>
      </c>
      <c r="EZ11" s="542">
        <f>+EW11/EU11*100</f>
        <v>108.30769230769231</v>
      </c>
      <c r="FA11" s="542">
        <f t="shared" si="67"/>
        <v>-2290</v>
      </c>
      <c r="FB11" s="542">
        <f>+EU11/EQ11*100</f>
        <v>93.417648749640705</v>
      </c>
      <c r="FC11" s="830"/>
      <c r="FD11" s="830"/>
      <c r="FE11" s="836"/>
      <c r="FF11" s="836"/>
    </row>
    <row r="12" spans="1:162" x14ac:dyDescent="0.25">
      <c r="A12" s="217" t="s">
        <v>564</v>
      </c>
      <c r="B12" s="218" t="s">
        <v>412</v>
      </c>
      <c r="C12" s="542">
        <f t="shared" si="68"/>
        <v>658505</v>
      </c>
      <c r="D12" s="542">
        <f t="shared" si="68"/>
        <v>658505</v>
      </c>
      <c r="E12" s="542">
        <f t="shared" si="68"/>
        <v>440168</v>
      </c>
      <c r="F12" s="542">
        <f t="shared" si="68"/>
        <v>440168</v>
      </c>
      <c r="G12" s="542">
        <f t="shared" si="68"/>
        <v>530355</v>
      </c>
      <c r="H12" s="542">
        <f t="shared" si="69"/>
        <v>530355</v>
      </c>
      <c r="I12" s="542">
        <f t="shared" si="69"/>
        <v>559240</v>
      </c>
      <c r="J12" s="542">
        <f t="shared" si="69"/>
        <v>559240</v>
      </c>
      <c r="K12" s="542">
        <f>+I12-G12</f>
        <v>28885</v>
      </c>
      <c r="L12" s="542">
        <f>+I12/G12*100</f>
        <v>105.44635197179248</v>
      </c>
      <c r="M12" s="542">
        <f t="shared" si="31"/>
        <v>-128150</v>
      </c>
      <c r="N12" s="542">
        <f t="shared" si="1"/>
        <v>80.539251790039557</v>
      </c>
      <c r="O12" s="542">
        <v>1450</v>
      </c>
      <c r="P12" s="542">
        <f>O12</f>
        <v>1450</v>
      </c>
      <c r="Q12" s="544">
        <v>1631</v>
      </c>
      <c r="R12" s="542">
        <f>Q12</f>
        <v>1631</v>
      </c>
      <c r="S12" s="542">
        <v>1650</v>
      </c>
      <c r="T12" s="542">
        <f>+S12</f>
        <v>1650</v>
      </c>
      <c r="U12" s="542">
        <v>1100</v>
      </c>
      <c r="V12" s="542">
        <f>U12</f>
        <v>1100</v>
      </c>
      <c r="W12" s="542">
        <f t="shared" si="33"/>
        <v>-550</v>
      </c>
      <c r="X12" s="542">
        <f>+U12/S12*100</f>
        <v>66.666666666666657</v>
      </c>
      <c r="Y12" s="542">
        <f t="shared" si="34"/>
        <v>200</v>
      </c>
      <c r="Z12" s="542">
        <f>+S12/O12*100</f>
        <v>113.79310344827587</v>
      </c>
      <c r="AA12" s="542">
        <v>4200</v>
      </c>
      <c r="AB12" s="542">
        <f>AA12</f>
        <v>4200</v>
      </c>
      <c r="AC12" s="542">
        <v>2129</v>
      </c>
      <c r="AD12" s="542">
        <f>AC12</f>
        <v>2129</v>
      </c>
      <c r="AE12" s="542">
        <v>2295</v>
      </c>
      <c r="AF12" s="542">
        <f>+AE12</f>
        <v>2295</v>
      </c>
      <c r="AG12" s="542">
        <v>2000</v>
      </c>
      <c r="AH12" s="542">
        <f>AG12</f>
        <v>2000</v>
      </c>
      <c r="AI12" s="542">
        <f t="shared" si="36"/>
        <v>-295</v>
      </c>
      <c r="AJ12" s="542">
        <f>+AG12/AE12*100</f>
        <v>87.145969498910674</v>
      </c>
      <c r="AK12" s="542">
        <f t="shared" si="70"/>
        <v>-1905</v>
      </c>
      <c r="AL12" s="542">
        <f t="shared" si="37"/>
        <v>54.642857142857139</v>
      </c>
      <c r="AM12" s="542">
        <v>1845</v>
      </c>
      <c r="AN12" s="542">
        <f>AM12</f>
        <v>1845</v>
      </c>
      <c r="AO12" s="542">
        <v>987</v>
      </c>
      <c r="AP12" s="542">
        <f>AO12</f>
        <v>987</v>
      </c>
      <c r="AQ12" s="542">
        <v>1210</v>
      </c>
      <c r="AR12" s="542">
        <f>+AQ12</f>
        <v>1210</v>
      </c>
      <c r="AS12" s="542">
        <v>1200</v>
      </c>
      <c r="AT12" s="542">
        <f>AS12</f>
        <v>1200</v>
      </c>
      <c r="AU12" s="542">
        <f t="shared" si="39"/>
        <v>-10</v>
      </c>
      <c r="AV12" s="542">
        <f>+AS12/AQ12*100</f>
        <v>99.173553719008268</v>
      </c>
      <c r="AW12" s="542">
        <f t="shared" si="40"/>
        <v>-635</v>
      </c>
      <c r="AX12" s="542">
        <f>+AQ12/AM12*100</f>
        <v>65.582655826558266</v>
      </c>
      <c r="AY12" s="555">
        <v>5310</v>
      </c>
      <c r="AZ12" s="542">
        <f>AY12</f>
        <v>5310</v>
      </c>
      <c r="BA12" s="542">
        <v>6129</v>
      </c>
      <c r="BB12" s="542">
        <f>BA12</f>
        <v>6129</v>
      </c>
      <c r="BC12" s="542">
        <v>4160</v>
      </c>
      <c r="BD12" s="542">
        <f>+BC12</f>
        <v>4160</v>
      </c>
      <c r="BE12" s="555">
        <v>4400</v>
      </c>
      <c r="BF12" s="542">
        <f>BE12</f>
        <v>4400</v>
      </c>
      <c r="BG12" s="542">
        <f t="shared" si="42"/>
        <v>240</v>
      </c>
      <c r="BH12" s="542">
        <f>+BE12/BC12*100</f>
        <v>105.76923076923077</v>
      </c>
      <c r="BI12" s="542">
        <f t="shared" si="43"/>
        <v>-1150</v>
      </c>
      <c r="BJ12" s="542">
        <f>+BC12/AY12*100</f>
        <v>78.342749529190201</v>
      </c>
      <c r="BK12" s="542">
        <v>44300</v>
      </c>
      <c r="BL12" s="542">
        <f>BK12</f>
        <v>44300</v>
      </c>
      <c r="BM12" s="542">
        <v>35123</v>
      </c>
      <c r="BN12" s="542">
        <f>BM12</f>
        <v>35123</v>
      </c>
      <c r="BO12" s="542">
        <v>43000</v>
      </c>
      <c r="BP12" s="542">
        <f>+BO12</f>
        <v>43000</v>
      </c>
      <c r="BQ12" s="542">
        <v>47200</v>
      </c>
      <c r="BR12" s="542">
        <f>BQ12</f>
        <v>47200</v>
      </c>
      <c r="BS12" s="542">
        <f t="shared" si="45"/>
        <v>4200</v>
      </c>
      <c r="BT12" s="542">
        <f>+BQ12/BO12*100</f>
        <v>109.76744186046513</v>
      </c>
      <c r="BU12" s="542">
        <f t="shared" si="46"/>
        <v>-1300</v>
      </c>
      <c r="BV12" s="542">
        <f>+BO12/BK12*100</f>
        <v>97.065462753950342</v>
      </c>
      <c r="BW12" s="542">
        <v>322900</v>
      </c>
      <c r="BX12" s="542">
        <f>BW12</f>
        <v>322900</v>
      </c>
      <c r="BY12" s="542">
        <v>225595</v>
      </c>
      <c r="BZ12" s="542">
        <f>BY12</f>
        <v>225595</v>
      </c>
      <c r="CA12" s="542">
        <v>265000</v>
      </c>
      <c r="CB12" s="542">
        <f>+CA12</f>
        <v>265000</v>
      </c>
      <c r="CC12" s="542">
        <v>284700</v>
      </c>
      <c r="CD12" s="542">
        <f>CC12</f>
        <v>284700</v>
      </c>
      <c r="CE12" s="542">
        <f t="shared" si="48"/>
        <v>19700</v>
      </c>
      <c r="CF12" s="542">
        <f>+CC12/CA12*100</f>
        <v>107.43396226415094</v>
      </c>
      <c r="CG12" s="542">
        <f t="shared" si="49"/>
        <v>-57900</v>
      </c>
      <c r="CH12" s="542">
        <f>+CA12/BW12*100</f>
        <v>82.068751935583776</v>
      </c>
      <c r="CI12" s="542">
        <v>11230</v>
      </c>
      <c r="CJ12" s="542">
        <f>CI12</f>
        <v>11230</v>
      </c>
      <c r="CK12" s="542">
        <v>8712</v>
      </c>
      <c r="CL12" s="542">
        <f>CK12</f>
        <v>8712</v>
      </c>
      <c r="CM12" s="542">
        <v>11290</v>
      </c>
      <c r="CN12" s="542">
        <f>+CM12</f>
        <v>11290</v>
      </c>
      <c r="CO12" s="542">
        <v>12070</v>
      </c>
      <c r="CP12" s="542">
        <f>CO12</f>
        <v>12070</v>
      </c>
      <c r="CQ12" s="542">
        <f t="shared" si="51"/>
        <v>780</v>
      </c>
      <c r="CR12" s="542">
        <f>+CO12/CM12*100</f>
        <v>106.90876882196633</v>
      </c>
      <c r="CS12" s="542">
        <f t="shared" si="52"/>
        <v>60</v>
      </c>
      <c r="CT12" s="542">
        <f>+CM12/CI12*100</f>
        <v>100.53428317008016</v>
      </c>
      <c r="CU12" s="542">
        <v>7970</v>
      </c>
      <c r="CV12" s="542">
        <f>CU12</f>
        <v>7970</v>
      </c>
      <c r="CW12" s="542">
        <v>3074</v>
      </c>
      <c r="CX12" s="542">
        <f>CW12</f>
        <v>3074</v>
      </c>
      <c r="CY12" s="542">
        <v>4800</v>
      </c>
      <c r="CZ12" s="542">
        <f>+CY12</f>
        <v>4800</v>
      </c>
      <c r="DA12" s="542">
        <v>6450</v>
      </c>
      <c r="DB12" s="542">
        <f>DA12</f>
        <v>6450</v>
      </c>
      <c r="DC12" s="542">
        <f t="shared" si="54"/>
        <v>1650</v>
      </c>
      <c r="DD12" s="542">
        <f>+DA12/CY12*100</f>
        <v>134.375</v>
      </c>
      <c r="DE12" s="542">
        <f t="shared" si="55"/>
        <v>-3170</v>
      </c>
      <c r="DF12" s="542">
        <f>+CY12/CU12*100</f>
        <v>60.225846925972391</v>
      </c>
      <c r="DG12" s="542">
        <v>96100</v>
      </c>
      <c r="DH12" s="542">
        <f>DG12</f>
        <v>96100</v>
      </c>
      <c r="DI12" s="542">
        <v>34858</v>
      </c>
      <c r="DJ12" s="542">
        <f>DI12</f>
        <v>34858</v>
      </c>
      <c r="DK12" s="542">
        <v>45000</v>
      </c>
      <c r="DL12" s="542">
        <f>+DK12</f>
        <v>45000</v>
      </c>
      <c r="DM12" s="542">
        <v>48500</v>
      </c>
      <c r="DN12" s="542">
        <f>DM12</f>
        <v>48500</v>
      </c>
      <c r="DO12" s="542">
        <f t="shared" si="57"/>
        <v>3500</v>
      </c>
      <c r="DP12" s="542">
        <f>+DM12/DK12*100</f>
        <v>107.77777777777777</v>
      </c>
      <c r="DQ12" s="542">
        <f t="shared" si="58"/>
        <v>-51100</v>
      </c>
      <c r="DR12" s="542">
        <f>+DK12/DG12*100</f>
        <v>46.826222684703431</v>
      </c>
      <c r="DS12" s="542">
        <v>30630</v>
      </c>
      <c r="DT12" s="542">
        <f>DS12</f>
        <v>30630</v>
      </c>
      <c r="DU12" s="542">
        <v>10930</v>
      </c>
      <c r="DV12" s="542">
        <f>DU12</f>
        <v>10930</v>
      </c>
      <c r="DW12" s="542">
        <v>15350</v>
      </c>
      <c r="DX12" s="542">
        <f>+DW12</f>
        <v>15350</v>
      </c>
      <c r="DY12" s="542">
        <v>16920</v>
      </c>
      <c r="DZ12" s="542">
        <f>DY12</f>
        <v>16920</v>
      </c>
      <c r="EA12" s="542">
        <f t="shared" si="60"/>
        <v>1570</v>
      </c>
      <c r="EB12" s="542">
        <f>+DY12/DW12*100</f>
        <v>110.22801302931595</v>
      </c>
      <c r="EC12" s="542">
        <f t="shared" si="61"/>
        <v>-15280</v>
      </c>
      <c r="ED12" s="542">
        <f>+DW12/DS12*100</f>
        <v>50.114267058439445</v>
      </c>
      <c r="EE12" s="542">
        <v>125040</v>
      </c>
      <c r="EF12" s="542">
        <f>EE12</f>
        <v>125040</v>
      </c>
      <c r="EG12" s="542">
        <v>107693</v>
      </c>
      <c r="EH12" s="542">
        <f>EG12</f>
        <v>107693</v>
      </c>
      <c r="EI12" s="542">
        <v>131000</v>
      </c>
      <c r="EJ12" s="542">
        <f>+EI12</f>
        <v>131000</v>
      </c>
      <c r="EK12" s="542">
        <v>129000</v>
      </c>
      <c r="EL12" s="542">
        <f>EK12</f>
        <v>129000</v>
      </c>
      <c r="EM12" s="542">
        <f t="shared" si="63"/>
        <v>-2000</v>
      </c>
      <c r="EN12" s="542">
        <f>+EK12/EI12*100</f>
        <v>98.473282442748086</v>
      </c>
      <c r="EO12" s="542">
        <f t="shared" si="64"/>
        <v>5960</v>
      </c>
      <c r="EP12" s="542">
        <f>+EI12/EE12*100</f>
        <v>104.76647472808702</v>
      </c>
      <c r="EQ12" s="542">
        <v>7530</v>
      </c>
      <c r="ER12" s="542">
        <f>EQ12</f>
        <v>7530</v>
      </c>
      <c r="ES12" s="545">
        <v>3307</v>
      </c>
      <c r="ET12" s="545">
        <f>ES12</f>
        <v>3307</v>
      </c>
      <c r="EU12" s="542">
        <v>5600</v>
      </c>
      <c r="EV12" s="545">
        <f>+EU12</f>
        <v>5600</v>
      </c>
      <c r="EW12" s="542">
        <v>5700</v>
      </c>
      <c r="EX12" s="542">
        <f>EW12</f>
        <v>5700</v>
      </c>
      <c r="EY12" s="542">
        <f t="shared" si="66"/>
        <v>100</v>
      </c>
      <c r="EZ12" s="542">
        <f>+EW12/EU12*100</f>
        <v>101.78571428571428</v>
      </c>
      <c r="FA12" s="542">
        <f t="shared" si="67"/>
        <v>-1930</v>
      </c>
      <c r="FB12" s="542">
        <f>+EU12/EQ12*100</f>
        <v>74.369189907038518</v>
      </c>
      <c r="FC12" s="830"/>
      <c r="FD12" s="830"/>
      <c r="FE12" s="836"/>
      <c r="FF12" s="836"/>
    </row>
    <row r="13" spans="1:162" x14ac:dyDescent="0.25">
      <c r="A13" s="217" t="s">
        <v>564</v>
      </c>
      <c r="B13" s="218" t="s">
        <v>413</v>
      </c>
      <c r="C13" s="542">
        <f t="shared" si="68"/>
        <v>68840</v>
      </c>
      <c r="D13" s="542">
        <f t="shared" si="68"/>
        <v>0</v>
      </c>
      <c r="E13" s="542">
        <f t="shared" si="68"/>
        <v>97159</v>
      </c>
      <c r="F13" s="542">
        <f t="shared" si="68"/>
        <v>0</v>
      </c>
      <c r="G13" s="542">
        <f t="shared" si="68"/>
        <v>118240</v>
      </c>
      <c r="H13" s="542">
        <f t="shared" si="69"/>
        <v>0</v>
      </c>
      <c r="I13" s="542">
        <f t="shared" si="69"/>
        <v>130750</v>
      </c>
      <c r="J13" s="542">
        <f t="shared" si="69"/>
        <v>0</v>
      </c>
      <c r="K13" s="542">
        <f t="shared" si="30"/>
        <v>12510</v>
      </c>
      <c r="L13" s="542">
        <f>+I13/G13*100</f>
        <v>110.58017591339649</v>
      </c>
      <c r="M13" s="542">
        <f t="shared" si="31"/>
        <v>49400</v>
      </c>
      <c r="N13" s="542">
        <f>+G13/C13*100</f>
        <v>171.7606042998257</v>
      </c>
      <c r="O13" s="542">
        <v>0</v>
      </c>
      <c r="P13" s="542">
        <v>0</v>
      </c>
      <c r="Q13" s="544">
        <v>0</v>
      </c>
      <c r="R13" s="542">
        <v>0</v>
      </c>
      <c r="S13" s="542">
        <f>Q13/8*12</f>
        <v>0</v>
      </c>
      <c r="T13" s="542">
        <v>0</v>
      </c>
      <c r="U13" s="542">
        <v>0</v>
      </c>
      <c r="V13" s="542">
        <v>0</v>
      </c>
      <c r="W13" s="542">
        <f t="shared" si="33"/>
        <v>0</v>
      </c>
      <c r="X13" s="542"/>
      <c r="Y13" s="542">
        <f t="shared" si="34"/>
        <v>0</v>
      </c>
      <c r="Z13" s="542"/>
      <c r="AA13" s="542">
        <v>400</v>
      </c>
      <c r="AB13" s="542">
        <v>0</v>
      </c>
      <c r="AC13" s="542">
        <v>118</v>
      </c>
      <c r="AD13" s="542">
        <v>0</v>
      </c>
      <c r="AE13" s="542">
        <v>280</v>
      </c>
      <c r="AF13" s="542">
        <v>0</v>
      </c>
      <c r="AG13" s="542">
        <v>400</v>
      </c>
      <c r="AH13" s="542">
        <v>0</v>
      </c>
      <c r="AI13" s="542">
        <f>+AG13-AE13</f>
        <v>120</v>
      </c>
      <c r="AJ13" s="542"/>
      <c r="AK13" s="542">
        <f>+AE13-AA13</f>
        <v>-120</v>
      </c>
      <c r="AL13" s="542"/>
      <c r="AM13" s="542">
        <v>40</v>
      </c>
      <c r="AN13" s="542">
        <v>0</v>
      </c>
      <c r="AO13" s="542">
        <v>27</v>
      </c>
      <c r="AP13" s="542">
        <v>0</v>
      </c>
      <c r="AQ13" s="542">
        <v>30</v>
      </c>
      <c r="AR13" s="542">
        <v>0</v>
      </c>
      <c r="AS13" s="542">
        <v>30</v>
      </c>
      <c r="AT13" s="542">
        <v>0</v>
      </c>
      <c r="AU13" s="542">
        <f t="shared" si="39"/>
        <v>0</v>
      </c>
      <c r="AV13" s="542"/>
      <c r="AW13" s="542">
        <f t="shared" si="40"/>
        <v>-10</v>
      </c>
      <c r="AX13" s="542"/>
      <c r="AY13" s="555">
        <v>300</v>
      </c>
      <c r="AZ13" s="542">
        <v>0</v>
      </c>
      <c r="BA13" s="542">
        <v>188</v>
      </c>
      <c r="BB13" s="542">
        <v>0</v>
      </c>
      <c r="BC13" s="542">
        <v>240</v>
      </c>
      <c r="BD13" s="542">
        <v>0</v>
      </c>
      <c r="BE13" s="555">
        <v>250</v>
      </c>
      <c r="BF13" s="542">
        <v>0</v>
      </c>
      <c r="BG13" s="542">
        <f t="shared" si="42"/>
        <v>10</v>
      </c>
      <c r="BH13" s="542"/>
      <c r="BI13" s="542">
        <f t="shared" si="43"/>
        <v>-60</v>
      </c>
      <c r="BJ13" s="542"/>
      <c r="BK13" s="542">
        <v>180</v>
      </c>
      <c r="BL13" s="542">
        <v>0</v>
      </c>
      <c r="BM13" s="542">
        <v>91</v>
      </c>
      <c r="BN13" s="542">
        <v>0</v>
      </c>
      <c r="BO13" s="542">
        <v>130</v>
      </c>
      <c r="BP13" s="542">
        <v>0</v>
      </c>
      <c r="BQ13" s="542">
        <v>140</v>
      </c>
      <c r="BR13" s="542">
        <v>0</v>
      </c>
      <c r="BS13" s="542">
        <f t="shared" si="45"/>
        <v>10</v>
      </c>
      <c r="BT13" s="542"/>
      <c r="BU13" s="542">
        <f t="shared" si="46"/>
        <v>-50</v>
      </c>
      <c r="BV13" s="542"/>
      <c r="BW13" s="542">
        <v>65500</v>
      </c>
      <c r="BX13" s="542">
        <v>0</v>
      </c>
      <c r="BY13" s="542">
        <v>95997</v>
      </c>
      <c r="BZ13" s="542">
        <v>0</v>
      </c>
      <c r="CA13" s="542">
        <v>116000</v>
      </c>
      <c r="CB13" s="542">
        <v>0</v>
      </c>
      <c r="CC13" s="542">
        <v>128220</v>
      </c>
      <c r="CD13" s="542">
        <v>0</v>
      </c>
      <c r="CE13" s="542">
        <f t="shared" si="48"/>
        <v>12220</v>
      </c>
      <c r="CF13" s="542"/>
      <c r="CG13" s="542">
        <f t="shared" si="49"/>
        <v>50500</v>
      </c>
      <c r="CH13" s="542"/>
      <c r="CI13" s="542">
        <v>80</v>
      </c>
      <c r="CJ13" s="542">
        <v>0</v>
      </c>
      <c r="CK13" s="542">
        <v>38</v>
      </c>
      <c r="CL13" s="542">
        <v>0</v>
      </c>
      <c r="CM13" s="542">
        <v>70</v>
      </c>
      <c r="CN13" s="542">
        <v>0</v>
      </c>
      <c r="CO13" s="542">
        <v>100</v>
      </c>
      <c r="CP13" s="542">
        <v>0</v>
      </c>
      <c r="CQ13" s="542">
        <f t="shared" si="51"/>
        <v>30</v>
      </c>
      <c r="CR13" s="542"/>
      <c r="CS13" s="542">
        <f t="shared" si="52"/>
        <v>-10</v>
      </c>
      <c r="CT13" s="542"/>
      <c r="CU13" s="542">
        <v>500</v>
      </c>
      <c r="CV13" s="542">
        <v>0</v>
      </c>
      <c r="CW13" s="542">
        <v>88</v>
      </c>
      <c r="CX13" s="542">
        <v>0</v>
      </c>
      <c r="CY13" s="542">
        <v>110</v>
      </c>
      <c r="CZ13" s="542">
        <v>0</v>
      </c>
      <c r="DA13" s="542">
        <v>150</v>
      </c>
      <c r="DB13" s="542">
        <v>0</v>
      </c>
      <c r="DC13" s="542">
        <f t="shared" si="54"/>
        <v>40</v>
      </c>
      <c r="DD13" s="542"/>
      <c r="DE13" s="542">
        <f t="shared" si="55"/>
        <v>-390</v>
      </c>
      <c r="DF13" s="542"/>
      <c r="DG13" s="542">
        <v>200</v>
      </c>
      <c r="DH13" s="542">
        <v>0</v>
      </c>
      <c r="DI13" s="542">
        <v>71</v>
      </c>
      <c r="DJ13" s="542">
        <v>0</v>
      </c>
      <c r="DK13" s="542">
        <v>160</v>
      </c>
      <c r="DL13" s="542">
        <v>0</v>
      </c>
      <c r="DM13" s="542">
        <v>170</v>
      </c>
      <c r="DN13" s="542">
        <v>0</v>
      </c>
      <c r="DO13" s="542">
        <f t="shared" si="57"/>
        <v>10</v>
      </c>
      <c r="DP13" s="542"/>
      <c r="DQ13" s="542">
        <f t="shared" si="58"/>
        <v>-40</v>
      </c>
      <c r="DR13" s="542"/>
      <c r="DS13" s="542">
        <v>370</v>
      </c>
      <c r="DT13" s="542">
        <v>0</v>
      </c>
      <c r="DU13" s="542">
        <v>159</v>
      </c>
      <c r="DV13" s="542">
        <v>0</v>
      </c>
      <c r="DW13" s="542">
        <v>320</v>
      </c>
      <c r="DX13" s="542">
        <v>0</v>
      </c>
      <c r="DY13" s="542">
        <v>340</v>
      </c>
      <c r="DZ13" s="542">
        <v>0</v>
      </c>
      <c r="EA13" s="542">
        <f t="shared" si="60"/>
        <v>20</v>
      </c>
      <c r="EB13" s="542"/>
      <c r="EC13" s="542">
        <f t="shared" si="61"/>
        <v>-50</v>
      </c>
      <c r="ED13" s="542"/>
      <c r="EE13" s="542">
        <v>1140</v>
      </c>
      <c r="EF13" s="542">
        <v>0</v>
      </c>
      <c r="EG13" s="542">
        <v>331</v>
      </c>
      <c r="EH13" s="542">
        <v>0</v>
      </c>
      <c r="EI13" s="542">
        <v>800</v>
      </c>
      <c r="EJ13" s="542">
        <v>0</v>
      </c>
      <c r="EK13" s="542">
        <v>850</v>
      </c>
      <c r="EL13" s="542">
        <v>0</v>
      </c>
      <c r="EM13" s="542">
        <f t="shared" si="63"/>
        <v>50</v>
      </c>
      <c r="EN13" s="542"/>
      <c r="EO13" s="542">
        <f t="shared" si="64"/>
        <v>-340</v>
      </c>
      <c r="EP13" s="542"/>
      <c r="EQ13" s="542">
        <v>130</v>
      </c>
      <c r="ER13" s="542">
        <v>0</v>
      </c>
      <c r="ES13" s="542">
        <v>51</v>
      </c>
      <c r="ET13" s="542">
        <v>0</v>
      </c>
      <c r="EU13" s="542">
        <v>100</v>
      </c>
      <c r="EV13" s="542">
        <v>0</v>
      </c>
      <c r="EW13" s="542">
        <v>100</v>
      </c>
      <c r="EX13" s="542">
        <v>0</v>
      </c>
      <c r="EY13" s="542">
        <f t="shared" si="66"/>
        <v>0</v>
      </c>
      <c r="EZ13" s="542"/>
      <c r="FA13" s="542">
        <f t="shared" si="67"/>
        <v>-30</v>
      </c>
      <c r="FB13" s="542"/>
      <c r="FC13" s="830"/>
      <c r="FD13" s="830"/>
      <c r="FE13" s="836"/>
      <c r="FF13" s="836"/>
    </row>
    <row r="14" spans="1:162" x14ac:dyDescent="0.25">
      <c r="A14" s="217" t="s">
        <v>564</v>
      </c>
      <c r="B14" s="218" t="s">
        <v>414</v>
      </c>
      <c r="C14" s="542">
        <f t="shared" si="68"/>
        <v>18425</v>
      </c>
      <c r="D14" s="542">
        <f t="shared" si="68"/>
        <v>0</v>
      </c>
      <c r="E14" s="542">
        <f t="shared" si="68"/>
        <v>14455</v>
      </c>
      <c r="F14" s="542">
        <f t="shared" si="68"/>
        <v>0</v>
      </c>
      <c r="G14" s="542">
        <f t="shared" si="68"/>
        <v>19343</v>
      </c>
      <c r="H14" s="542">
        <f t="shared" si="69"/>
        <v>0</v>
      </c>
      <c r="I14" s="542">
        <f t="shared" si="69"/>
        <v>18940</v>
      </c>
      <c r="J14" s="542">
        <f t="shared" si="69"/>
        <v>0</v>
      </c>
      <c r="K14" s="542">
        <f t="shared" si="30"/>
        <v>-403</v>
      </c>
      <c r="L14" s="542">
        <f>+I14/G14*100</f>
        <v>97.91655896189836</v>
      </c>
      <c r="M14" s="542">
        <f t="shared" si="31"/>
        <v>918</v>
      </c>
      <c r="N14" s="542">
        <f t="shared" si="1"/>
        <v>104.98236092265942</v>
      </c>
      <c r="O14" s="542">
        <v>70</v>
      </c>
      <c r="P14" s="542">
        <v>0</v>
      </c>
      <c r="Q14" s="544">
        <v>1585</v>
      </c>
      <c r="R14" s="542">
        <v>0</v>
      </c>
      <c r="S14" s="542">
        <v>1745</v>
      </c>
      <c r="T14" s="542">
        <v>0</v>
      </c>
      <c r="U14" s="542">
        <v>100</v>
      </c>
      <c r="V14" s="542">
        <v>0</v>
      </c>
      <c r="W14" s="542">
        <f t="shared" si="33"/>
        <v>-1645</v>
      </c>
      <c r="X14" s="542">
        <f>+U14/S14*100</f>
        <v>5.7306590257879657</v>
      </c>
      <c r="Y14" s="542">
        <f t="shared" si="34"/>
        <v>1675</v>
      </c>
      <c r="Z14" s="542">
        <f>+S14/O14*100</f>
        <v>2492.8571428571427</v>
      </c>
      <c r="AA14" s="542">
        <v>0</v>
      </c>
      <c r="AB14" s="542">
        <v>0</v>
      </c>
      <c r="AC14" s="542">
        <v>16</v>
      </c>
      <c r="AD14" s="542">
        <v>0</v>
      </c>
      <c r="AE14" s="542">
        <v>20</v>
      </c>
      <c r="AF14" s="542">
        <v>0</v>
      </c>
      <c r="AG14" s="542">
        <v>0</v>
      </c>
      <c r="AH14" s="542">
        <v>0</v>
      </c>
      <c r="AI14" s="542">
        <f t="shared" si="36"/>
        <v>-20</v>
      </c>
      <c r="AJ14" s="542"/>
      <c r="AK14" s="542">
        <f t="shared" si="70"/>
        <v>20</v>
      </c>
      <c r="AL14" s="542"/>
      <c r="AM14" s="542">
        <v>15</v>
      </c>
      <c r="AN14" s="542">
        <v>0</v>
      </c>
      <c r="AO14" s="542">
        <v>41</v>
      </c>
      <c r="AP14" s="542">
        <v>0</v>
      </c>
      <c r="AQ14" s="542">
        <v>53</v>
      </c>
      <c r="AR14" s="542">
        <v>0</v>
      </c>
      <c r="AS14" s="542">
        <v>50</v>
      </c>
      <c r="AT14" s="542">
        <v>0</v>
      </c>
      <c r="AU14" s="542">
        <f t="shared" si="39"/>
        <v>-3</v>
      </c>
      <c r="AV14" s="542"/>
      <c r="AW14" s="542">
        <f t="shared" si="40"/>
        <v>38</v>
      </c>
      <c r="AX14" s="542"/>
      <c r="AY14" s="555">
        <v>610</v>
      </c>
      <c r="AZ14" s="542">
        <v>0</v>
      </c>
      <c r="BA14" s="542">
        <v>411</v>
      </c>
      <c r="BB14" s="542">
        <v>0</v>
      </c>
      <c r="BC14" s="542">
        <v>560</v>
      </c>
      <c r="BD14" s="542">
        <v>0</v>
      </c>
      <c r="BE14" s="555">
        <v>570</v>
      </c>
      <c r="BF14" s="542">
        <v>0</v>
      </c>
      <c r="BG14" s="542">
        <f t="shared" si="42"/>
        <v>10</v>
      </c>
      <c r="BH14" s="542"/>
      <c r="BI14" s="542">
        <f t="shared" si="43"/>
        <v>-50</v>
      </c>
      <c r="BJ14" s="542"/>
      <c r="BK14" s="542">
        <v>450</v>
      </c>
      <c r="BL14" s="542">
        <v>0</v>
      </c>
      <c r="BM14" s="542">
        <v>376</v>
      </c>
      <c r="BN14" s="542">
        <v>0</v>
      </c>
      <c r="BO14" s="542">
        <v>750</v>
      </c>
      <c r="BP14" s="542">
        <v>0</v>
      </c>
      <c r="BQ14" s="542">
        <v>460</v>
      </c>
      <c r="BR14" s="542">
        <v>0</v>
      </c>
      <c r="BS14" s="542">
        <f t="shared" si="45"/>
        <v>-290</v>
      </c>
      <c r="BT14" s="542"/>
      <c r="BU14" s="542">
        <f t="shared" si="46"/>
        <v>300</v>
      </c>
      <c r="BV14" s="542"/>
      <c r="BW14" s="542">
        <v>13770</v>
      </c>
      <c r="BX14" s="542">
        <v>0</v>
      </c>
      <c r="BY14" s="542">
        <v>9974</v>
      </c>
      <c r="BZ14" s="542">
        <v>0</v>
      </c>
      <c r="CA14" s="542">
        <v>13170</v>
      </c>
      <c r="CB14" s="542">
        <v>0</v>
      </c>
      <c r="CC14" s="542">
        <v>14480</v>
      </c>
      <c r="CD14" s="542">
        <v>0</v>
      </c>
      <c r="CE14" s="542">
        <f t="shared" si="48"/>
        <v>1310</v>
      </c>
      <c r="CF14" s="542"/>
      <c r="CG14" s="542">
        <f t="shared" si="49"/>
        <v>-600</v>
      </c>
      <c r="CH14" s="542"/>
      <c r="CI14" s="542">
        <v>370</v>
      </c>
      <c r="CJ14" s="542">
        <v>0</v>
      </c>
      <c r="CK14" s="542">
        <v>172</v>
      </c>
      <c r="CL14" s="542">
        <v>0</v>
      </c>
      <c r="CM14" s="542">
        <v>210</v>
      </c>
      <c r="CN14" s="542">
        <v>0</v>
      </c>
      <c r="CO14" s="542">
        <v>230</v>
      </c>
      <c r="CP14" s="542">
        <v>0</v>
      </c>
      <c r="CQ14" s="542">
        <f t="shared" si="51"/>
        <v>20</v>
      </c>
      <c r="CR14" s="542"/>
      <c r="CS14" s="542">
        <f t="shared" si="52"/>
        <v>-160</v>
      </c>
      <c r="CT14" s="542"/>
      <c r="CU14" s="542">
        <v>380</v>
      </c>
      <c r="CV14" s="542">
        <v>0</v>
      </c>
      <c r="CW14" s="542">
        <v>165</v>
      </c>
      <c r="CX14" s="542">
        <v>0</v>
      </c>
      <c r="CY14" s="542">
        <v>220</v>
      </c>
      <c r="CZ14" s="542">
        <v>0</v>
      </c>
      <c r="DA14" s="542">
        <v>230</v>
      </c>
      <c r="DB14" s="542">
        <v>0</v>
      </c>
      <c r="DC14" s="542">
        <f t="shared" si="54"/>
        <v>10</v>
      </c>
      <c r="DD14" s="542"/>
      <c r="DE14" s="542">
        <f t="shared" si="55"/>
        <v>-160</v>
      </c>
      <c r="DF14" s="542"/>
      <c r="DG14" s="542">
        <v>1500</v>
      </c>
      <c r="DH14" s="542">
        <v>0</v>
      </c>
      <c r="DI14" s="542">
        <v>1146</v>
      </c>
      <c r="DJ14" s="542">
        <v>0</v>
      </c>
      <c r="DK14" s="542">
        <v>1560</v>
      </c>
      <c r="DL14" s="542">
        <v>0</v>
      </c>
      <c r="DM14" s="542">
        <v>1630</v>
      </c>
      <c r="DN14" s="542">
        <v>0</v>
      </c>
      <c r="DO14" s="542">
        <f t="shared" si="57"/>
        <v>70</v>
      </c>
      <c r="DP14" s="542"/>
      <c r="DQ14" s="542">
        <f t="shared" si="58"/>
        <v>60</v>
      </c>
      <c r="DR14" s="542"/>
      <c r="DS14" s="542">
        <v>390</v>
      </c>
      <c r="DT14" s="542">
        <v>0</v>
      </c>
      <c r="DU14" s="542">
        <v>204</v>
      </c>
      <c r="DV14" s="542">
        <v>0</v>
      </c>
      <c r="DW14" s="542">
        <v>325</v>
      </c>
      <c r="DX14" s="542">
        <v>0</v>
      </c>
      <c r="DY14" s="542">
        <v>360</v>
      </c>
      <c r="DZ14" s="542">
        <v>0</v>
      </c>
      <c r="EA14" s="542">
        <f t="shared" si="60"/>
        <v>35</v>
      </c>
      <c r="EB14" s="542"/>
      <c r="EC14" s="542">
        <f t="shared" si="61"/>
        <v>-65</v>
      </c>
      <c r="ED14" s="542"/>
      <c r="EE14" s="542">
        <v>620</v>
      </c>
      <c r="EF14" s="542">
        <v>0</v>
      </c>
      <c r="EG14" s="542">
        <v>287</v>
      </c>
      <c r="EH14" s="542">
        <v>0</v>
      </c>
      <c r="EI14" s="542">
        <v>480</v>
      </c>
      <c r="EJ14" s="542">
        <v>0</v>
      </c>
      <c r="EK14" s="542">
        <v>530</v>
      </c>
      <c r="EL14" s="542">
        <v>0</v>
      </c>
      <c r="EM14" s="542">
        <f t="shared" si="63"/>
        <v>50</v>
      </c>
      <c r="EN14" s="542"/>
      <c r="EO14" s="542">
        <f t="shared" si="64"/>
        <v>-140</v>
      </c>
      <c r="EP14" s="542"/>
      <c r="EQ14" s="542">
        <v>250</v>
      </c>
      <c r="ER14" s="542">
        <v>0</v>
      </c>
      <c r="ES14" s="542">
        <v>78</v>
      </c>
      <c r="ET14" s="542">
        <v>0</v>
      </c>
      <c r="EU14" s="542">
        <v>250</v>
      </c>
      <c r="EV14" s="542">
        <v>0</v>
      </c>
      <c r="EW14" s="542">
        <v>300</v>
      </c>
      <c r="EX14" s="542">
        <v>0</v>
      </c>
      <c r="EY14" s="542">
        <f t="shared" si="66"/>
        <v>50</v>
      </c>
      <c r="EZ14" s="542"/>
      <c r="FA14" s="542">
        <f t="shared" si="67"/>
        <v>0</v>
      </c>
      <c r="FB14" s="542"/>
      <c r="FC14" s="830"/>
      <c r="FD14" s="830"/>
      <c r="FE14" s="836"/>
      <c r="FF14" s="836"/>
    </row>
    <row r="15" spans="1:162" x14ac:dyDescent="0.25">
      <c r="A15" s="217" t="s">
        <v>564</v>
      </c>
      <c r="B15" s="218" t="s">
        <v>415</v>
      </c>
      <c r="C15" s="542">
        <f t="shared" si="68"/>
        <v>0</v>
      </c>
      <c r="D15" s="542">
        <f t="shared" si="68"/>
        <v>0</v>
      </c>
      <c r="E15" s="542">
        <f t="shared" si="68"/>
        <v>0</v>
      </c>
      <c r="F15" s="542">
        <f t="shared" si="68"/>
        <v>0</v>
      </c>
      <c r="G15" s="542">
        <f t="shared" si="68"/>
        <v>995</v>
      </c>
      <c r="H15" s="542">
        <f t="shared" si="69"/>
        <v>995</v>
      </c>
      <c r="I15" s="542">
        <f t="shared" si="69"/>
        <v>0</v>
      </c>
      <c r="J15" s="542">
        <f t="shared" si="69"/>
        <v>0</v>
      </c>
      <c r="K15" s="542">
        <f t="shared" si="30"/>
        <v>-995</v>
      </c>
      <c r="L15" s="542"/>
      <c r="M15" s="542">
        <f t="shared" si="31"/>
        <v>995</v>
      </c>
      <c r="N15" s="542"/>
      <c r="O15" s="542">
        <v>0</v>
      </c>
      <c r="P15" s="542">
        <f>O15</f>
        <v>0</v>
      </c>
      <c r="Q15" s="542">
        <v>0</v>
      </c>
      <c r="R15" s="542">
        <f>Q15</f>
        <v>0</v>
      </c>
      <c r="S15" s="542">
        <v>5</v>
      </c>
      <c r="T15" s="542">
        <f>+S15</f>
        <v>5</v>
      </c>
      <c r="U15" s="542">
        <v>0</v>
      </c>
      <c r="V15" s="542">
        <f>U15</f>
        <v>0</v>
      </c>
      <c r="W15" s="542">
        <f t="shared" si="33"/>
        <v>-5</v>
      </c>
      <c r="X15" s="542"/>
      <c r="Y15" s="542">
        <f t="shared" si="34"/>
        <v>5</v>
      </c>
      <c r="Z15" s="542"/>
      <c r="AA15" s="542">
        <v>0</v>
      </c>
      <c r="AB15" s="542">
        <f>AA15</f>
        <v>0</v>
      </c>
      <c r="AC15" s="542">
        <v>0</v>
      </c>
      <c r="AD15" s="542">
        <f>AC15</f>
        <v>0</v>
      </c>
      <c r="AE15" s="542">
        <v>5</v>
      </c>
      <c r="AF15" s="542">
        <f>+AE15</f>
        <v>5</v>
      </c>
      <c r="AG15" s="542">
        <v>0</v>
      </c>
      <c r="AH15" s="542">
        <f>AG15</f>
        <v>0</v>
      </c>
      <c r="AI15" s="542">
        <f t="shared" si="36"/>
        <v>-5</v>
      </c>
      <c r="AJ15" s="542"/>
      <c r="AK15" s="542">
        <f t="shared" si="70"/>
        <v>5</v>
      </c>
      <c r="AL15" s="542"/>
      <c r="AM15" s="542">
        <v>0</v>
      </c>
      <c r="AN15" s="542">
        <f>AM15</f>
        <v>0</v>
      </c>
      <c r="AO15" s="542"/>
      <c r="AP15" s="542">
        <f>AO15</f>
        <v>0</v>
      </c>
      <c r="AQ15" s="542">
        <f>AO15/8*12</f>
        <v>0</v>
      </c>
      <c r="AR15" s="542">
        <f>+AQ15</f>
        <v>0</v>
      </c>
      <c r="AS15" s="542">
        <v>0</v>
      </c>
      <c r="AT15" s="542">
        <f>AS15</f>
        <v>0</v>
      </c>
      <c r="AU15" s="542">
        <f t="shared" si="39"/>
        <v>0</v>
      </c>
      <c r="AV15" s="542" t="e">
        <f>+AS15/AQ15*100</f>
        <v>#DIV/0!</v>
      </c>
      <c r="AW15" s="542">
        <f t="shared" si="40"/>
        <v>0</v>
      </c>
      <c r="AX15" s="542" t="e">
        <f>+AQ15/AM15*100</f>
        <v>#DIV/0!</v>
      </c>
      <c r="AY15" s="542">
        <v>0</v>
      </c>
      <c r="AZ15" s="542">
        <f>AY15</f>
        <v>0</v>
      </c>
      <c r="BA15" s="542">
        <v>0</v>
      </c>
      <c r="BB15" s="542">
        <f>BA15</f>
        <v>0</v>
      </c>
      <c r="BC15" s="542">
        <v>10</v>
      </c>
      <c r="BD15" s="542">
        <f>+BC15</f>
        <v>10</v>
      </c>
      <c r="BE15" s="542">
        <v>0</v>
      </c>
      <c r="BF15" s="542">
        <f>BE15</f>
        <v>0</v>
      </c>
      <c r="BG15" s="542">
        <f t="shared" si="42"/>
        <v>-10</v>
      </c>
      <c r="BH15" s="542">
        <f>+BE15/BC15*100</f>
        <v>0</v>
      </c>
      <c r="BI15" s="542">
        <f t="shared" si="43"/>
        <v>10</v>
      </c>
      <c r="BJ15" s="542" t="e">
        <f>+BC15/AY15*100</f>
        <v>#DIV/0!</v>
      </c>
      <c r="BK15" s="542">
        <v>0</v>
      </c>
      <c r="BL15" s="542">
        <f>BK15</f>
        <v>0</v>
      </c>
      <c r="BM15" s="542">
        <v>0</v>
      </c>
      <c r="BN15" s="542">
        <f>BM15</f>
        <v>0</v>
      </c>
      <c r="BO15" s="542">
        <v>400</v>
      </c>
      <c r="BP15" s="542">
        <f>+BO15</f>
        <v>400</v>
      </c>
      <c r="BQ15" s="542">
        <v>0</v>
      </c>
      <c r="BR15" s="542">
        <f>BQ15</f>
        <v>0</v>
      </c>
      <c r="BS15" s="542">
        <f t="shared" si="45"/>
        <v>-400</v>
      </c>
      <c r="BT15" s="542">
        <f>+BQ15/BO15*100</f>
        <v>0</v>
      </c>
      <c r="BU15" s="542">
        <f t="shared" si="46"/>
        <v>400</v>
      </c>
      <c r="BV15" s="542" t="e">
        <f>+BO15/BK15*100</f>
        <v>#DIV/0!</v>
      </c>
      <c r="BW15" s="542">
        <v>0</v>
      </c>
      <c r="BX15" s="542">
        <f>BW15</f>
        <v>0</v>
      </c>
      <c r="BY15" s="542">
        <v>0</v>
      </c>
      <c r="BZ15" s="542">
        <f>BY15</f>
        <v>0</v>
      </c>
      <c r="CA15" s="542">
        <f>BY15/8*12</f>
        <v>0</v>
      </c>
      <c r="CB15" s="542">
        <f>+CA15</f>
        <v>0</v>
      </c>
      <c r="CC15" s="542">
        <v>0</v>
      </c>
      <c r="CD15" s="542">
        <f>CC15</f>
        <v>0</v>
      </c>
      <c r="CE15" s="542">
        <f t="shared" si="48"/>
        <v>0</v>
      </c>
      <c r="CF15" s="542"/>
      <c r="CG15" s="542">
        <f t="shared" si="49"/>
        <v>0</v>
      </c>
      <c r="CH15" s="542"/>
      <c r="CI15" s="542"/>
      <c r="CJ15" s="542">
        <f>CI15</f>
        <v>0</v>
      </c>
      <c r="CK15" s="542">
        <v>0</v>
      </c>
      <c r="CL15" s="542">
        <f>CK15</f>
        <v>0</v>
      </c>
      <c r="CM15" s="542">
        <f>CK15/8*12</f>
        <v>0</v>
      </c>
      <c r="CN15" s="542">
        <f>+CM15</f>
        <v>0</v>
      </c>
      <c r="CO15" s="542"/>
      <c r="CP15" s="542">
        <f>CO15</f>
        <v>0</v>
      </c>
      <c r="CQ15" s="542">
        <f t="shared" si="51"/>
        <v>0</v>
      </c>
      <c r="CR15" s="542"/>
      <c r="CS15" s="542">
        <f t="shared" si="52"/>
        <v>0</v>
      </c>
      <c r="CT15" s="542"/>
      <c r="CU15" s="542"/>
      <c r="CV15" s="542">
        <f>CU15</f>
        <v>0</v>
      </c>
      <c r="CW15" s="542">
        <v>0</v>
      </c>
      <c r="CX15" s="542">
        <f>CW15</f>
        <v>0</v>
      </c>
      <c r="CY15" s="542">
        <f>CW15/8*12</f>
        <v>0</v>
      </c>
      <c r="CZ15" s="542">
        <f>+CY15</f>
        <v>0</v>
      </c>
      <c r="DA15" s="542"/>
      <c r="DB15" s="542">
        <f>DA15</f>
        <v>0</v>
      </c>
      <c r="DC15" s="542">
        <f t="shared" si="54"/>
        <v>0</v>
      </c>
      <c r="DD15" s="542" t="e">
        <f>+DA15/CY15*100</f>
        <v>#DIV/0!</v>
      </c>
      <c r="DE15" s="542">
        <f t="shared" si="55"/>
        <v>0</v>
      </c>
      <c r="DF15" s="542" t="e">
        <f>+CY15/CU15*100</f>
        <v>#DIV/0!</v>
      </c>
      <c r="DG15" s="542">
        <v>0</v>
      </c>
      <c r="DH15" s="542">
        <f>DG15</f>
        <v>0</v>
      </c>
      <c r="DI15" s="542">
        <v>0</v>
      </c>
      <c r="DJ15" s="542">
        <f>DI15</f>
        <v>0</v>
      </c>
      <c r="DK15" s="542">
        <v>100</v>
      </c>
      <c r="DL15" s="542">
        <f>+DK15</f>
        <v>100</v>
      </c>
      <c r="DM15" s="542">
        <v>0</v>
      </c>
      <c r="DN15" s="542">
        <f>DM15</f>
        <v>0</v>
      </c>
      <c r="DO15" s="542">
        <f t="shared" si="57"/>
        <v>-100</v>
      </c>
      <c r="DP15" s="542">
        <f>+DM15/DK15*100</f>
        <v>0</v>
      </c>
      <c r="DQ15" s="542">
        <f t="shared" si="58"/>
        <v>100</v>
      </c>
      <c r="DR15" s="542" t="e">
        <f>+DK15/DG15*100</f>
        <v>#DIV/0!</v>
      </c>
      <c r="DS15" s="542">
        <v>0</v>
      </c>
      <c r="DT15" s="542">
        <f>DS15</f>
        <v>0</v>
      </c>
      <c r="DU15" s="542">
        <v>0</v>
      </c>
      <c r="DV15" s="542">
        <f>DU15</f>
        <v>0</v>
      </c>
      <c r="DW15" s="542">
        <v>5</v>
      </c>
      <c r="DX15" s="542">
        <f>+DW15</f>
        <v>5</v>
      </c>
      <c r="DY15" s="542">
        <v>0</v>
      </c>
      <c r="DZ15" s="542">
        <f>DY15</f>
        <v>0</v>
      </c>
      <c r="EA15" s="542">
        <f t="shared" si="60"/>
        <v>-5</v>
      </c>
      <c r="EB15" s="542">
        <f>+DY15/DW15*100</f>
        <v>0</v>
      </c>
      <c r="EC15" s="542">
        <f t="shared" si="61"/>
        <v>5</v>
      </c>
      <c r="ED15" s="542" t="e">
        <f>+DW15/DS15*100</f>
        <v>#DIV/0!</v>
      </c>
      <c r="EE15" s="542">
        <v>0</v>
      </c>
      <c r="EF15" s="542">
        <f>EE15</f>
        <v>0</v>
      </c>
      <c r="EG15" s="542">
        <v>0</v>
      </c>
      <c r="EH15" s="542">
        <f>EG15</f>
        <v>0</v>
      </c>
      <c r="EI15" s="542">
        <v>450</v>
      </c>
      <c r="EJ15" s="542">
        <f>+EI15</f>
        <v>450</v>
      </c>
      <c r="EK15" s="542">
        <v>0</v>
      </c>
      <c r="EL15" s="542">
        <f>EK15</f>
        <v>0</v>
      </c>
      <c r="EM15" s="542">
        <f t="shared" si="63"/>
        <v>-450</v>
      </c>
      <c r="EN15" s="542">
        <f>+EK15/EI15*100</f>
        <v>0</v>
      </c>
      <c r="EO15" s="542">
        <f t="shared" si="64"/>
        <v>450</v>
      </c>
      <c r="EP15" s="542" t="e">
        <f>+EI15/EE15*100</f>
        <v>#DIV/0!</v>
      </c>
      <c r="EQ15" s="542">
        <v>0</v>
      </c>
      <c r="ER15" s="542">
        <f>EQ15</f>
        <v>0</v>
      </c>
      <c r="ES15" s="542">
        <v>0</v>
      </c>
      <c r="ET15" s="542">
        <f>ES15</f>
        <v>0</v>
      </c>
      <c r="EU15" s="542">
        <v>20</v>
      </c>
      <c r="EV15" s="542">
        <f>+EU15</f>
        <v>20</v>
      </c>
      <c r="EW15" s="542">
        <v>0</v>
      </c>
      <c r="EX15" s="542">
        <f>EW15</f>
        <v>0</v>
      </c>
      <c r="EY15" s="542">
        <f t="shared" si="66"/>
        <v>-20</v>
      </c>
      <c r="EZ15" s="542"/>
      <c r="FA15" s="542">
        <f t="shared" si="67"/>
        <v>20</v>
      </c>
      <c r="FB15" s="542"/>
      <c r="FC15" s="830"/>
      <c r="FD15" s="830"/>
      <c r="FE15" s="836"/>
      <c r="FF15" s="836"/>
    </row>
    <row r="16" spans="1:162" s="154" customFormat="1" x14ac:dyDescent="0.25">
      <c r="A16" s="152">
        <v>2</v>
      </c>
      <c r="B16" s="216" t="s">
        <v>527</v>
      </c>
      <c r="C16" s="541">
        <f t="shared" si="68"/>
        <v>244000</v>
      </c>
      <c r="D16" s="541">
        <f t="shared" si="68"/>
        <v>0</v>
      </c>
      <c r="E16" s="541">
        <f t="shared" si="68"/>
        <v>228527</v>
      </c>
      <c r="F16" s="541">
        <f t="shared" si="68"/>
        <v>0</v>
      </c>
      <c r="G16" s="541">
        <f t="shared" si="68"/>
        <v>216000</v>
      </c>
      <c r="H16" s="541">
        <f t="shared" si="69"/>
        <v>0</v>
      </c>
      <c r="I16" s="541">
        <f t="shared" si="69"/>
        <v>228000</v>
      </c>
      <c r="J16" s="541">
        <f t="shared" si="69"/>
        <v>0</v>
      </c>
      <c r="K16" s="541">
        <f t="shared" si="30"/>
        <v>12000</v>
      </c>
      <c r="L16" s="541">
        <f>+I16/G16*100</f>
        <v>105.55555555555556</v>
      </c>
      <c r="M16" s="541">
        <f t="shared" si="31"/>
        <v>-28000</v>
      </c>
      <c r="N16" s="541"/>
      <c r="O16" s="541">
        <v>7500</v>
      </c>
      <c r="P16" s="541">
        <v>0</v>
      </c>
      <c r="Q16" s="541">
        <v>4293</v>
      </c>
      <c r="R16" s="541">
        <v>0</v>
      </c>
      <c r="S16" s="541">
        <v>4500</v>
      </c>
      <c r="T16" s="541">
        <v>0</v>
      </c>
      <c r="U16" s="541">
        <v>4800</v>
      </c>
      <c r="V16" s="541">
        <v>0</v>
      </c>
      <c r="W16" s="541">
        <f t="shared" si="33"/>
        <v>300</v>
      </c>
      <c r="X16" s="541">
        <f>+U16/S16*100</f>
        <v>106.66666666666667</v>
      </c>
      <c r="Y16" s="541">
        <f t="shared" si="34"/>
        <v>-3000</v>
      </c>
      <c r="Z16" s="541">
        <f>+S16/O16*100</f>
        <v>60</v>
      </c>
      <c r="AA16" s="541">
        <v>17000</v>
      </c>
      <c r="AB16" s="541">
        <v>0</v>
      </c>
      <c r="AC16" s="541">
        <v>13651</v>
      </c>
      <c r="AD16" s="541">
        <v>0</v>
      </c>
      <c r="AE16" s="541">
        <v>13000</v>
      </c>
      <c r="AF16" s="541">
        <v>0</v>
      </c>
      <c r="AG16" s="541">
        <v>13500</v>
      </c>
      <c r="AH16" s="541">
        <v>0</v>
      </c>
      <c r="AI16" s="541"/>
      <c r="AJ16" s="541"/>
      <c r="AK16" s="541"/>
      <c r="AL16" s="541"/>
      <c r="AM16" s="541">
        <v>10500</v>
      </c>
      <c r="AN16" s="541"/>
      <c r="AO16" s="541">
        <v>8501</v>
      </c>
      <c r="AP16" s="541">
        <v>0</v>
      </c>
      <c r="AQ16" s="541">
        <v>9200</v>
      </c>
      <c r="AR16" s="541">
        <v>0</v>
      </c>
      <c r="AS16" s="541">
        <v>9500</v>
      </c>
      <c r="AT16" s="541"/>
      <c r="AU16" s="541">
        <f t="shared" si="39"/>
        <v>300</v>
      </c>
      <c r="AV16" s="541"/>
      <c r="AW16" s="541">
        <f t="shared" si="40"/>
        <v>-1300</v>
      </c>
      <c r="AX16" s="541"/>
      <c r="AY16" s="541">
        <v>20000</v>
      </c>
      <c r="AZ16" s="541"/>
      <c r="BA16" s="541">
        <v>14724</v>
      </c>
      <c r="BB16" s="541">
        <v>0</v>
      </c>
      <c r="BC16" s="541">
        <v>15700</v>
      </c>
      <c r="BD16" s="541">
        <v>0</v>
      </c>
      <c r="BE16" s="541">
        <v>16500</v>
      </c>
      <c r="BF16" s="541"/>
      <c r="BG16" s="541"/>
      <c r="BH16" s="541"/>
      <c r="BI16" s="541"/>
      <c r="BJ16" s="541"/>
      <c r="BK16" s="541">
        <v>13000</v>
      </c>
      <c r="BL16" s="541"/>
      <c r="BM16" s="541">
        <v>11156</v>
      </c>
      <c r="BN16" s="541">
        <v>0</v>
      </c>
      <c r="BO16" s="541">
        <v>11300</v>
      </c>
      <c r="BP16" s="541">
        <v>0</v>
      </c>
      <c r="BQ16" s="541">
        <v>12000</v>
      </c>
      <c r="BR16" s="541"/>
      <c r="BS16" s="541">
        <f t="shared" si="45"/>
        <v>700</v>
      </c>
      <c r="BT16" s="541"/>
      <c r="BU16" s="541">
        <f t="shared" si="46"/>
        <v>-1700</v>
      </c>
      <c r="BV16" s="541"/>
      <c r="BW16" s="541">
        <v>44500</v>
      </c>
      <c r="BX16" s="541"/>
      <c r="BY16" s="541">
        <v>62810</v>
      </c>
      <c r="BZ16" s="541">
        <v>0</v>
      </c>
      <c r="CA16" s="541">
        <v>38000</v>
      </c>
      <c r="CB16" s="541">
        <v>0</v>
      </c>
      <c r="CC16" s="541">
        <v>40000</v>
      </c>
      <c r="CD16" s="541"/>
      <c r="CE16" s="541">
        <f t="shared" si="48"/>
        <v>2000</v>
      </c>
      <c r="CF16" s="541"/>
      <c r="CG16" s="541">
        <f t="shared" si="49"/>
        <v>-6500</v>
      </c>
      <c r="CH16" s="541"/>
      <c r="CI16" s="541">
        <v>20000</v>
      </c>
      <c r="CJ16" s="541"/>
      <c r="CK16" s="541">
        <v>16256</v>
      </c>
      <c r="CL16" s="541">
        <v>0</v>
      </c>
      <c r="CM16" s="541">
        <v>20000</v>
      </c>
      <c r="CN16" s="541">
        <v>0</v>
      </c>
      <c r="CO16" s="541">
        <v>22000</v>
      </c>
      <c r="CP16" s="541"/>
      <c r="CQ16" s="541"/>
      <c r="CR16" s="541"/>
      <c r="CS16" s="541"/>
      <c r="CT16" s="541"/>
      <c r="CU16" s="541">
        <v>21000</v>
      </c>
      <c r="CV16" s="541"/>
      <c r="CW16" s="541">
        <v>18556</v>
      </c>
      <c r="CX16" s="541">
        <v>0</v>
      </c>
      <c r="CY16" s="541">
        <v>20800</v>
      </c>
      <c r="CZ16" s="541">
        <v>0</v>
      </c>
      <c r="DA16" s="541">
        <v>22000</v>
      </c>
      <c r="DB16" s="541"/>
      <c r="DC16" s="541">
        <f t="shared" si="54"/>
        <v>1200</v>
      </c>
      <c r="DD16" s="541"/>
      <c r="DE16" s="541">
        <f t="shared" si="55"/>
        <v>-200</v>
      </c>
      <c r="DF16" s="541"/>
      <c r="DG16" s="541">
        <v>19000</v>
      </c>
      <c r="DH16" s="541"/>
      <c r="DI16" s="541">
        <v>18577</v>
      </c>
      <c r="DJ16" s="541">
        <v>0</v>
      </c>
      <c r="DK16" s="541">
        <v>18000</v>
      </c>
      <c r="DL16" s="541">
        <v>0</v>
      </c>
      <c r="DM16" s="541">
        <v>19000</v>
      </c>
      <c r="DN16" s="541"/>
      <c r="DO16" s="541"/>
      <c r="DP16" s="541"/>
      <c r="DQ16" s="541"/>
      <c r="DR16" s="541"/>
      <c r="DS16" s="541">
        <v>17500</v>
      </c>
      <c r="DT16" s="541"/>
      <c r="DU16" s="541">
        <v>15624</v>
      </c>
      <c r="DV16" s="541">
        <v>0</v>
      </c>
      <c r="DW16" s="541">
        <v>17000</v>
      </c>
      <c r="DX16" s="541">
        <v>0</v>
      </c>
      <c r="DY16" s="541">
        <v>18000</v>
      </c>
      <c r="DZ16" s="541"/>
      <c r="EA16" s="541">
        <f t="shared" si="60"/>
        <v>1000</v>
      </c>
      <c r="EB16" s="541"/>
      <c r="EC16" s="541">
        <f t="shared" si="61"/>
        <v>-500</v>
      </c>
      <c r="ED16" s="541"/>
      <c r="EE16" s="541">
        <v>40000</v>
      </c>
      <c r="EF16" s="541"/>
      <c r="EG16" s="541">
        <v>31277</v>
      </c>
      <c r="EH16" s="541">
        <v>0</v>
      </c>
      <c r="EI16" s="541">
        <v>35000</v>
      </c>
      <c r="EJ16" s="541">
        <v>0</v>
      </c>
      <c r="EK16" s="541">
        <v>36500</v>
      </c>
      <c r="EL16" s="541"/>
      <c r="EM16" s="541"/>
      <c r="EN16" s="541"/>
      <c r="EO16" s="541"/>
      <c r="EP16" s="541"/>
      <c r="EQ16" s="541">
        <v>14000</v>
      </c>
      <c r="ER16" s="541"/>
      <c r="ES16" s="541">
        <v>13102</v>
      </c>
      <c r="ET16" s="541">
        <v>0</v>
      </c>
      <c r="EU16" s="541">
        <v>13500</v>
      </c>
      <c r="EV16" s="541">
        <v>0</v>
      </c>
      <c r="EW16" s="541">
        <v>14200</v>
      </c>
      <c r="EX16" s="541"/>
      <c r="EY16" s="541">
        <f t="shared" si="66"/>
        <v>700</v>
      </c>
      <c r="EZ16" s="541"/>
      <c r="FA16" s="541">
        <f t="shared" si="67"/>
        <v>-500</v>
      </c>
      <c r="FB16" s="541"/>
      <c r="FC16" s="829">
        <f>E16/C16</f>
        <v>0.93658606557377044</v>
      </c>
      <c r="FD16" s="829"/>
      <c r="FE16" s="835">
        <f t="shared" ref="FE16:FF20" si="71">E16-C16</f>
        <v>-15473</v>
      </c>
      <c r="FF16" s="835">
        <f t="shared" si="71"/>
        <v>0</v>
      </c>
    </row>
    <row r="17" spans="1:162" s="154" customFormat="1" x14ac:dyDescent="0.25">
      <c r="A17" s="152">
        <v>3</v>
      </c>
      <c r="B17" s="216" t="s">
        <v>349</v>
      </c>
      <c r="C17" s="541">
        <f t="shared" si="68"/>
        <v>345000</v>
      </c>
      <c r="D17" s="541">
        <f t="shared" si="68"/>
        <v>345000</v>
      </c>
      <c r="E17" s="541">
        <f t="shared" si="68"/>
        <v>196343</v>
      </c>
      <c r="F17" s="541">
        <f t="shared" si="68"/>
        <v>196343</v>
      </c>
      <c r="G17" s="541">
        <f t="shared" si="68"/>
        <v>252000</v>
      </c>
      <c r="H17" s="541">
        <f t="shared" si="69"/>
        <v>252000</v>
      </c>
      <c r="I17" s="541">
        <f t="shared" si="69"/>
        <v>280000</v>
      </c>
      <c r="J17" s="541">
        <f t="shared" si="69"/>
        <v>280000</v>
      </c>
      <c r="K17" s="541">
        <f t="shared" si="30"/>
        <v>28000</v>
      </c>
      <c r="L17" s="541">
        <f>+I17/G17*100</f>
        <v>111.11111111111111</v>
      </c>
      <c r="M17" s="541">
        <f t="shared" si="31"/>
        <v>-93000</v>
      </c>
      <c r="N17" s="541">
        <f t="shared" si="1"/>
        <v>73.043478260869563</v>
      </c>
      <c r="O17" s="541">
        <v>22000</v>
      </c>
      <c r="P17" s="541">
        <f>O17</f>
        <v>22000</v>
      </c>
      <c r="Q17" s="541">
        <v>8964</v>
      </c>
      <c r="R17" s="541">
        <f>Q17</f>
        <v>8964</v>
      </c>
      <c r="S17" s="541">
        <v>10000</v>
      </c>
      <c r="T17" s="541">
        <f>+S17</f>
        <v>10000</v>
      </c>
      <c r="U17" s="541">
        <v>11000</v>
      </c>
      <c r="V17" s="541">
        <f>U17</f>
        <v>11000</v>
      </c>
      <c r="W17" s="541">
        <f>+U17-S17</f>
        <v>1000</v>
      </c>
      <c r="X17" s="541">
        <f>+U17/S17*100</f>
        <v>110.00000000000001</v>
      </c>
      <c r="Y17" s="541">
        <f>+S17-O17</f>
        <v>-12000</v>
      </c>
      <c r="Z17" s="541">
        <f>+S17/O17*100</f>
        <v>45.454545454545453</v>
      </c>
      <c r="AA17" s="541">
        <v>22000</v>
      </c>
      <c r="AB17" s="541">
        <f>AA17</f>
        <v>22000</v>
      </c>
      <c r="AC17" s="541">
        <v>13743</v>
      </c>
      <c r="AD17" s="541">
        <f>AC17</f>
        <v>13743</v>
      </c>
      <c r="AE17" s="541">
        <v>15000</v>
      </c>
      <c r="AF17" s="541">
        <f>+AE17</f>
        <v>15000</v>
      </c>
      <c r="AG17" s="541">
        <v>16500</v>
      </c>
      <c r="AH17" s="541">
        <f>AG17</f>
        <v>16500</v>
      </c>
      <c r="AI17" s="541">
        <f t="shared" si="36"/>
        <v>1500</v>
      </c>
      <c r="AJ17" s="541">
        <f>+AG17/AE17*100</f>
        <v>110.00000000000001</v>
      </c>
      <c r="AK17" s="541">
        <f t="shared" si="70"/>
        <v>-7000</v>
      </c>
      <c r="AL17" s="541">
        <f t="shared" si="37"/>
        <v>68.181818181818173</v>
      </c>
      <c r="AM17" s="541">
        <v>12500</v>
      </c>
      <c r="AN17" s="541">
        <f>AM17</f>
        <v>12500</v>
      </c>
      <c r="AO17" s="541">
        <v>9426</v>
      </c>
      <c r="AP17" s="541">
        <f>AO17</f>
        <v>9426</v>
      </c>
      <c r="AQ17" s="541">
        <v>11000</v>
      </c>
      <c r="AR17" s="541">
        <f>+AQ17</f>
        <v>11000</v>
      </c>
      <c r="AS17" s="541">
        <v>12000</v>
      </c>
      <c r="AT17" s="541">
        <f>AS17</f>
        <v>12000</v>
      </c>
      <c r="AU17" s="541">
        <f t="shared" si="39"/>
        <v>1000</v>
      </c>
      <c r="AV17" s="541">
        <f>+AS17/AQ17*100</f>
        <v>109.09090909090908</v>
      </c>
      <c r="AW17" s="541">
        <f t="shared" si="40"/>
        <v>-1500</v>
      </c>
      <c r="AX17" s="541">
        <f>+AQ17/AM17*100</f>
        <v>88</v>
      </c>
      <c r="AY17" s="541">
        <v>20000</v>
      </c>
      <c r="AZ17" s="541">
        <f>AY17</f>
        <v>20000</v>
      </c>
      <c r="BA17" s="541">
        <v>11941</v>
      </c>
      <c r="BB17" s="541">
        <f>BA17</f>
        <v>11941</v>
      </c>
      <c r="BC17" s="541">
        <v>13500</v>
      </c>
      <c r="BD17" s="541">
        <f>+BC17</f>
        <v>13500</v>
      </c>
      <c r="BE17" s="541">
        <v>15000</v>
      </c>
      <c r="BF17" s="541">
        <f>BE17</f>
        <v>15000</v>
      </c>
      <c r="BG17" s="541">
        <f>+BE17-BC17</f>
        <v>1500</v>
      </c>
      <c r="BH17" s="541">
        <f>+BE17/BC17*100</f>
        <v>111.11111111111111</v>
      </c>
      <c r="BI17" s="541">
        <f>+BC17-AY17</f>
        <v>-6500</v>
      </c>
      <c r="BJ17" s="541">
        <f>+BC17/AY17*100</f>
        <v>67.5</v>
      </c>
      <c r="BK17" s="541">
        <v>21000</v>
      </c>
      <c r="BL17" s="541">
        <f>BK17</f>
        <v>21000</v>
      </c>
      <c r="BM17" s="541">
        <v>11638</v>
      </c>
      <c r="BN17" s="541">
        <f>BM17</f>
        <v>11638</v>
      </c>
      <c r="BO17" s="541">
        <v>16000</v>
      </c>
      <c r="BP17" s="541">
        <f>+BO17</f>
        <v>16000</v>
      </c>
      <c r="BQ17" s="541">
        <v>18000</v>
      </c>
      <c r="BR17" s="541">
        <f>BQ17</f>
        <v>18000</v>
      </c>
      <c r="BS17" s="541">
        <f t="shared" si="45"/>
        <v>2000</v>
      </c>
      <c r="BT17" s="541">
        <f>+BQ17/BO17*100</f>
        <v>112.5</v>
      </c>
      <c r="BU17" s="541">
        <f t="shared" si="46"/>
        <v>-5000</v>
      </c>
      <c r="BV17" s="541">
        <f>+BO17/BK17*100</f>
        <v>76.19047619047619</v>
      </c>
      <c r="BW17" s="541">
        <v>65000</v>
      </c>
      <c r="BX17" s="541">
        <f>BW17</f>
        <v>65000</v>
      </c>
      <c r="BY17" s="541">
        <v>38433</v>
      </c>
      <c r="BZ17" s="541">
        <f>BY17</f>
        <v>38433</v>
      </c>
      <c r="CA17" s="541">
        <v>48200</v>
      </c>
      <c r="CB17" s="541">
        <f>+CA17</f>
        <v>48200</v>
      </c>
      <c r="CC17" s="541">
        <v>54000</v>
      </c>
      <c r="CD17" s="541">
        <f>CC17</f>
        <v>54000</v>
      </c>
      <c r="CE17" s="541">
        <f t="shared" si="48"/>
        <v>5800</v>
      </c>
      <c r="CF17" s="541">
        <f>+CC17/CA17*100</f>
        <v>112.03319502074689</v>
      </c>
      <c r="CG17" s="541">
        <f t="shared" si="49"/>
        <v>-16800</v>
      </c>
      <c r="CH17" s="541">
        <f>+CA17/BW17*100</f>
        <v>74.15384615384616</v>
      </c>
      <c r="CI17" s="541">
        <v>38000</v>
      </c>
      <c r="CJ17" s="541">
        <f>CI17</f>
        <v>38000</v>
      </c>
      <c r="CK17" s="541">
        <v>21587</v>
      </c>
      <c r="CL17" s="541">
        <f>CK17</f>
        <v>21587</v>
      </c>
      <c r="CM17" s="541">
        <v>29000</v>
      </c>
      <c r="CN17" s="541">
        <f>+CM17</f>
        <v>29000</v>
      </c>
      <c r="CO17" s="541">
        <v>32000</v>
      </c>
      <c r="CP17" s="541">
        <f>CO17</f>
        <v>32000</v>
      </c>
      <c r="CQ17" s="541">
        <f t="shared" ref="CQ17:CQ22" si="72">+CO17-CM17</f>
        <v>3000</v>
      </c>
      <c r="CR17" s="541">
        <f>+CO17/CM17*100</f>
        <v>110.34482758620689</v>
      </c>
      <c r="CS17" s="541">
        <f>+CM17-CI17</f>
        <v>-9000</v>
      </c>
      <c r="CT17" s="541">
        <f>+CM17/CI17*100</f>
        <v>76.31578947368422</v>
      </c>
      <c r="CU17" s="541">
        <v>24000</v>
      </c>
      <c r="CV17" s="541">
        <f>CU17</f>
        <v>24000</v>
      </c>
      <c r="CW17" s="541">
        <v>14168</v>
      </c>
      <c r="CX17" s="541">
        <f>CW17</f>
        <v>14168</v>
      </c>
      <c r="CY17" s="541">
        <v>19800</v>
      </c>
      <c r="CZ17" s="541">
        <f>+CY17</f>
        <v>19800</v>
      </c>
      <c r="DA17" s="541">
        <v>22000</v>
      </c>
      <c r="DB17" s="541">
        <f>DA17</f>
        <v>22000</v>
      </c>
      <c r="DC17" s="541">
        <f t="shared" si="54"/>
        <v>2200</v>
      </c>
      <c r="DD17" s="541">
        <f>+DA17/CY17*100</f>
        <v>111.11111111111111</v>
      </c>
      <c r="DE17" s="541">
        <f t="shared" si="55"/>
        <v>-4200</v>
      </c>
      <c r="DF17" s="541">
        <f>+CY17/CU17*100</f>
        <v>82.5</v>
      </c>
      <c r="DG17" s="541">
        <v>25000</v>
      </c>
      <c r="DH17" s="541">
        <f>DG17</f>
        <v>25000</v>
      </c>
      <c r="DI17" s="541">
        <v>17069</v>
      </c>
      <c r="DJ17" s="541">
        <f>DI17</f>
        <v>17069</v>
      </c>
      <c r="DK17" s="541">
        <v>20500</v>
      </c>
      <c r="DL17" s="541">
        <f>+DK17</f>
        <v>20500</v>
      </c>
      <c r="DM17" s="541">
        <v>23000</v>
      </c>
      <c r="DN17" s="541">
        <f>DM17</f>
        <v>23000</v>
      </c>
      <c r="DO17" s="541">
        <f>+DM17-DK17</f>
        <v>2500</v>
      </c>
      <c r="DP17" s="541">
        <f>+DM17/DK17*100</f>
        <v>112.19512195121952</v>
      </c>
      <c r="DQ17" s="541">
        <f>+DK17-DG17</f>
        <v>-4500</v>
      </c>
      <c r="DR17" s="541">
        <f>+DK17/DG17*100</f>
        <v>82</v>
      </c>
      <c r="DS17" s="541">
        <v>27000</v>
      </c>
      <c r="DT17" s="541">
        <f>DS17</f>
        <v>27000</v>
      </c>
      <c r="DU17" s="541">
        <v>13404</v>
      </c>
      <c r="DV17" s="541">
        <f>DU17</f>
        <v>13404</v>
      </c>
      <c r="DW17" s="541">
        <v>19000</v>
      </c>
      <c r="DX17" s="541">
        <f>+DW17</f>
        <v>19000</v>
      </c>
      <c r="DY17" s="541">
        <v>21000</v>
      </c>
      <c r="DZ17" s="541">
        <f>DY17</f>
        <v>21000</v>
      </c>
      <c r="EA17" s="541">
        <f t="shared" si="60"/>
        <v>2000</v>
      </c>
      <c r="EB17" s="541">
        <f>+DY17/DW17*100</f>
        <v>110.5263157894737</v>
      </c>
      <c r="EC17" s="541">
        <f t="shared" si="61"/>
        <v>-8000</v>
      </c>
      <c r="ED17" s="541">
        <f>+DW17/DS17*100</f>
        <v>70.370370370370367</v>
      </c>
      <c r="EE17" s="541">
        <v>45000</v>
      </c>
      <c r="EF17" s="541">
        <f>EE17</f>
        <v>45000</v>
      </c>
      <c r="EG17" s="541">
        <v>23367</v>
      </c>
      <c r="EH17" s="541">
        <f>EG17</f>
        <v>23367</v>
      </c>
      <c r="EI17" s="541">
        <v>33000</v>
      </c>
      <c r="EJ17" s="541">
        <f>+EI17</f>
        <v>33000</v>
      </c>
      <c r="EK17" s="541">
        <v>36500</v>
      </c>
      <c r="EL17" s="541">
        <f>EK17</f>
        <v>36500</v>
      </c>
      <c r="EM17" s="541">
        <f>+EK17-EI17</f>
        <v>3500</v>
      </c>
      <c r="EN17" s="541">
        <f>+EK17/EI17*100</f>
        <v>110.60606060606059</v>
      </c>
      <c r="EO17" s="541">
        <f>+EI17-EE17</f>
        <v>-12000</v>
      </c>
      <c r="EP17" s="541">
        <f>+EI17/EE17*100</f>
        <v>73.333333333333329</v>
      </c>
      <c r="EQ17" s="541">
        <v>23500</v>
      </c>
      <c r="ER17" s="541">
        <f>EQ17</f>
        <v>23500</v>
      </c>
      <c r="ES17" s="541">
        <v>12603</v>
      </c>
      <c r="ET17" s="541">
        <f>ES17</f>
        <v>12603</v>
      </c>
      <c r="EU17" s="541">
        <v>17000</v>
      </c>
      <c r="EV17" s="541">
        <f>+EU17</f>
        <v>17000</v>
      </c>
      <c r="EW17" s="541">
        <v>19000</v>
      </c>
      <c r="EX17" s="541">
        <f>EW17</f>
        <v>19000</v>
      </c>
      <c r="EY17" s="541">
        <f t="shared" si="66"/>
        <v>2000</v>
      </c>
      <c r="EZ17" s="541">
        <f>+EW17/EU17*100</f>
        <v>111.76470588235294</v>
      </c>
      <c r="FA17" s="541">
        <f t="shared" si="67"/>
        <v>-6500</v>
      </c>
      <c r="FB17" s="541">
        <f>+EU17/EQ17*100</f>
        <v>72.340425531914903</v>
      </c>
      <c r="FC17" s="829">
        <f>E17/C17</f>
        <v>0.5691101449275362</v>
      </c>
      <c r="FD17" s="829">
        <f>F17/D17</f>
        <v>0.5691101449275362</v>
      </c>
      <c r="FE17" s="835">
        <f t="shared" si="71"/>
        <v>-148657</v>
      </c>
      <c r="FF17" s="835">
        <f t="shared" si="71"/>
        <v>-148657</v>
      </c>
    </row>
    <row r="18" spans="1:162" s="154" customFormat="1" x14ac:dyDescent="0.25">
      <c r="A18" s="152">
        <v>4</v>
      </c>
      <c r="B18" s="216" t="s">
        <v>44</v>
      </c>
      <c r="C18" s="541">
        <f t="shared" si="68"/>
        <v>0</v>
      </c>
      <c r="D18" s="541">
        <f t="shared" si="68"/>
        <v>0</v>
      </c>
      <c r="E18" s="541">
        <f t="shared" si="68"/>
        <v>633.05682000000002</v>
      </c>
      <c r="F18" s="541">
        <f t="shared" si="68"/>
        <v>633.05682000000002</v>
      </c>
      <c r="G18" s="541">
        <f t="shared" si="68"/>
        <v>800</v>
      </c>
      <c r="H18" s="541">
        <f t="shared" si="69"/>
        <v>800</v>
      </c>
      <c r="I18" s="541">
        <f t="shared" si="69"/>
        <v>0</v>
      </c>
      <c r="J18" s="541">
        <f t="shared" si="69"/>
        <v>0</v>
      </c>
      <c r="K18" s="541">
        <f t="shared" si="30"/>
        <v>-800</v>
      </c>
      <c r="L18" s="541"/>
      <c r="M18" s="541">
        <f t="shared" si="31"/>
        <v>800</v>
      </c>
      <c r="N18" s="541"/>
      <c r="O18" s="541">
        <v>0</v>
      </c>
      <c r="P18" s="541">
        <f>O18</f>
        <v>0</v>
      </c>
      <c r="Q18" s="541">
        <v>0</v>
      </c>
      <c r="R18" s="541">
        <f>Q18</f>
        <v>0</v>
      </c>
      <c r="S18" s="541"/>
      <c r="T18" s="541">
        <f>+S18</f>
        <v>0</v>
      </c>
      <c r="U18" s="541">
        <v>0</v>
      </c>
      <c r="V18" s="541">
        <f>U18</f>
        <v>0</v>
      </c>
      <c r="W18" s="541">
        <f>+U18-S18</f>
        <v>0</v>
      </c>
      <c r="X18" s="541"/>
      <c r="Y18" s="541">
        <f>+S18-O18</f>
        <v>0</v>
      </c>
      <c r="Z18" s="541"/>
      <c r="AA18" s="541">
        <v>0</v>
      </c>
      <c r="AB18" s="541">
        <f>AA18</f>
        <v>0</v>
      </c>
      <c r="AC18" s="541">
        <v>0</v>
      </c>
      <c r="AD18" s="541">
        <f>AC18</f>
        <v>0</v>
      </c>
      <c r="AE18" s="541"/>
      <c r="AF18" s="541">
        <f>+AE18</f>
        <v>0</v>
      </c>
      <c r="AG18" s="541">
        <v>0</v>
      </c>
      <c r="AH18" s="541">
        <f>AG18</f>
        <v>0</v>
      </c>
      <c r="AI18" s="541">
        <f t="shared" si="36"/>
        <v>0</v>
      </c>
      <c r="AJ18" s="541"/>
      <c r="AK18" s="541">
        <f t="shared" si="70"/>
        <v>0</v>
      </c>
      <c r="AL18" s="541"/>
      <c r="AM18" s="541">
        <v>0</v>
      </c>
      <c r="AN18" s="541">
        <f>AM18</f>
        <v>0</v>
      </c>
      <c r="AO18" s="541">
        <v>0</v>
      </c>
      <c r="AP18" s="541">
        <f>AO18</f>
        <v>0</v>
      </c>
      <c r="AQ18" s="541"/>
      <c r="AR18" s="541">
        <f>+AQ18</f>
        <v>0</v>
      </c>
      <c r="AS18" s="541">
        <v>0</v>
      </c>
      <c r="AT18" s="541">
        <f>AS18</f>
        <v>0</v>
      </c>
      <c r="AU18" s="541">
        <f t="shared" si="39"/>
        <v>0</v>
      </c>
      <c r="AV18" s="541"/>
      <c r="AW18" s="541">
        <f t="shared" si="40"/>
        <v>0</v>
      </c>
      <c r="AX18" s="541"/>
      <c r="AY18" s="541">
        <v>0</v>
      </c>
      <c r="AZ18" s="541">
        <f>AY18</f>
        <v>0</v>
      </c>
      <c r="BA18" s="541">
        <v>0</v>
      </c>
      <c r="BB18" s="541">
        <f>BA18</f>
        <v>0</v>
      </c>
      <c r="BC18" s="541"/>
      <c r="BD18" s="541">
        <f>+BC18</f>
        <v>0</v>
      </c>
      <c r="BE18" s="541">
        <v>0</v>
      </c>
      <c r="BF18" s="541">
        <f>BE18</f>
        <v>0</v>
      </c>
      <c r="BG18" s="541">
        <f>+BE18-BC18</f>
        <v>0</v>
      </c>
      <c r="BH18" s="541"/>
      <c r="BI18" s="541">
        <f>+BC18-AY18</f>
        <v>0</v>
      </c>
      <c r="BJ18" s="541"/>
      <c r="BK18" s="541">
        <v>0</v>
      </c>
      <c r="BL18" s="541">
        <f>BK18</f>
        <v>0</v>
      </c>
      <c r="BM18" s="541">
        <v>0</v>
      </c>
      <c r="BN18" s="541">
        <f>BM18</f>
        <v>0</v>
      </c>
      <c r="BO18" s="541"/>
      <c r="BP18" s="541">
        <f>+BO18</f>
        <v>0</v>
      </c>
      <c r="BQ18" s="541">
        <v>0</v>
      </c>
      <c r="BR18" s="541">
        <f>BQ18</f>
        <v>0</v>
      </c>
      <c r="BS18" s="541">
        <f t="shared" si="45"/>
        <v>0</v>
      </c>
      <c r="BT18" s="541"/>
      <c r="BU18" s="541">
        <f t="shared" si="46"/>
        <v>0</v>
      </c>
      <c r="BV18" s="541"/>
      <c r="BW18" s="541">
        <v>0</v>
      </c>
      <c r="BX18" s="541">
        <f>BW18</f>
        <v>0</v>
      </c>
      <c r="BY18" s="541">
        <v>0</v>
      </c>
      <c r="BZ18" s="541">
        <f>BY18</f>
        <v>0</v>
      </c>
      <c r="CA18" s="541"/>
      <c r="CB18" s="541">
        <f>+CA18</f>
        <v>0</v>
      </c>
      <c r="CC18" s="541">
        <v>0</v>
      </c>
      <c r="CD18" s="541">
        <f>CC18</f>
        <v>0</v>
      </c>
      <c r="CE18" s="541">
        <f t="shared" si="48"/>
        <v>0</v>
      </c>
      <c r="CF18" s="541"/>
      <c r="CG18" s="541">
        <f t="shared" si="49"/>
        <v>0</v>
      </c>
      <c r="CH18" s="541"/>
      <c r="CI18" s="541">
        <v>0</v>
      </c>
      <c r="CJ18" s="541">
        <f>CI18</f>
        <v>0</v>
      </c>
      <c r="CK18" s="541">
        <v>624</v>
      </c>
      <c r="CL18" s="541">
        <f>CK18</f>
        <v>624</v>
      </c>
      <c r="CM18" s="541">
        <v>794</v>
      </c>
      <c r="CN18" s="541">
        <f>+CM18</f>
        <v>794</v>
      </c>
      <c r="CO18" s="541">
        <v>0</v>
      </c>
      <c r="CP18" s="541">
        <f>CO18</f>
        <v>0</v>
      </c>
      <c r="CQ18" s="541">
        <f t="shared" si="72"/>
        <v>-794</v>
      </c>
      <c r="CR18" s="541"/>
      <c r="CS18" s="541">
        <f>+CM18-CI18</f>
        <v>794</v>
      </c>
      <c r="CT18" s="541"/>
      <c r="CU18" s="541">
        <v>0</v>
      </c>
      <c r="CV18" s="541">
        <f>CU18</f>
        <v>0</v>
      </c>
      <c r="CW18" s="541">
        <f>56820/1000000</f>
        <v>5.6820000000000002E-2</v>
      </c>
      <c r="CX18" s="541">
        <f>CW18</f>
        <v>5.6820000000000002E-2</v>
      </c>
      <c r="CY18" s="541"/>
      <c r="CZ18" s="541">
        <f>+CY18</f>
        <v>0</v>
      </c>
      <c r="DA18" s="541">
        <v>0</v>
      </c>
      <c r="DB18" s="541">
        <f>DA18</f>
        <v>0</v>
      </c>
      <c r="DC18" s="541">
        <f t="shared" si="54"/>
        <v>0</v>
      </c>
      <c r="DD18" s="541"/>
      <c r="DE18" s="541">
        <f t="shared" si="55"/>
        <v>0</v>
      </c>
      <c r="DF18" s="541"/>
      <c r="DG18" s="541">
        <v>0</v>
      </c>
      <c r="DH18" s="541">
        <f>DG18</f>
        <v>0</v>
      </c>
      <c r="DI18" s="541">
        <v>9</v>
      </c>
      <c r="DJ18" s="541">
        <f>DI18</f>
        <v>9</v>
      </c>
      <c r="DK18" s="541">
        <v>6</v>
      </c>
      <c r="DL18" s="541">
        <f>+DK18</f>
        <v>6</v>
      </c>
      <c r="DM18" s="541">
        <v>0</v>
      </c>
      <c r="DN18" s="541">
        <f>DM18</f>
        <v>0</v>
      </c>
      <c r="DO18" s="541">
        <f>+DM18-DK18</f>
        <v>-6</v>
      </c>
      <c r="DP18" s="541"/>
      <c r="DQ18" s="541">
        <f>+DK18-DG18</f>
        <v>6</v>
      </c>
      <c r="DR18" s="541"/>
      <c r="DS18" s="541">
        <v>0</v>
      </c>
      <c r="DT18" s="541">
        <f>DS18</f>
        <v>0</v>
      </c>
      <c r="DU18" s="541">
        <v>0</v>
      </c>
      <c r="DV18" s="541">
        <f>DU18</f>
        <v>0</v>
      </c>
      <c r="DW18" s="541"/>
      <c r="DX18" s="541">
        <f>+DW18</f>
        <v>0</v>
      </c>
      <c r="DY18" s="541">
        <v>0</v>
      </c>
      <c r="DZ18" s="541">
        <f>DY18</f>
        <v>0</v>
      </c>
      <c r="EA18" s="541">
        <f t="shared" si="60"/>
        <v>0</v>
      </c>
      <c r="EB18" s="541"/>
      <c r="EC18" s="541">
        <f t="shared" si="61"/>
        <v>0</v>
      </c>
      <c r="ED18" s="541"/>
      <c r="EE18" s="541">
        <v>0</v>
      </c>
      <c r="EF18" s="541">
        <f>EE18</f>
        <v>0</v>
      </c>
      <c r="EG18" s="541">
        <v>0</v>
      </c>
      <c r="EH18" s="541">
        <f>EG18</f>
        <v>0</v>
      </c>
      <c r="EI18" s="541"/>
      <c r="EJ18" s="541">
        <f>+EI18</f>
        <v>0</v>
      </c>
      <c r="EK18" s="541">
        <v>0</v>
      </c>
      <c r="EL18" s="541">
        <f>EK18</f>
        <v>0</v>
      </c>
      <c r="EM18" s="541">
        <f>+EK18-EI18</f>
        <v>0</v>
      </c>
      <c r="EN18" s="541"/>
      <c r="EO18" s="541">
        <f>+EI18-EE18</f>
        <v>0</v>
      </c>
      <c r="EP18" s="541"/>
      <c r="EQ18" s="541">
        <v>0</v>
      </c>
      <c r="ER18" s="541">
        <f>EQ18</f>
        <v>0</v>
      </c>
      <c r="ES18" s="541">
        <v>0</v>
      </c>
      <c r="ET18" s="541">
        <f>ES18</f>
        <v>0</v>
      </c>
      <c r="EU18" s="541"/>
      <c r="EV18" s="541">
        <f>+EU18</f>
        <v>0</v>
      </c>
      <c r="EW18" s="541">
        <v>0</v>
      </c>
      <c r="EX18" s="541">
        <f>EW18</f>
        <v>0</v>
      </c>
      <c r="EY18" s="541">
        <f t="shared" si="66"/>
        <v>0</v>
      </c>
      <c r="EZ18" s="541"/>
      <c r="FA18" s="541">
        <f t="shared" si="67"/>
        <v>0</v>
      </c>
      <c r="FB18" s="541"/>
      <c r="FC18" s="829"/>
      <c r="FD18" s="829"/>
      <c r="FE18" s="835">
        <f t="shared" si="71"/>
        <v>633.05682000000002</v>
      </c>
      <c r="FF18" s="835">
        <f t="shared" si="71"/>
        <v>633.05682000000002</v>
      </c>
    </row>
    <row r="19" spans="1:162" s="154" customFormat="1" x14ac:dyDescent="0.25">
      <c r="A19" s="152">
        <v>5</v>
      </c>
      <c r="B19" s="216" t="s">
        <v>277</v>
      </c>
      <c r="C19" s="541">
        <f t="shared" si="68"/>
        <v>8000</v>
      </c>
      <c r="D19" s="541">
        <f t="shared" si="68"/>
        <v>8000</v>
      </c>
      <c r="E19" s="541">
        <f t="shared" si="68"/>
        <v>9032</v>
      </c>
      <c r="F19" s="541">
        <f t="shared" si="68"/>
        <v>9032</v>
      </c>
      <c r="G19" s="541">
        <f t="shared" si="68"/>
        <v>8780</v>
      </c>
      <c r="H19" s="541">
        <f t="shared" si="69"/>
        <v>8780</v>
      </c>
      <c r="I19" s="541">
        <f t="shared" si="69"/>
        <v>8000</v>
      </c>
      <c r="J19" s="541">
        <f t="shared" si="69"/>
        <v>8000</v>
      </c>
      <c r="K19" s="541">
        <f t="shared" si="30"/>
        <v>-780</v>
      </c>
      <c r="L19" s="541">
        <f>+I19/G19*100</f>
        <v>91.116173120728931</v>
      </c>
      <c r="M19" s="541">
        <f t="shared" si="31"/>
        <v>780</v>
      </c>
      <c r="N19" s="541">
        <f>+G19/C19*100</f>
        <v>109.74999999999999</v>
      </c>
      <c r="O19" s="541">
        <v>0</v>
      </c>
      <c r="P19" s="541">
        <f>O19</f>
        <v>0</v>
      </c>
      <c r="Q19" s="541">
        <v>10</v>
      </c>
      <c r="R19" s="541">
        <f>Q19</f>
        <v>10</v>
      </c>
      <c r="S19" s="541">
        <v>10</v>
      </c>
      <c r="T19" s="541">
        <f>S19</f>
        <v>10</v>
      </c>
      <c r="U19" s="541">
        <v>0</v>
      </c>
      <c r="V19" s="541">
        <f>U19</f>
        <v>0</v>
      </c>
      <c r="W19" s="541">
        <f>+U19-S19</f>
        <v>-10</v>
      </c>
      <c r="X19" s="541"/>
      <c r="Y19" s="541">
        <f>+S19-O19</f>
        <v>10</v>
      </c>
      <c r="Z19" s="541">
        <v>160</v>
      </c>
      <c r="AA19" s="541">
        <v>150</v>
      </c>
      <c r="AB19" s="541">
        <f>AA19</f>
        <v>150</v>
      </c>
      <c r="AC19" s="541">
        <v>164</v>
      </c>
      <c r="AD19" s="541">
        <f>AC19</f>
        <v>164</v>
      </c>
      <c r="AE19" s="541">
        <v>150</v>
      </c>
      <c r="AF19" s="541">
        <f>AE19</f>
        <v>150</v>
      </c>
      <c r="AG19" s="541">
        <v>150</v>
      </c>
      <c r="AH19" s="541">
        <f>AG19</f>
        <v>150</v>
      </c>
      <c r="AI19" s="541">
        <f t="shared" si="36"/>
        <v>0</v>
      </c>
      <c r="AJ19" s="541">
        <f>+AG19/AE19*100</f>
        <v>100</v>
      </c>
      <c r="AK19" s="541">
        <f t="shared" si="70"/>
        <v>0</v>
      </c>
      <c r="AL19" s="541">
        <v>160</v>
      </c>
      <c r="AM19" s="541">
        <v>50</v>
      </c>
      <c r="AN19" s="541">
        <f>AM19</f>
        <v>50</v>
      </c>
      <c r="AO19" s="541">
        <v>110</v>
      </c>
      <c r="AP19" s="541">
        <f>AO19</f>
        <v>110</v>
      </c>
      <c r="AQ19" s="541">
        <v>100</v>
      </c>
      <c r="AR19" s="541">
        <f>AQ19</f>
        <v>100</v>
      </c>
      <c r="AS19" s="541">
        <v>50</v>
      </c>
      <c r="AT19" s="541">
        <f>AS19</f>
        <v>50</v>
      </c>
      <c r="AU19" s="541">
        <f t="shared" si="39"/>
        <v>-50</v>
      </c>
      <c r="AV19" s="541">
        <f>+AS19/AQ19*100</f>
        <v>50</v>
      </c>
      <c r="AW19" s="541">
        <f t="shared" si="40"/>
        <v>50</v>
      </c>
      <c r="AX19" s="541">
        <v>160</v>
      </c>
      <c r="AY19" s="541">
        <v>100</v>
      </c>
      <c r="AZ19" s="541">
        <f>AY19</f>
        <v>100</v>
      </c>
      <c r="BA19" s="541">
        <v>91</v>
      </c>
      <c r="BB19" s="541">
        <f>BA19</f>
        <v>91</v>
      </c>
      <c r="BC19" s="541">
        <v>100</v>
      </c>
      <c r="BD19" s="541">
        <f>BC19</f>
        <v>100</v>
      </c>
      <c r="BE19" s="541">
        <v>100</v>
      </c>
      <c r="BF19" s="541">
        <f>BE19</f>
        <v>100</v>
      </c>
      <c r="BG19" s="541">
        <f>+BE19-BC19</f>
        <v>0</v>
      </c>
      <c r="BH19" s="541">
        <f>+BE19/BC19*100</f>
        <v>100</v>
      </c>
      <c r="BI19" s="541">
        <f>+BC19-AY19</f>
        <v>0</v>
      </c>
      <c r="BJ19" s="541">
        <v>160</v>
      </c>
      <c r="BK19" s="541">
        <v>500</v>
      </c>
      <c r="BL19" s="541">
        <f>BK19</f>
        <v>500</v>
      </c>
      <c r="BM19" s="541">
        <v>496</v>
      </c>
      <c r="BN19" s="541">
        <f>BM19</f>
        <v>496</v>
      </c>
      <c r="BO19" s="541">
        <v>500</v>
      </c>
      <c r="BP19" s="541">
        <f>BO19</f>
        <v>500</v>
      </c>
      <c r="BQ19" s="541">
        <v>500</v>
      </c>
      <c r="BR19" s="541">
        <f>BQ19</f>
        <v>500</v>
      </c>
      <c r="BS19" s="541">
        <f t="shared" si="45"/>
        <v>0</v>
      </c>
      <c r="BT19" s="541">
        <f>+BQ19/BO19*100</f>
        <v>100</v>
      </c>
      <c r="BU19" s="541">
        <f t="shared" si="46"/>
        <v>0</v>
      </c>
      <c r="BV19" s="541">
        <v>160</v>
      </c>
      <c r="BW19" s="541">
        <v>2400</v>
      </c>
      <c r="BX19" s="541">
        <f>BW19</f>
        <v>2400</v>
      </c>
      <c r="BY19" s="541">
        <v>2559</v>
      </c>
      <c r="BZ19" s="541">
        <f>BY19</f>
        <v>2559</v>
      </c>
      <c r="CA19" s="541">
        <v>2400</v>
      </c>
      <c r="CB19" s="541">
        <f>CA19</f>
        <v>2400</v>
      </c>
      <c r="CC19" s="541">
        <v>2400</v>
      </c>
      <c r="CD19" s="541">
        <f>CC19</f>
        <v>2400</v>
      </c>
      <c r="CE19" s="541">
        <f t="shared" si="48"/>
        <v>0</v>
      </c>
      <c r="CF19" s="541">
        <f>+CC19/CA19*100</f>
        <v>100</v>
      </c>
      <c r="CG19" s="541">
        <f t="shared" si="49"/>
        <v>0</v>
      </c>
      <c r="CH19" s="541">
        <v>160</v>
      </c>
      <c r="CI19" s="541">
        <v>750</v>
      </c>
      <c r="CJ19" s="541">
        <f>CI19</f>
        <v>750</v>
      </c>
      <c r="CK19" s="541">
        <v>867</v>
      </c>
      <c r="CL19" s="541">
        <f>CK19</f>
        <v>867</v>
      </c>
      <c r="CM19" s="541">
        <v>900</v>
      </c>
      <c r="CN19" s="541">
        <f>CM19</f>
        <v>900</v>
      </c>
      <c r="CO19" s="541">
        <v>750</v>
      </c>
      <c r="CP19" s="541">
        <f>CO19</f>
        <v>750</v>
      </c>
      <c r="CQ19" s="541">
        <f t="shared" si="72"/>
        <v>-150</v>
      </c>
      <c r="CR19" s="541">
        <f>+CO19/CM19*100</f>
        <v>83.333333333333343</v>
      </c>
      <c r="CS19" s="541">
        <f>+CM19-CI19</f>
        <v>150</v>
      </c>
      <c r="CT19" s="541">
        <v>160</v>
      </c>
      <c r="CU19" s="541">
        <v>600</v>
      </c>
      <c r="CV19" s="541">
        <f>CU19</f>
        <v>600</v>
      </c>
      <c r="CW19" s="541">
        <v>789</v>
      </c>
      <c r="CX19" s="541">
        <f>CW19</f>
        <v>789</v>
      </c>
      <c r="CY19" s="541">
        <v>600</v>
      </c>
      <c r="CZ19" s="541">
        <f>CY19</f>
        <v>600</v>
      </c>
      <c r="DA19" s="541">
        <v>600</v>
      </c>
      <c r="DB19" s="541">
        <f>DA19</f>
        <v>600</v>
      </c>
      <c r="DC19" s="541">
        <f t="shared" si="54"/>
        <v>0</v>
      </c>
      <c r="DD19" s="541">
        <f>+DA19/CY19*100</f>
        <v>100</v>
      </c>
      <c r="DE19" s="541">
        <f t="shared" si="55"/>
        <v>0</v>
      </c>
      <c r="DF19" s="541">
        <v>160</v>
      </c>
      <c r="DG19" s="541">
        <v>500</v>
      </c>
      <c r="DH19" s="541">
        <f>DG19</f>
        <v>500</v>
      </c>
      <c r="DI19" s="541">
        <v>690</v>
      </c>
      <c r="DJ19" s="541">
        <f>DI19</f>
        <v>690</v>
      </c>
      <c r="DK19" s="541">
        <v>670</v>
      </c>
      <c r="DL19" s="541">
        <f>DK19</f>
        <v>670</v>
      </c>
      <c r="DM19" s="541">
        <v>500</v>
      </c>
      <c r="DN19" s="541">
        <f>DM19</f>
        <v>500</v>
      </c>
      <c r="DO19" s="541">
        <f>+DM19-DK19</f>
        <v>-170</v>
      </c>
      <c r="DP19" s="541">
        <f>+DM19/DK19*100</f>
        <v>74.626865671641795</v>
      </c>
      <c r="DQ19" s="541">
        <f>+DK19-DG19</f>
        <v>170</v>
      </c>
      <c r="DR19" s="541">
        <v>160</v>
      </c>
      <c r="DS19" s="541">
        <v>600</v>
      </c>
      <c r="DT19" s="541">
        <f>DS19</f>
        <v>600</v>
      </c>
      <c r="DU19" s="541">
        <v>833</v>
      </c>
      <c r="DV19" s="541">
        <f>DU19</f>
        <v>833</v>
      </c>
      <c r="DW19" s="541">
        <v>750</v>
      </c>
      <c r="DX19" s="541">
        <f>DW19</f>
        <v>750</v>
      </c>
      <c r="DY19" s="541">
        <v>600</v>
      </c>
      <c r="DZ19" s="541">
        <f>DY19</f>
        <v>600</v>
      </c>
      <c r="EA19" s="541">
        <f t="shared" si="60"/>
        <v>-150</v>
      </c>
      <c r="EB19" s="541">
        <f>+DY19/DW19*100</f>
        <v>80</v>
      </c>
      <c r="EC19" s="541">
        <f t="shared" si="61"/>
        <v>150</v>
      </c>
      <c r="ED19" s="541">
        <v>160</v>
      </c>
      <c r="EE19" s="541">
        <v>2000</v>
      </c>
      <c r="EF19" s="541">
        <f>EE19</f>
        <v>2000</v>
      </c>
      <c r="EG19" s="541">
        <v>2012</v>
      </c>
      <c r="EH19" s="541">
        <f>EG19</f>
        <v>2012</v>
      </c>
      <c r="EI19" s="541">
        <v>2200</v>
      </c>
      <c r="EJ19" s="541">
        <f>EI19</f>
        <v>2200</v>
      </c>
      <c r="EK19" s="541">
        <v>2000</v>
      </c>
      <c r="EL19" s="541">
        <f>EK19</f>
        <v>2000</v>
      </c>
      <c r="EM19" s="541">
        <f>+EK19-EI19</f>
        <v>-200</v>
      </c>
      <c r="EN19" s="541">
        <f>+EK19/EI19*100</f>
        <v>90.909090909090907</v>
      </c>
      <c r="EO19" s="541">
        <f>+EI19-EE19</f>
        <v>200</v>
      </c>
      <c r="EP19" s="541">
        <v>160</v>
      </c>
      <c r="EQ19" s="541">
        <v>350</v>
      </c>
      <c r="ER19" s="541">
        <f>EQ19</f>
        <v>350</v>
      </c>
      <c r="ES19" s="541">
        <v>411</v>
      </c>
      <c r="ET19" s="541">
        <f>ES19</f>
        <v>411</v>
      </c>
      <c r="EU19" s="541">
        <v>400</v>
      </c>
      <c r="EV19" s="541">
        <f>EU19</f>
        <v>400</v>
      </c>
      <c r="EW19" s="541">
        <v>350</v>
      </c>
      <c r="EX19" s="541">
        <f>EW19</f>
        <v>350</v>
      </c>
      <c r="EY19" s="541">
        <f t="shared" si="66"/>
        <v>-50</v>
      </c>
      <c r="EZ19" s="541">
        <f>+EW19/EU19*100</f>
        <v>87.5</v>
      </c>
      <c r="FA19" s="541">
        <f t="shared" si="67"/>
        <v>50</v>
      </c>
      <c r="FB19" s="541">
        <v>160</v>
      </c>
      <c r="FC19" s="829">
        <f>E19/C19</f>
        <v>1.129</v>
      </c>
      <c r="FD19" s="829">
        <f>F19/D19</f>
        <v>1.129</v>
      </c>
      <c r="FE19" s="835">
        <f t="shared" si="71"/>
        <v>1032</v>
      </c>
      <c r="FF19" s="835">
        <f t="shared" si="71"/>
        <v>1032</v>
      </c>
    </row>
    <row r="20" spans="1:162" s="154" customFormat="1" x14ac:dyDescent="0.25">
      <c r="A20" s="152">
        <v>6</v>
      </c>
      <c r="B20" s="216" t="s">
        <v>1538</v>
      </c>
      <c r="C20" s="541">
        <f t="shared" si="68"/>
        <v>101500</v>
      </c>
      <c r="D20" s="541">
        <f t="shared" si="68"/>
        <v>68500</v>
      </c>
      <c r="E20" s="541">
        <f t="shared" si="68"/>
        <v>85862</v>
      </c>
      <c r="F20" s="541">
        <f t="shared" si="68"/>
        <v>61357</v>
      </c>
      <c r="G20" s="541">
        <f t="shared" si="68"/>
        <v>101457.5</v>
      </c>
      <c r="H20" s="541">
        <f t="shared" si="69"/>
        <v>64700</v>
      </c>
      <c r="I20" s="541">
        <f t="shared" si="69"/>
        <v>88800</v>
      </c>
      <c r="J20" s="541">
        <f t="shared" si="69"/>
        <v>64500</v>
      </c>
      <c r="K20" s="541">
        <f t="shared" si="30"/>
        <v>-12657.5</v>
      </c>
      <c r="L20" s="541">
        <f>+I20/G20*100</f>
        <v>87.52433284872977</v>
      </c>
      <c r="M20" s="541">
        <f t="shared" si="31"/>
        <v>-42.5</v>
      </c>
      <c r="N20" s="541">
        <f>+G20/C20*100</f>
        <v>99.958128078817737</v>
      </c>
      <c r="O20" s="541">
        <f>SUM(O21:O23)</f>
        <v>3000</v>
      </c>
      <c r="P20" s="541">
        <f>SUM(P21:P23)</f>
        <v>3000</v>
      </c>
      <c r="Q20" s="541">
        <f t="shared" ref="Q20:V20" si="73">SUM(Q21:Q23)</f>
        <v>2640</v>
      </c>
      <c r="R20" s="541">
        <f t="shared" si="73"/>
        <v>1419</v>
      </c>
      <c r="S20" s="541">
        <f t="shared" si="73"/>
        <v>3831.5</v>
      </c>
      <c r="T20" s="541">
        <f t="shared" si="73"/>
        <v>2000</v>
      </c>
      <c r="U20" s="541">
        <f>SUM(U21:U23)</f>
        <v>2500</v>
      </c>
      <c r="V20" s="541">
        <f t="shared" si="73"/>
        <v>1500</v>
      </c>
      <c r="W20" s="541">
        <f>+U20-S20</f>
        <v>-1331.5</v>
      </c>
      <c r="X20" s="541">
        <f>+U20/S20*100</f>
        <v>65.248597155161164</v>
      </c>
      <c r="Y20" s="541">
        <f>+S20-O20</f>
        <v>831.5</v>
      </c>
      <c r="Z20" s="541">
        <f>+S20/O20*100</f>
        <v>127.71666666666665</v>
      </c>
      <c r="AA20" s="541">
        <f>SUM(AA21:AA23)</f>
        <v>6000</v>
      </c>
      <c r="AB20" s="541">
        <f>SUM(AB21:AB23)</f>
        <v>3000</v>
      </c>
      <c r="AC20" s="541">
        <f t="shared" ref="AC20:AH20" si="74">SUM(AC21:AC23)</f>
        <v>5327</v>
      </c>
      <c r="AD20" s="541">
        <f t="shared" si="74"/>
        <v>2803</v>
      </c>
      <c r="AE20" s="541">
        <f t="shared" si="74"/>
        <v>6786</v>
      </c>
      <c r="AF20" s="541">
        <f t="shared" si="74"/>
        <v>3000</v>
      </c>
      <c r="AG20" s="541">
        <f t="shared" si="74"/>
        <v>5000</v>
      </c>
      <c r="AH20" s="541">
        <f t="shared" si="74"/>
        <v>3000</v>
      </c>
      <c r="AI20" s="541">
        <f t="shared" si="36"/>
        <v>-1786</v>
      </c>
      <c r="AJ20" s="541">
        <f>+AG20/AE20*100</f>
        <v>73.681108163866782</v>
      </c>
      <c r="AK20" s="541">
        <f t="shared" si="70"/>
        <v>786</v>
      </c>
      <c r="AL20" s="541">
        <f>+AE20/AA20*100</f>
        <v>113.1</v>
      </c>
      <c r="AM20" s="541">
        <f>SUM(AM21:AM23)</f>
        <v>3500</v>
      </c>
      <c r="AN20" s="541">
        <f>SUM(AN21:AN23)</f>
        <v>2000</v>
      </c>
      <c r="AO20" s="541">
        <f t="shared" ref="AO20:AT20" si="75">SUM(AO21:AO23)</f>
        <v>2480</v>
      </c>
      <c r="AP20" s="541">
        <f t="shared" si="75"/>
        <v>1500</v>
      </c>
      <c r="AQ20" s="541">
        <f t="shared" si="75"/>
        <v>3470</v>
      </c>
      <c r="AR20" s="541">
        <f t="shared" si="75"/>
        <v>2000</v>
      </c>
      <c r="AS20" s="541">
        <f t="shared" si="75"/>
        <v>3200</v>
      </c>
      <c r="AT20" s="541">
        <f t="shared" si="75"/>
        <v>2000</v>
      </c>
      <c r="AU20" s="541">
        <f t="shared" si="39"/>
        <v>-270</v>
      </c>
      <c r="AV20" s="541">
        <f>+AS20/AQ20*100</f>
        <v>92.21902017291066</v>
      </c>
      <c r="AW20" s="541">
        <f t="shared" si="40"/>
        <v>-30</v>
      </c>
      <c r="AX20" s="541">
        <f>+AQ20/AM20*100</f>
        <v>99.142857142857139</v>
      </c>
      <c r="AY20" s="541">
        <f>SUM(AY21:AY23)</f>
        <v>4000</v>
      </c>
      <c r="AZ20" s="541">
        <f>SUM(AZ21:AZ23)</f>
        <v>3000</v>
      </c>
      <c r="BA20" s="541">
        <f t="shared" ref="BA20:BF20" si="76">SUM(BA21:BA23)</f>
        <v>3671</v>
      </c>
      <c r="BB20" s="541">
        <f t="shared" si="76"/>
        <v>2307</v>
      </c>
      <c r="BC20" s="541">
        <f t="shared" si="76"/>
        <v>5046</v>
      </c>
      <c r="BD20" s="541">
        <f t="shared" si="76"/>
        <v>3000</v>
      </c>
      <c r="BE20" s="541">
        <f t="shared" si="76"/>
        <v>4200</v>
      </c>
      <c r="BF20" s="541">
        <f t="shared" si="76"/>
        <v>3000</v>
      </c>
      <c r="BG20" s="541">
        <f>+BE20-BC20</f>
        <v>-846</v>
      </c>
      <c r="BH20" s="541">
        <f>+BE20/BC20*100</f>
        <v>83.234244946492282</v>
      </c>
      <c r="BI20" s="541">
        <f>+BC20-AY20</f>
        <v>1046</v>
      </c>
      <c r="BJ20" s="541">
        <f>+BC20/AY20*100</f>
        <v>126.15</v>
      </c>
      <c r="BK20" s="541">
        <f>SUM(BK21:BK23)</f>
        <v>6500</v>
      </c>
      <c r="BL20" s="541">
        <f>SUM(BL21:BL23)</f>
        <v>3000</v>
      </c>
      <c r="BM20" s="541">
        <f t="shared" ref="BM20:BR20" si="77">SUM(BM21:BM23)</f>
        <v>4087</v>
      </c>
      <c r="BN20" s="541">
        <f t="shared" si="77"/>
        <v>3124</v>
      </c>
      <c r="BO20" s="541">
        <f t="shared" si="77"/>
        <v>4444.5</v>
      </c>
      <c r="BP20" s="541">
        <f t="shared" si="77"/>
        <v>3000</v>
      </c>
      <c r="BQ20" s="541">
        <f t="shared" si="77"/>
        <v>5600</v>
      </c>
      <c r="BR20" s="541">
        <f t="shared" si="77"/>
        <v>3000</v>
      </c>
      <c r="BS20" s="541">
        <f t="shared" si="45"/>
        <v>1155.5</v>
      </c>
      <c r="BT20" s="541">
        <f>+BQ20/BO20*100</f>
        <v>125.99842501968726</v>
      </c>
      <c r="BU20" s="541">
        <f t="shared" si="46"/>
        <v>-2055.5</v>
      </c>
      <c r="BV20" s="541">
        <f>+BO20/BK20*100</f>
        <v>68.376923076923077</v>
      </c>
      <c r="BW20" s="541">
        <f>SUM(BW21:BW23)</f>
        <v>17000</v>
      </c>
      <c r="BX20" s="541">
        <f>SUM(BX21:BX23)</f>
        <v>14000</v>
      </c>
      <c r="BY20" s="541">
        <f t="shared" ref="BY20:CD20" si="78">SUM(BY21:BY23)</f>
        <v>25770</v>
      </c>
      <c r="BZ20" s="541">
        <f t="shared" si="78"/>
        <v>20082</v>
      </c>
      <c r="CA20" s="541">
        <f t="shared" si="78"/>
        <v>22532</v>
      </c>
      <c r="CB20" s="541">
        <f t="shared" si="78"/>
        <v>14000</v>
      </c>
      <c r="CC20" s="541">
        <f t="shared" si="78"/>
        <v>15500</v>
      </c>
      <c r="CD20" s="541">
        <f t="shared" si="78"/>
        <v>14000</v>
      </c>
      <c r="CE20" s="541">
        <f t="shared" si="48"/>
        <v>-7032</v>
      </c>
      <c r="CF20" s="541">
        <f>+CC20/CA20*100</f>
        <v>68.791052725013316</v>
      </c>
      <c r="CG20" s="541">
        <f t="shared" si="49"/>
        <v>5532</v>
      </c>
      <c r="CH20" s="541">
        <f>+CA20/BW20*100</f>
        <v>132.54117647058823</v>
      </c>
      <c r="CI20" s="541">
        <f>SUM(CI21:CI23)</f>
        <v>10000</v>
      </c>
      <c r="CJ20" s="541">
        <f>SUM(CJ21:CJ23)</f>
        <v>7000</v>
      </c>
      <c r="CK20" s="541">
        <f t="shared" ref="CK20:CP20" si="79">SUM(CK21:CK23)</f>
        <v>8612</v>
      </c>
      <c r="CL20" s="541">
        <f t="shared" si="79"/>
        <v>6805</v>
      </c>
      <c r="CM20" s="541">
        <f t="shared" si="79"/>
        <v>9710.5</v>
      </c>
      <c r="CN20" s="541">
        <f t="shared" si="79"/>
        <v>7000</v>
      </c>
      <c r="CO20" s="541">
        <f t="shared" si="79"/>
        <v>9000</v>
      </c>
      <c r="CP20" s="541">
        <f t="shared" si="79"/>
        <v>7000</v>
      </c>
      <c r="CQ20" s="541">
        <f t="shared" si="72"/>
        <v>-710.5</v>
      </c>
      <c r="CR20" s="541">
        <f>+CO20/CM20*100</f>
        <v>92.683178003192424</v>
      </c>
      <c r="CS20" s="541">
        <f>+CM20-CI20</f>
        <v>-289.5</v>
      </c>
      <c r="CT20" s="541">
        <f>+CM20/CI20*100</f>
        <v>97.10499999999999</v>
      </c>
      <c r="CU20" s="541">
        <f>SUM(CU21:CU23)</f>
        <v>13000</v>
      </c>
      <c r="CV20" s="541">
        <f>SUM(CV21:CV23)</f>
        <v>9500</v>
      </c>
      <c r="CW20" s="541">
        <f t="shared" ref="CW20:DB20" si="80">SUM(CW21:CW23)</f>
        <v>7005</v>
      </c>
      <c r="CX20" s="541">
        <f t="shared" si="80"/>
        <v>5642</v>
      </c>
      <c r="CY20" s="541">
        <f t="shared" si="80"/>
        <v>9644.5</v>
      </c>
      <c r="CZ20" s="541">
        <f t="shared" si="80"/>
        <v>7600</v>
      </c>
      <c r="DA20" s="541">
        <f t="shared" si="80"/>
        <v>9500</v>
      </c>
      <c r="DB20" s="541">
        <f t="shared" si="80"/>
        <v>7700</v>
      </c>
      <c r="DC20" s="541">
        <f t="shared" si="54"/>
        <v>-144.5</v>
      </c>
      <c r="DD20" s="541">
        <f>+DA20/CY20*100</f>
        <v>98.501736741147809</v>
      </c>
      <c r="DE20" s="541">
        <f t="shared" si="55"/>
        <v>-3355.5</v>
      </c>
      <c r="DF20" s="541">
        <f>+CY20/CU20*100</f>
        <v>74.188461538461539</v>
      </c>
      <c r="DG20" s="541">
        <f>SUM(DG21:DG23)</f>
        <v>11000</v>
      </c>
      <c r="DH20" s="541">
        <f>SUM(DH21:DH23)</f>
        <v>7500</v>
      </c>
      <c r="DI20" s="541">
        <f t="shared" ref="DI20:DN20" si="81">SUM(DI21:DI23)</f>
        <v>8361</v>
      </c>
      <c r="DJ20" s="541">
        <f t="shared" si="81"/>
        <v>6791</v>
      </c>
      <c r="DK20" s="541">
        <f t="shared" si="81"/>
        <v>10155</v>
      </c>
      <c r="DL20" s="541">
        <f t="shared" si="81"/>
        <v>7800</v>
      </c>
      <c r="DM20" s="541">
        <f t="shared" si="81"/>
        <v>10000</v>
      </c>
      <c r="DN20" s="541">
        <f t="shared" si="81"/>
        <v>8000</v>
      </c>
      <c r="DO20" s="541">
        <f>+DM20-DK20</f>
        <v>-155</v>
      </c>
      <c r="DP20" s="541">
        <f>+DM20/DK20*100</f>
        <v>98.473658296405702</v>
      </c>
      <c r="DQ20" s="541">
        <f>+DK20-DG20</f>
        <v>-845</v>
      </c>
      <c r="DR20" s="541">
        <f>+DK20/DG20*100</f>
        <v>92.318181818181827</v>
      </c>
      <c r="DS20" s="541">
        <f>SUM(DS21:DS23)</f>
        <v>7500</v>
      </c>
      <c r="DT20" s="541">
        <f>SUM(DT21:DT23)</f>
        <v>4500</v>
      </c>
      <c r="DU20" s="541">
        <f t="shared" ref="DU20:DZ20" si="82">SUM(DU21:DU23)</f>
        <v>4110</v>
      </c>
      <c r="DV20" s="541">
        <f t="shared" si="82"/>
        <v>2342</v>
      </c>
      <c r="DW20" s="541">
        <f t="shared" si="82"/>
        <v>5952</v>
      </c>
      <c r="DX20" s="541">
        <f t="shared" si="82"/>
        <v>3300</v>
      </c>
      <c r="DY20" s="541">
        <f t="shared" si="82"/>
        <v>5500</v>
      </c>
      <c r="DZ20" s="541">
        <f t="shared" si="82"/>
        <v>3300</v>
      </c>
      <c r="EA20" s="541">
        <f t="shared" si="60"/>
        <v>-452</v>
      </c>
      <c r="EB20" s="541">
        <f>+DY20/DW20*100</f>
        <v>92.405913978494624</v>
      </c>
      <c r="EC20" s="541">
        <f t="shared" si="61"/>
        <v>-1548</v>
      </c>
      <c r="ED20" s="541">
        <f>+DW20/DS20*100</f>
        <v>79.36</v>
      </c>
      <c r="EE20" s="541">
        <f>SUM(EE21:EE23)</f>
        <v>14000</v>
      </c>
      <c r="EF20" s="541">
        <f>SUM(EF21:EF23)</f>
        <v>8000</v>
      </c>
      <c r="EG20" s="541">
        <f t="shared" ref="EG20:EL20" si="83">SUM(EG21:EG23)</f>
        <v>10074</v>
      </c>
      <c r="EH20" s="541">
        <f t="shared" si="83"/>
        <v>6065</v>
      </c>
      <c r="EI20" s="541">
        <f t="shared" si="83"/>
        <v>14013.5</v>
      </c>
      <c r="EJ20" s="541">
        <f t="shared" si="83"/>
        <v>8000</v>
      </c>
      <c r="EK20" s="541">
        <f>SUM(EK21:EK23)</f>
        <v>13200</v>
      </c>
      <c r="EL20" s="541">
        <f t="shared" si="83"/>
        <v>8000</v>
      </c>
      <c r="EM20" s="541">
        <f>+EK20-EI20</f>
        <v>-813.5</v>
      </c>
      <c r="EN20" s="541">
        <f>+EK20/EI20*100</f>
        <v>94.194883505191413</v>
      </c>
      <c r="EO20" s="541">
        <f>+EI20-EE20</f>
        <v>13.5</v>
      </c>
      <c r="EP20" s="541">
        <f>+EI20/EE20*100</f>
        <v>100.09642857142858</v>
      </c>
      <c r="EQ20" s="541">
        <f>SUM(EQ21:EQ23)</f>
        <v>6000</v>
      </c>
      <c r="ER20" s="541">
        <f>SUM(ER21:ER23)</f>
        <v>4000</v>
      </c>
      <c r="ES20" s="541">
        <f t="shared" ref="ES20:EX20" si="84">SUM(ES21:ES23)</f>
        <v>3725</v>
      </c>
      <c r="ET20" s="541">
        <f t="shared" si="84"/>
        <v>2477</v>
      </c>
      <c r="EU20" s="541">
        <f t="shared" si="84"/>
        <v>5872</v>
      </c>
      <c r="EV20" s="541">
        <f t="shared" si="84"/>
        <v>4000</v>
      </c>
      <c r="EW20" s="541">
        <f t="shared" si="84"/>
        <v>5600</v>
      </c>
      <c r="EX20" s="541">
        <f t="shared" si="84"/>
        <v>4000</v>
      </c>
      <c r="EY20" s="541">
        <f t="shared" si="66"/>
        <v>-272</v>
      </c>
      <c r="EZ20" s="541">
        <f>+EW20/EU20*100</f>
        <v>95.367847411444146</v>
      </c>
      <c r="FA20" s="541">
        <f t="shared" si="67"/>
        <v>-128</v>
      </c>
      <c r="FB20" s="541">
        <f>+EU20/EQ20*100</f>
        <v>97.866666666666674</v>
      </c>
      <c r="FC20" s="829">
        <f>E20/C20</f>
        <v>0.84593103448275864</v>
      </c>
      <c r="FD20" s="829">
        <f>F20/D20</f>
        <v>0.89572262773722633</v>
      </c>
      <c r="FE20" s="835">
        <f t="shared" si="71"/>
        <v>-15638</v>
      </c>
      <c r="FF20" s="835">
        <f t="shared" si="71"/>
        <v>-7143</v>
      </c>
    </row>
    <row r="21" spans="1:162" x14ac:dyDescent="0.25">
      <c r="A21" s="291" t="s">
        <v>564</v>
      </c>
      <c r="B21" s="218" t="s">
        <v>638</v>
      </c>
      <c r="C21" s="542">
        <f t="shared" si="68"/>
        <v>21900</v>
      </c>
      <c r="D21" s="542">
        <f t="shared" si="68"/>
        <v>0</v>
      </c>
      <c r="E21" s="542">
        <f t="shared" si="68"/>
        <v>17791</v>
      </c>
      <c r="F21" s="542">
        <f t="shared" si="68"/>
        <v>0</v>
      </c>
      <c r="G21" s="542">
        <f t="shared" si="68"/>
        <v>26686.5</v>
      </c>
      <c r="H21" s="542">
        <f t="shared" si="68"/>
        <v>0</v>
      </c>
      <c r="I21" s="542">
        <f t="shared" si="68"/>
        <v>20500</v>
      </c>
      <c r="J21" s="542">
        <f t="shared" si="68"/>
        <v>0</v>
      </c>
      <c r="K21" s="542"/>
      <c r="L21" s="542"/>
      <c r="M21" s="542"/>
      <c r="N21" s="542"/>
      <c r="O21" s="542"/>
      <c r="P21" s="542">
        <v>0</v>
      </c>
      <c r="Q21" s="542">
        <v>765</v>
      </c>
      <c r="R21" s="542">
        <v>0</v>
      </c>
      <c r="S21" s="542">
        <f>Q21/8*12</f>
        <v>1147.5</v>
      </c>
      <c r="T21" s="542">
        <v>0</v>
      </c>
      <c r="U21" s="542">
        <f>500</f>
        <v>500</v>
      </c>
      <c r="V21" s="542">
        <v>0</v>
      </c>
      <c r="W21" s="542"/>
      <c r="X21" s="542"/>
      <c r="Y21" s="542"/>
      <c r="Z21" s="542"/>
      <c r="AA21" s="542">
        <v>1500</v>
      </c>
      <c r="AB21" s="542">
        <v>0</v>
      </c>
      <c r="AC21" s="542">
        <v>2501</v>
      </c>
      <c r="AD21" s="542">
        <v>0</v>
      </c>
      <c r="AE21" s="542">
        <f>AC21/8*12</f>
        <v>3751.5</v>
      </c>
      <c r="AF21" s="542">
        <v>0</v>
      </c>
      <c r="AG21" s="542">
        <f>2000</f>
        <v>2000</v>
      </c>
      <c r="AH21" s="542">
        <v>0</v>
      </c>
      <c r="AI21" s="542"/>
      <c r="AJ21" s="542"/>
      <c r="AK21" s="542"/>
      <c r="AL21" s="542"/>
      <c r="AM21" s="542">
        <v>900</v>
      </c>
      <c r="AN21" s="542">
        <v>0</v>
      </c>
      <c r="AO21" s="542">
        <v>947</v>
      </c>
      <c r="AP21" s="542">
        <v>0</v>
      </c>
      <c r="AQ21" s="542">
        <f>AO21/8*12</f>
        <v>1420.5</v>
      </c>
      <c r="AR21" s="542">
        <v>0</v>
      </c>
      <c r="AS21" s="542">
        <f>1200</f>
        <v>1200</v>
      </c>
      <c r="AT21" s="542">
        <v>0</v>
      </c>
      <c r="AU21" s="542"/>
      <c r="AV21" s="542"/>
      <c r="AW21" s="542"/>
      <c r="AX21" s="542"/>
      <c r="AY21" s="542">
        <v>500</v>
      </c>
      <c r="AZ21" s="542">
        <v>0</v>
      </c>
      <c r="BA21" s="542">
        <v>1305</v>
      </c>
      <c r="BB21" s="542">
        <v>0</v>
      </c>
      <c r="BC21" s="542">
        <f>BA21/8*12</f>
        <v>1957.5</v>
      </c>
      <c r="BD21" s="542">
        <v>0</v>
      </c>
      <c r="BE21" s="542">
        <f>1200</f>
        <v>1200</v>
      </c>
      <c r="BF21" s="542">
        <v>0</v>
      </c>
      <c r="BG21" s="542"/>
      <c r="BH21" s="542"/>
      <c r="BI21" s="542"/>
      <c r="BJ21" s="542"/>
      <c r="BK21" s="542">
        <v>2500</v>
      </c>
      <c r="BL21" s="542">
        <v>0</v>
      </c>
      <c r="BM21" s="542">
        <v>926</v>
      </c>
      <c r="BN21" s="542">
        <v>0</v>
      </c>
      <c r="BO21" s="542">
        <f>BM21/8*12</f>
        <v>1389</v>
      </c>
      <c r="BP21" s="542">
        <v>0</v>
      </c>
      <c r="BQ21" s="542">
        <f>2300</f>
        <v>2300</v>
      </c>
      <c r="BR21" s="542">
        <v>0</v>
      </c>
      <c r="BS21" s="542"/>
      <c r="BT21" s="542"/>
      <c r="BU21" s="542"/>
      <c r="BV21" s="542"/>
      <c r="BW21" s="542">
        <v>2000</v>
      </c>
      <c r="BX21" s="542">
        <v>0</v>
      </c>
      <c r="BY21" s="542">
        <v>992</v>
      </c>
      <c r="BZ21" s="542">
        <v>0</v>
      </c>
      <c r="CA21" s="542">
        <f>BY21/8*12</f>
        <v>1488</v>
      </c>
      <c r="CB21" s="542">
        <v>0</v>
      </c>
      <c r="CC21" s="542">
        <f>500</f>
        <v>500</v>
      </c>
      <c r="CD21" s="542">
        <v>0</v>
      </c>
      <c r="CE21" s="542"/>
      <c r="CF21" s="542"/>
      <c r="CG21" s="542"/>
      <c r="CH21" s="542"/>
      <c r="CI21" s="542">
        <v>2000</v>
      </c>
      <c r="CJ21" s="542">
        <v>0</v>
      </c>
      <c r="CK21" s="542">
        <v>1779</v>
      </c>
      <c r="CL21" s="542">
        <v>0</v>
      </c>
      <c r="CM21" s="542">
        <f>CK21/8*12</f>
        <v>2668.5</v>
      </c>
      <c r="CN21" s="542">
        <v>0</v>
      </c>
      <c r="CO21" s="542">
        <f>2000</f>
        <v>2000</v>
      </c>
      <c r="CP21" s="542">
        <v>0</v>
      </c>
      <c r="CQ21" s="542">
        <f t="shared" si="72"/>
        <v>-668.5</v>
      </c>
      <c r="CR21" s="542"/>
      <c r="CS21" s="542"/>
      <c r="CT21" s="542"/>
      <c r="CU21" s="542">
        <v>2500</v>
      </c>
      <c r="CV21" s="542">
        <v>0</v>
      </c>
      <c r="CW21" s="542">
        <v>1315</v>
      </c>
      <c r="CX21" s="542">
        <v>0</v>
      </c>
      <c r="CY21" s="542">
        <f>CW21/8*12</f>
        <v>1972.5</v>
      </c>
      <c r="CZ21" s="542">
        <v>0</v>
      </c>
      <c r="DA21" s="542">
        <f>1700</f>
        <v>1700</v>
      </c>
      <c r="DB21" s="542">
        <v>0</v>
      </c>
      <c r="DC21" s="542"/>
      <c r="DD21" s="542"/>
      <c r="DE21" s="542"/>
      <c r="DF21" s="542"/>
      <c r="DG21" s="542">
        <v>2500</v>
      </c>
      <c r="DH21" s="542">
        <v>0</v>
      </c>
      <c r="DI21" s="542">
        <v>1204</v>
      </c>
      <c r="DJ21" s="542">
        <v>0</v>
      </c>
      <c r="DK21" s="542">
        <f>DI21/8*12</f>
        <v>1806</v>
      </c>
      <c r="DL21" s="542">
        <v>0</v>
      </c>
      <c r="DM21" s="542">
        <f>1500</f>
        <v>1500</v>
      </c>
      <c r="DN21" s="542">
        <v>0</v>
      </c>
      <c r="DO21" s="542"/>
      <c r="DP21" s="542"/>
      <c r="DQ21" s="542"/>
      <c r="DR21" s="542"/>
      <c r="DS21" s="542">
        <v>2000</v>
      </c>
      <c r="DT21" s="542">
        <v>0</v>
      </c>
      <c r="DU21" s="542">
        <v>1740</v>
      </c>
      <c r="DV21" s="542">
        <v>0</v>
      </c>
      <c r="DW21" s="542">
        <f>DU21/8*12</f>
        <v>2610</v>
      </c>
      <c r="DX21" s="542">
        <v>0</v>
      </c>
      <c r="DY21" s="542">
        <f>2100</f>
        <v>2100</v>
      </c>
      <c r="DZ21" s="542">
        <v>0</v>
      </c>
      <c r="EA21" s="542"/>
      <c r="EB21" s="542"/>
      <c r="EC21" s="542"/>
      <c r="ED21" s="542"/>
      <c r="EE21" s="542">
        <v>3500</v>
      </c>
      <c r="EF21" s="542">
        <v>0</v>
      </c>
      <c r="EG21" s="542">
        <v>3102</v>
      </c>
      <c r="EH21" s="542">
        <v>0</v>
      </c>
      <c r="EI21" s="542">
        <f>EG21/8*12</f>
        <v>4653</v>
      </c>
      <c r="EJ21" s="542">
        <v>0</v>
      </c>
      <c r="EK21" s="542">
        <f>4000</f>
        <v>4000</v>
      </c>
      <c r="EL21" s="542">
        <v>0</v>
      </c>
      <c r="EM21" s="542"/>
      <c r="EN21" s="542"/>
      <c r="EO21" s="542"/>
      <c r="EP21" s="542"/>
      <c r="EQ21" s="542">
        <v>2000</v>
      </c>
      <c r="ER21" s="542">
        <v>0</v>
      </c>
      <c r="ES21" s="542">
        <v>1215</v>
      </c>
      <c r="ET21" s="542">
        <v>0</v>
      </c>
      <c r="EU21" s="542">
        <f>ES21/8*12</f>
        <v>1822.5</v>
      </c>
      <c r="EV21" s="542">
        <v>0</v>
      </c>
      <c r="EW21" s="542">
        <f>1500</f>
        <v>1500</v>
      </c>
      <c r="EX21" s="542">
        <v>0</v>
      </c>
      <c r="EY21" s="542"/>
      <c r="EZ21" s="542"/>
      <c r="FA21" s="542"/>
      <c r="FB21" s="542"/>
      <c r="FC21" s="830"/>
      <c r="FD21" s="830"/>
      <c r="FE21" s="836"/>
      <c r="FF21" s="836"/>
    </row>
    <row r="22" spans="1:162" x14ac:dyDescent="0.25">
      <c r="A22" s="291" t="s">
        <v>564</v>
      </c>
      <c r="B22" s="218" t="s">
        <v>639</v>
      </c>
      <c r="C22" s="542">
        <f t="shared" si="68"/>
        <v>11100</v>
      </c>
      <c r="D22" s="542">
        <f t="shared" si="68"/>
        <v>0</v>
      </c>
      <c r="E22" s="542">
        <f t="shared" si="68"/>
        <v>6714</v>
      </c>
      <c r="F22" s="542">
        <f t="shared" si="68"/>
        <v>0</v>
      </c>
      <c r="G22" s="542">
        <f t="shared" si="68"/>
        <v>10071</v>
      </c>
      <c r="H22" s="542">
        <f t="shared" si="68"/>
        <v>0</v>
      </c>
      <c r="I22" s="542">
        <f t="shared" si="68"/>
        <v>3800</v>
      </c>
      <c r="J22" s="542">
        <f t="shared" si="68"/>
        <v>0</v>
      </c>
      <c r="K22" s="542"/>
      <c r="L22" s="542"/>
      <c r="M22" s="542"/>
      <c r="N22" s="542"/>
      <c r="O22" s="542"/>
      <c r="P22" s="542">
        <v>0</v>
      </c>
      <c r="Q22" s="542">
        <v>456</v>
      </c>
      <c r="R22" s="542">
        <v>0</v>
      </c>
      <c r="S22" s="542">
        <f>Q22/8*12</f>
        <v>684</v>
      </c>
      <c r="T22" s="542">
        <v>0</v>
      </c>
      <c r="U22" s="542">
        <v>500</v>
      </c>
      <c r="V22" s="542">
        <v>0</v>
      </c>
      <c r="W22" s="542"/>
      <c r="X22" s="542"/>
      <c r="Y22" s="542"/>
      <c r="Z22" s="542"/>
      <c r="AA22" s="542">
        <v>1500</v>
      </c>
      <c r="AB22" s="542">
        <v>0</v>
      </c>
      <c r="AC22" s="542">
        <v>23</v>
      </c>
      <c r="AD22" s="542">
        <v>0</v>
      </c>
      <c r="AE22" s="542">
        <f>AC22/8*12</f>
        <v>34.5</v>
      </c>
      <c r="AF22" s="542">
        <v>0</v>
      </c>
      <c r="AG22" s="542"/>
      <c r="AH22" s="542">
        <v>0</v>
      </c>
      <c r="AI22" s="542"/>
      <c r="AJ22" s="542"/>
      <c r="AK22" s="542"/>
      <c r="AL22" s="542"/>
      <c r="AM22" s="542">
        <v>600</v>
      </c>
      <c r="AN22" s="542">
        <v>0</v>
      </c>
      <c r="AO22" s="542">
        <v>33</v>
      </c>
      <c r="AP22" s="542">
        <v>0</v>
      </c>
      <c r="AQ22" s="542">
        <f>AO22/8*12</f>
        <v>49.5</v>
      </c>
      <c r="AR22" s="542">
        <v>0</v>
      </c>
      <c r="AS22" s="542"/>
      <c r="AT22" s="542">
        <v>0</v>
      </c>
      <c r="AU22" s="542"/>
      <c r="AV22" s="542"/>
      <c r="AW22" s="542"/>
      <c r="AX22" s="542"/>
      <c r="AY22" s="542">
        <v>500</v>
      </c>
      <c r="AZ22" s="542">
        <v>0</v>
      </c>
      <c r="BA22" s="542">
        <v>59</v>
      </c>
      <c r="BB22" s="542">
        <v>0</v>
      </c>
      <c r="BC22" s="542">
        <f>BA22/8*12</f>
        <v>88.5</v>
      </c>
      <c r="BD22" s="542">
        <v>0</v>
      </c>
      <c r="BE22" s="542"/>
      <c r="BF22" s="542">
        <v>0</v>
      </c>
      <c r="BG22" s="542"/>
      <c r="BH22" s="542"/>
      <c r="BI22" s="542"/>
      <c r="BJ22" s="542"/>
      <c r="BK22" s="542">
        <v>1000</v>
      </c>
      <c r="BL22" s="542">
        <v>0</v>
      </c>
      <c r="BM22" s="542">
        <v>37</v>
      </c>
      <c r="BN22" s="542">
        <v>0</v>
      </c>
      <c r="BO22" s="542">
        <f>BM22/8*12</f>
        <v>55.5</v>
      </c>
      <c r="BP22" s="542">
        <v>0</v>
      </c>
      <c r="BQ22" s="542">
        <v>300</v>
      </c>
      <c r="BR22" s="542">
        <v>0</v>
      </c>
      <c r="BS22" s="542"/>
      <c r="BT22" s="542"/>
      <c r="BU22" s="542"/>
      <c r="BV22" s="542"/>
      <c r="BW22" s="542">
        <v>1000</v>
      </c>
      <c r="BX22" s="542">
        <v>0</v>
      </c>
      <c r="BY22" s="542">
        <v>4696</v>
      </c>
      <c r="BZ22" s="542">
        <v>0</v>
      </c>
      <c r="CA22" s="542">
        <f>BY22/8*12</f>
        <v>7044</v>
      </c>
      <c r="CB22" s="542">
        <v>0</v>
      </c>
      <c r="CC22" s="542">
        <v>1000</v>
      </c>
      <c r="CD22" s="542">
        <v>0</v>
      </c>
      <c r="CE22" s="542"/>
      <c r="CF22" s="542"/>
      <c r="CG22" s="542"/>
      <c r="CH22" s="542"/>
      <c r="CI22" s="542">
        <v>1000</v>
      </c>
      <c r="CJ22" s="542">
        <v>0</v>
      </c>
      <c r="CK22" s="542">
        <v>28</v>
      </c>
      <c r="CL22" s="542">
        <v>0</v>
      </c>
      <c r="CM22" s="542">
        <f>CK22/8*12</f>
        <v>42</v>
      </c>
      <c r="CN22" s="542">
        <v>0</v>
      </c>
      <c r="CO22" s="542"/>
      <c r="CP22" s="542">
        <v>0</v>
      </c>
      <c r="CQ22" s="542">
        <f t="shared" si="72"/>
        <v>-42</v>
      </c>
      <c r="CR22" s="542"/>
      <c r="CS22" s="542"/>
      <c r="CT22" s="542"/>
      <c r="CU22" s="542">
        <v>1000</v>
      </c>
      <c r="CV22" s="542">
        <v>0</v>
      </c>
      <c r="CW22" s="542">
        <v>48</v>
      </c>
      <c r="CX22" s="542">
        <v>0</v>
      </c>
      <c r="CY22" s="542">
        <f>CW22/8*12</f>
        <v>72</v>
      </c>
      <c r="CZ22" s="542">
        <v>0</v>
      </c>
      <c r="DA22" s="542">
        <v>100</v>
      </c>
      <c r="DB22" s="542">
        <v>0</v>
      </c>
      <c r="DC22" s="542"/>
      <c r="DD22" s="542"/>
      <c r="DE22" s="542"/>
      <c r="DF22" s="542"/>
      <c r="DG22" s="542">
        <v>1000</v>
      </c>
      <c r="DH22" s="542">
        <v>0</v>
      </c>
      <c r="DI22" s="542">
        <v>366</v>
      </c>
      <c r="DJ22" s="542">
        <v>0</v>
      </c>
      <c r="DK22" s="542">
        <f>DI22/8*12</f>
        <v>549</v>
      </c>
      <c r="DL22" s="542">
        <v>0</v>
      </c>
      <c r="DM22" s="542">
        <v>500</v>
      </c>
      <c r="DN22" s="542">
        <v>0</v>
      </c>
      <c r="DO22" s="542"/>
      <c r="DP22" s="542"/>
      <c r="DQ22" s="542"/>
      <c r="DR22" s="542"/>
      <c r="DS22" s="542">
        <v>1000</v>
      </c>
      <c r="DT22" s="542">
        <v>0</v>
      </c>
      <c r="DU22" s="542">
        <v>28</v>
      </c>
      <c r="DV22" s="542">
        <v>0</v>
      </c>
      <c r="DW22" s="542">
        <f>DU22/8*12</f>
        <v>42</v>
      </c>
      <c r="DX22" s="542">
        <v>0</v>
      </c>
      <c r="DY22" s="542">
        <v>100</v>
      </c>
      <c r="DZ22" s="542">
        <v>0</v>
      </c>
      <c r="EA22" s="542"/>
      <c r="EB22" s="542"/>
      <c r="EC22" s="542"/>
      <c r="ED22" s="542"/>
      <c r="EE22" s="542">
        <v>2500</v>
      </c>
      <c r="EF22" s="542">
        <v>0</v>
      </c>
      <c r="EG22" s="542">
        <v>907</v>
      </c>
      <c r="EH22" s="542">
        <v>0</v>
      </c>
      <c r="EI22" s="542">
        <f>EG22/8*12</f>
        <v>1360.5</v>
      </c>
      <c r="EJ22" s="542">
        <v>0</v>
      </c>
      <c r="EK22" s="542">
        <v>1200</v>
      </c>
      <c r="EL22" s="542">
        <v>0</v>
      </c>
      <c r="EM22" s="542"/>
      <c r="EN22" s="542"/>
      <c r="EO22" s="542"/>
      <c r="EP22" s="542"/>
      <c r="EQ22" s="542"/>
      <c r="ER22" s="542">
        <v>0</v>
      </c>
      <c r="ES22" s="542">
        <v>33</v>
      </c>
      <c r="ET22" s="542">
        <v>0</v>
      </c>
      <c r="EU22" s="542">
        <f>ES22/8*12</f>
        <v>49.5</v>
      </c>
      <c r="EV22" s="542">
        <v>0</v>
      </c>
      <c r="EW22" s="542">
        <v>100</v>
      </c>
      <c r="EX22" s="542">
        <v>0</v>
      </c>
      <c r="EY22" s="542"/>
      <c r="EZ22" s="542"/>
      <c r="FA22" s="542"/>
      <c r="FB22" s="542"/>
      <c r="FC22" s="830"/>
      <c r="FD22" s="830"/>
      <c r="FE22" s="836"/>
      <c r="FF22" s="836"/>
    </row>
    <row r="23" spans="1:162" x14ac:dyDescent="0.25">
      <c r="A23" s="291" t="s">
        <v>564</v>
      </c>
      <c r="B23" s="218" t="s">
        <v>1554</v>
      </c>
      <c r="C23" s="542">
        <f t="shared" si="68"/>
        <v>68500</v>
      </c>
      <c r="D23" s="542">
        <f t="shared" si="68"/>
        <v>68500</v>
      </c>
      <c r="E23" s="542">
        <f t="shared" si="68"/>
        <v>61357</v>
      </c>
      <c r="F23" s="542">
        <f t="shared" si="68"/>
        <v>61357</v>
      </c>
      <c r="G23" s="542">
        <f t="shared" si="68"/>
        <v>64700</v>
      </c>
      <c r="H23" s="542">
        <f t="shared" si="68"/>
        <v>64700</v>
      </c>
      <c r="I23" s="542">
        <f t="shared" si="68"/>
        <v>64500</v>
      </c>
      <c r="J23" s="542">
        <f t="shared" si="68"/>
        <v>64500</v>
      </c>
      <c r="K23" s="542"/>
      <c r="L23" s="542"/>
      <c r="M23" s="542"/>
      <c r="N23" s="542"/>
      <c r="O23" s="542">
        <v>3000</v>
      </c>
      <c r="P23" s="542">
        <f>O23</f>
        <v>3000</v>
      </c>
      <c r="Q23" s="542">
        <f>2640-Q21-Q22</f>
        <v>1419</v>
      </c>
      <c r="R23" s="542">
        <f>Q23</f>
        <v>1419</v>
      </c>
      <c r="S23" s="542">
        <v>2000</v>
      </c>
      <c r="T23" s="542">
        <f>S23</f>
        <v>2000</v>
      </c>
      <c r="U23" s="542">
        <v>1500</v>
      </c>
      <c r="V23" s="542">
        <f>U23</f>
        <v>1500</v>
      </c>
      <c r="W23" s="542"/>
      <c r="X23" s="542"/>
      <c r="Y23" s="542"/>
      <c r="Z23" s="542"/>
      <c r="AA23" s="542">
        <v>3000</v>
      </c>
      <c r="AB23" s="542">
        <f>AA23</f>
        <v>3000</v>
      </c>
      <c r="AC23" s="542">
        <f>5327-AC21-AC22</f>
        <v>2803</v>
      </c>
      <c r="AD23" s="542">
        <f>AC23</f>
        <v>2803</v>
      </c>
      <c r="AE23" s="542">
        <v>3000</v>
      </c>
      <c r="AF23" s="542">
        <f>AE23</f>
        <v>3000</v>
      </c>
      <c r="AG23" s="542">
        <v>3000</v>
      </c>
      <c r="AH23" s="542">
        <f>AG23</f>
        <v>3000</v>
      </c>
      <c r="AI23" s="542"/>
      <c r="AJ23" s="542"/>
      <c r="AK23" s="542"/>
      <c r="AL23" s="542"/>
      <c r="AM23" s="542">
        <v>2000</v>
      </c>
      <c r="AN23" s="542">
        <f>AM23</f>
        <v>2000</v>
      </c>
      <c r="AO23" s="542">
        <f>2480-AO21-AO22</f>
        <v>1500</v>
      </c>
      <c r="AP23" s="542">
        <f>AO23</f>
        <v>1500</v>
      </c>
      <c r="AQ23" s="542">
        <v>2000</v>
      </c>
      <c r="AR23" s="542">
        <f>AQ23</f>
        <v>2000</v>
      </c>
      <c r="AS23" s="542">
        <v>2000</v>
      </c>
      <c r="AT23" s="542">
        <f>AS23</f>
        <v>2000</v>
      </c>
      <c r="AU23" s="542"/>
      <c r="AV23" s="542"/>
      <c r="AW23" s="542"/>
      <c r="AX23" s="542"/>
      <c r="AY23" s="542">
        <v>3000</v>
      </c>
      <c r="AZ23" s="542">
        <f>AY23</f>
        <v>3000</v>
      </c>
      <c r="BA23" s="542">
        <f>3671-BA21-BA22</f>
        <v>2307</v>
      </c>
      <c r="BB23" s="542">
        <f>BA23</f>
        <v>2307</v>
      </c>
      <c r="BC23" s="542">
        <v>3000</v>
      </c>
      <c r="BD23" s="542">
        <f>BC23</f>
        <v>3000</v>
      </c>
      <c r="BE23" s="542">
        <v>3000</v>
      </c>
      <c r="BF23" s="542">
        <f>BE23</f>
        <v>3000</v>
      </c>
      <c r="BG23" s="542"/>
      <c r="BH23" s="542"/>
      <c r="BI23" s="542"/>
      <c r="BJ23" s="542"/>
      <c r="BK23" s="542">
        <v>3000</v>
      </c>
      <c r="BL23" s="542">
        <f>BK23</f>
        <v>3000</v>
      </c>
      <c r="BM23" s="542">
        <f>4087-BM21-BM22</f>
        <v>3124</v>
      </c>
      <c r="BN23" s="542">
        <f>BM23</f>
        <v>3124</v>
      </c>
      <c r="BO23" s="542">
        <v>3000</v>
      </c>
      <c r="BP23" s="542">
        <f>BO23</f>
        <v>3000</v>
      </c>
      <c r="BQ23" s="542">
        <v>3000</v>
      </c>
      <c r="BR23" s="542">
        <f>BQ23</f>
        <v>3000</v>
      </c>
      <c r="BS23" s="542"/>
      <c r="BT23" s="542"/>
      <c r="BU23" s="542"/>
      <c r="BV23" s="542"/>
      <c r="BW23" s="542">
        <v>14000</v>
      </c>
      <c r="BX23" s="542">
        <f>BW23</f>
        <v>14000</v>
      </c>
      <c r="BY23" s="542">
        <f>25770-BY21-BY22</f>
        <v>20082</v>
      </c>
      <c r="BZ23" s="542">
        <f>BY23</f>
        <v>20082</v>
      </c>
      <c r="CA23" s="542">
        <v>14000</v>
      </c>
      <c r="CB23" s="542">
        <f>CA23</f>
        <v>14000</v>
      </c>
      <c r="CC23" s="542">
        <v>14000</v>
      </c>
      <c r="CD23" s="542">
        <f>CC23</f>
        <v>14000</v>
      </c>
      <c r="CE23" s="542"/>
      <c r="CF23" s="542"/>
      <c r="CG23" s="542"/>
      <c r="CH23" s="542"/>
      <c r="CI23" s="542">
        <v>7000</v>
      </c>
      <c r="CJ23" s="542">
        <f>CI23</f>
        <v>7000</v>
      </c>
      <c r="CK23" s="542">
        <f>8612-CK21-CK22</f>
        <v>6805</v>
      </c>
      <c r="CL23" s="542">
        <f>CK23</f>
        <v>6805</v>
      </c>
      <c r="CM23" s="542">
        <v>7000</v>
      </c>
      <c r="CN23" s="542">
        <f>CM23</f>
        <v>7000</v>
      </c>
      <c r="CO23" s="542">
        <v>7000</v>
      </c>
      <c r="CP23" s="542">
        <f>CO23</f>
        <v>7000</v>
      </c>
      <c r="CQ23" s="542"/>
      <c r="CR23" s="542"/>
      <c r="CS23" s="542"/>
      <c r="CT23" s="542"/>
      <c r="CU23" s="542">
        <v>9500</v>
      </c>
      <c r="CV23" s="542">
        <f>CU23</f>
        <v>9500</v>
      </c>
      <c r="CW23" s="542">
        <f>7005-CW21-CW22</f>
        <v>5642</v>
      </c>
      <c r="CX23" s="542">
        <f>CW23</f>
        <v>5642</v>
      </c>
      <c r="CY23" s="542">
        <v>7600</v>
      </c>
      <c r="CZ23" s="542">
        <f>CY23</f>
        <v>7600</v>
      </c>
      <c r="DA23" s="542">
        <v>7700</v>
      </c>
      <c r="DB23" s="542">
        <f>DA23</f>
        <v>7700</v>
      </c>
      <c r="DC23" s="542"/>
      <c r="DD23" s="542"/>
      <c r="DE23" s="542"/>
      <c r="DF23" s="542"/>
      <c r="DG23" s="542">
        <v>7500</v>
      </c>
      <c r="DH23" s="542">
        <f>DG23</f>
        <v>7500</v>
      </c>
      <c r="DI23" s="542">
        <f>8361-DI21-DI22</f>
        <v>6791</v>
      </c>
      <c r="DJ23" s="542">
        <f>DI23</f>
        <v>6791</v>
      </c>
      <c r="DK23" s="542">
        <v>7800</v>
      </c>
      <c r="DL23" s="542">
        <f>DK23</f>
        <v>7800</v>
      </c>
      <c r="DM23" s="542">
        <v>8000</v>
      </c>
      <c r="DN23" s="542">
        <f>DM23</f>
        <v>8000</v>
      </c>
      <c r="DO23" s="542"/>
      <c r="DP23" s="542"/>
      <c r="DQ23" s="542"/>
      <c r="DR23" s="542"/>
      <c r="DS23" s="542">
        <v>4500</v>
      </c>
      <c r="DT23" s="542">
        <f>DS23</f>
        <v>4500</v>
      </c>
      <c r="DU23" s="545">
        <f>4110-DU21-DU22</f>
        <v>2342</v>
      </c>
      <c r="DV23" s="542">
        <f>DU23</f>
        <v>2342</v>
      </c>
      <c r="DW23" s="542">
        <v>3300</v>
      </c>
      <c r="DX23" s="542">
        <f>DW23</f>
        <v>3300</v>
      </c>
      <c r="DY23" s="542">
        <v>3300</v>
      </c>
      <c r="DZ23" s="542">
        <f>DY23</f>
        <v>3300</v>
      </c>
      <c r="EA23" s="542"/>
      <c r="EB23" s="542"/>
      <c r="EC23" s="542"/>
      <c r="ED23" s="542"/>
      <c r="EE23" s="542">
        <v>8000</v>
      </c>
      <c r="EF23" s="542">
        <f>EE23</f>
        <v>8000</v>
      </c>
      <c r="EG23" s="542">
        <f>10074-EG21-EG22</f>
        <v>6065</v>
      </c>
      <c r="EH23" s="542">
        <f>EG23</f>
        <v>6065</v>
      </c>
      <c r="EI23" s="542">
        <v>8000</v>
      </c>
      <c r="EJ23" s="542">
        <f>EI23</f>
        <v>8000</v>
      </c>
      <c r="EK23" s="542">
        <v>8000</v>
      </c>
      <c r="EL23" s="542">
        <f>EK23</f>
        <v>8000</v>
      </c>
      <c r="EM23" s="542"/>
      <c r="EN23" s="542"/>
      <c r="EO23" s="542"/>
      <c r="EP23" s="542"/>
      <c r="EQ23" s="542">
        <v>4000</v>
      </c>
      <c r="ER23" s="542">
        <f>EQ23</f>
        <v>4000</v>
      </c>
      <c r="ES23" s="542">
        <f>3725-ES21-ES22</f>
        <v>2477</v>
      </c>
      <c r="ET23" s="542">
        <f>ES23</f>
        <v>2477</v>
      </c>
      <c r="EU23" s="542">
        <v>4000</v>
      </c>
      <c r="EV23" s="542">
        <f>EU23</f>
        <v>4000</v>
      </c>
      <c r="EW23" s="542">
        <v>4000</v>
      </c>
      <c r="EX23" s="542">
        <f>EW23</f>
        <v>4000</v>
      </c>
      <c r="EY23" s="542"/>
      <c r="EZ23" s="542"/>
      <c r="FA23" s="542"/>
      <c r="FB23" s="542"/>
      <c r="FC23" s="830"/>
      <c r="FD23" s="830"/>
      <c r="FE23" s="836"/>
      <c r="FF23" s="836"/>
    </row>
    <row r="24" spans="1:162" hidden="1" x14ac:dyDescent="0.25">
      <c r="A24" s="291"/>
      <c r="B24" s="218" t="s">
        <v>931</v>
      </c>
      <c r="C24" s="542">
        <f t="shared" si="68"/>
        <v>16300</v>
      </c>
      <c r="D24" s="542">
        <f t="shared" si="68"/>
        <v>16300</v>
      </c>
      <c r="E24" s="542"/>
      <c r="F24" s="542"/>
      <c r="G24" s="542">
        <f t="shared" si="68"/>
        <v>0</v>
      </c>
      <c r="H24" s="542">
        <f t="shared" si="68"/>
        <v>0</v>
      </c>
      <c r="I24" s="542">
        <f t="shared" si="68"/>
        <v>16300</v>
      </c>
      <c r="J24" s="542">
        <f t="shared" si="68"/>
        <v>16300</v>
      </c>
      <c r="K24" s="542"/>
      <c r="L24" s="542"/>
      <c r="M24" s="542"/>
      <c r="N24" s="542"/>
      <c r="O24" s="542">
        <f>550+10</f>
        <v>560</v>
      </c>
      <c r="P24" s="542">
        <f>O24</f>
        <v>560</v>
      </c>
      <c r="Q24" s="542"/>
      <c r="R24" s="542">
        <f>Q24</f>
        <v>0</v>
      </c>
      <c r="S24" s="542"/>
      <c r="T24" s="542">
        <f>S24</f>
        <v>0</v>
      </c>
      <c r="U24" s="542">
        <f>550+10</f>
        <v>560</v>
      </c>
      <c r="V24" s="542">
        <f>U24</f>
        <v>560</v>
      </c>
      <c r="W24" s="542"/>
      <c r="X24" s="542"/>
      <c r="Y24" s="542"/>
      <c r="Z24" s="542"/>
      <c r="AA24" s="542">
        <v>1250</v>
      </c>
      <c r="AB24" s="542">
        <f>AA24</f>
        <v>1250</v>
      </c>
      <c r="AC24" s="542"/>
      <c r="AD24" s="542"/>
      <c r="AE24" s="542"/>
      <c r="AF24" s="542">
        <f>AE24</f>
        <v>0</v>
      </c>
      <c r="AG24" s="542">
        <v>1250</v>
      </c>
      <c r="AH24" s="542">
        <f>AG24</f>
        <v>1250</v>
      </c>
      <c r="AI24" s="542"/>
      <c r="AJ24" s="542"/>
      <c r="AK24" s="542"/>
      <c r="AL24" s="542"/>
      <c r="AM24" s="542">
        <f>650+10</f>
        <v>660</v>
      </c>
      <c r="AN24" s="542">
        <f>AM24</f>
        <v>660</v>
      </c>
      <c r="AO24" s="542"/>
      <c r="AP24" s="542"/>
      <c r="AQ24" s="542"/>
      <c r="AR24" s="542"/>
      <c r="AS24" s="542">
        <f>650+10</f>
        <v>660</v>
      </c>
      <c r="AT24" s="542">
        <f>AS24</f>
        <v>660</v>
      </c>
      <c r="AU24" s="542"/>
      <c r="AV24" s="542"/>
      <c r="AW24" s="542"/>
      <c r="AX24" s="542"/>
      <c r="AY24" s="542">
        <f>950+30</f>
        <v>980</v>
      </c>
      <c r="AZ24" s="542">
        <f>AY24</f>
        <v>980</v>
      </c>
      <c r="BA24" s="542"/>
      <c r="BB24" s="542"/>
      <c r="BC24" s="542"/>
      <c r="BD24" s="542"/>
      <c r="BE24" s="542">
        <f>950+30</f>
        <v>980</v>
      </c>
      <c r="BF24" s="542">
        <f>BE24</f>
        <v>980</v>
      </c>
      <c r="BG24" s="542"/>
      <c r="BH24" s="542"/>
      <c r="BI24" s="542"/>
      <c r="BJ24" s="542"/>
      <c r="BK24" s="542">
        <f>800+30</f>
        <v>830</v>
      </c>
      <c r="BL24" s="542">
        <f>BK24</f>
        <v>830</v>
      </c>
      <c r="BM24" s="542"/>
      <c r="BN24" s="542"/>
      <c r="BO24" s="542"/>
      <c r="BP24" s="542"/>
      <c r="BQ24" s="542">
        <f>800+30</f>
        <v>830</v>
      </c>
      <c r="BR24" s="542">
        <f>BQ24</f>
        <v>830</v>
      </c>
      <c r="BS24" s="542"/>
      <c r="BT24" s="542"/>
      <c r="BU24" s="542"/>
      <c r="BV24" s="542"/>
      <c r="BW24" s="542">
        <f>4300+500+620</f>
        <v>5420</v>
      </c>
      <c r="BX24" s="542">
        <f>BW24</f>
        <v>5420</v>
      </c>
      <c r="BY24" s="542"/>
      <c r="BZ24" s="542"/>
      <c r="CA24" s="542"/>
      <c r="CB24" s="542"/>
      <c r="CC24" s="542">
        <f>4300+500+620</f>
        <v>5420</v>
      </c>
      <c r="CD24" s="542">
        <f>CC24</f>
        <v>5420</v>
      </c>
      <c r="CE24" s="542"/>
      <c r="CF24" s="542"/>
      <c r="CG24" s="542"/>
      <c r="CH24" s="542"/>
      <c r="CI24" s="542">
        <f>60</f>
        <v>60</v>
      </c>
      <c r="CJ24" s="542">
        <f>CI24</f>
        <v>60</v>
      </c>
      <c r="CK24" s="542"/>
      <c r="CL24" s="542"/>
      <c r="CM24" s="542"/>
      <c r="CN24" s="542"/>
      <c r="CO24" s="542">
        <f>60</f>
        <v>60</v>
      </c>
      <c r="CP24" s="542">
        <f>CO24</f>
        <v>60</v>
      </c>
      <c r="CQ24" s="542"/>
      <c r="CR24" s="542"/>
      <c r="CS24" s="542"/>
      <c r="CT24" s="542"/>
      <c r="CU24" s="542">
        <f>1400+10</f>
        <v>1410</v>
      </c>
      <c r="CV24" s="542">
        <f>CU24</f>
        <v>1410</v>
      </c>
      <c r="CW24" s="542"/>
      <c r="CX24" s="542"/>
      <c r="CY24" s="542"/>
      <c r="CZ24" s="542"/>
      <c r="DA24" s="542">
        <f>1400+10</f>
        <v>1410</v>
      </c>
      <c r="DB24" s="542">
        <f>DA24</f>
        <v>1410</v>
      </c>
      <c r="DC24" s="542"/>
      <c r="DD24" s="542"/>
      <c r="DE24" s="542"/>
      <c r="DF24" s="542"/>
      <c r="DG24" s="542">
        <f>1400+60</f>
        <v>1460</v>
      </c>
      <c r="DH24" s="542">
        <f>DG24</f>
        <v>1460</v>
      </c>
      <c r="DI24" s="542"/>
      <c r="DJ24" s="542"/>
      <c r="DK24" s="542"/>
      <c r="DL24" s="542"/>
      <c r="DM24" s="542">
        <f>1400+60</f>
        <v>1460</v>
      </c>
      <c r="DN24" s="542">
        <f>DM24</f>
        <v>1460</v>
      </c>
      <c r="DO24" s="542"/>
      <c r="DP24" s="542"/>
      <c r="DQ24" s="542"/>
      <c r="DR24" s="542"/>
      <c r="DS24" s="542">
        <f>30</f>
        <v>30</v>
      </c>
      <c r="DT24" s="542">
        <f>DS24</f>
        <v>30</v>
      </c>
      <c r="DU24" s="545"/>
      <c r="DV24" s="542"/>
      <c r="DW24" s="542"/>
      <c r="DX24" s="542"/>
      <c r="DY24" s="542">
        <f>30</f>
        <v>30</v>
      </c>
      <c r="DZ24" s="542">
        <f>DY24</f>
        <v>30</v>
      </c>
      <c r="EA24" s="542"/>
      <c r="EB24" s="542"/>
      <c r="EC24" s="542"/>
      <c r="ED24" s="542"/>
      <c r="EE24" s="542">
        <f>2000+200</f>
        <v>2200</v>
      </c>
      <c r="EF24" s="542">
        <f>EE24</f>
        <v>2200</v>
      </c>
      <c r="EG24" s="542"/>
      <c r="EH24" s="542"/>
      <c r="EI24" s="542"/>
      <c r="EJ24" s="542"/>
      <c r="EK24" s="542">
        <f>2000+200</f>
        <v>2200</v>
      </c>
      <c r="EL24" s="542">
        <f>EK24</f>
        <v>2200</v>
      </c>
      <c r="EM24" s="542"/>
      <c r="EN24" s="542"/>
      <c r="EO24" s="542"/>
      <c r="EP24" s="542"/>
      <c r="EQ24" s="542">
        <f>1400+40</f>
        <v>1440</v>
      </c>
      <c r="ER24" s="542">
        <f>EQ24</f>
        <v>1440</v>
      </c>
      <c r="ES24" s="542"/>
      <c r="ET24" s="542"/>
      <c r="EU24" s="542"/>
      <c r="EV24" s="542"/>
      <c r="EW24" s="542">
        <f>1400+40</f>
        <v>1440</v>
      </c>
      <c r="EX24" s="542">
        <f>EW24</f>
        <v>1440</v>
      </c>
      <c r="EY24" s="542"/>
      <c r="EZ24" s="542"/>
      <c r="FA24" s="542"/>
      <c r="FB24" s="542"/>
      <c r="FC24" s="830">
        <f>E24/C24</f>
        <v>0</v>
      </c>
      <c r="FD24" s="830">
        <f>F24/D24</f>
        <v>0</v>
      </c>
      <c r="FE24" s="836">
        <f>E24-C24</f>
        <v>-16300</v>
      </c>
      <c r="FF24" s="836">
        <f>F24-D24</f>
        <v>-16300</v>
      </c>
    </row>
    <row r="25" spans="1:162" s="154" customFormat="1" x14ac:dyDescent="0.25">
      <c r="A25" s="152">
        <v>7</v>
      </c>
      <c r="B25" s="216" t="s">
        <v>529</v>
      </c>
      <c r="C25" s="541">
        <f t="shared" si="68"/>
        <v>140000</v>
      </c>
      <c r="D25" s="541">
        <f t="shared" si="68"/>
        <v>140000</v>
      </c>
      <c r="E25" s="541">
        <f t="shared" si="68"/>
        <v>51610</v>
      </c>
      <c r="F25" s="541">
        <f t="shared" si="68"/>
        <v>51335</v>
      </c>
      <c r="G25" s="541">
        <f t="shared" si="68"/>
        <v>79300</v>
      </c>
      <c r="H25" s="541">
        <f t="shared" si="69"/>
        <v>79300</v>
      </c>
      <c r="I25" s="541">
        <f t="shared" si="69"/>
        <v>76000</v>
      </c>
      <c r="J25" s="541">
        <f t="shared" si="69"/>
        <v>76000</v>
      </c>
      <c r="K25" s="541"/>
      <c r="L25" s="541"/>
      <c r="M25" s="541"/>
      <c r="N25" s="541"/>
      <c r="O25" s="541">
        <f>SUM(O26:O27)</f>
        <v>1600</v>
      </c>
      <c r="P25" s="541">
        <f>SUM(P26:P27)</f>
        <v>1600</v>
      </c>
      <c r="Q25" s="541">
        <f t="shared" ref="Q25:V25" si="85">SUM(Q26:Q27)</f>
        <v>811</v>
      </c>
      <c r="R25" s="541">
        <f t="shared" si="85"/>
        <v>811</v>
      </c>
      <c r="S25" s="541">
        <f t="shared" si="85"/>
        <v>1000</v>
      </c>
      <c r="T25" s="541">
        <f t="shared" si="85"/>
        <v>1000</v>
      </c>
      <c r="U25" s="541">
        <f t="shared" si="85"/>
        <v>1000</v>
      </c>
      <c r="V25" s="541">
        <f t="shared" si="85"/>
        <v>1000</v>
      </c>
      <c r="W25" s="541">
        <f>+U25-S25</f>
        <v>0</v>
      </c>
      <c r="X25" s="541">
        <f>+U25/S25*100</f>
        <v>100</v>
      </c>
      <c r="Y25" s="541">
        <f>+S25-O25</f>
        <v>-600</v>
      </c>
      <c r="Z25" s="541"/>
      <c r="AA25" s="541">
        <f>SUM(AA26:AA27)</f>
        <v>6000</v>
      </c>
      <c r="AB25" s="541">
        <f>SUM(AB26:AB27)</f>
        <v>6000</v>
      </c>
      <c r="AC25" s="541">
        <f t="shared" ref="AC25:AH25" si="86">SUM(AC26:AC27)</f>
        <v>1216</v>
      </c>
      <c r="AD25" s="541">
        <f t="shared" si="86"/>
        <v>1216</v>
      </c>
      <c r="AE25" s="541">
        <f>SUM(AE26:AE27)</f>
        <v>3000</v>
      </c>
      <c r="AF25" s="541">
        <f t="shared" si="86"/>
        <v>3000</v>
      </c>
      <c r="AG25" s="541">
        <f t="shared" si="86"/>
        <v>3000</v>
      </c>
      <c r="AH25" s="541">
        <f t="shared" si="86"/>
        <v>3000</v>
      </c>
      <c r="AI25" s="541">
        <f>+AG25-AE25</f>
        <v>0</v>
      </c>
      <c r="AJ25" s="541">
        <f>+AG25/AE25*100</f>
        <v>100</v>
      </c>
      <c r="AK25" s="541"/>
      <c r="AL25" s="541"/>
      <c r="AM25" s="541">
        <f>SUM(AM26:AM27)</f>
        <v>400</v>
      </c>
      <c r="AN25" s="541">
        <f>SUM(AN26:AN27)</f>
        <v>400</v>
      </c>
      <c r="AO25" s="541">
        <f t="shared" ref="AO25:AT25" si="87">SUM(AO26:AO27)</f>
        <v>11371</v>
      </c>
      <c r="AP25" s="541">
        <f t="shared" si="87"/>
        <v>11371</v>
      </c>
      <c r="AQ25" s="541">
        <f>SUM(AQ26:AQ27)</f>
        <v>8000</v>
      </c>
      <c r="AR25" s="541">
        <f t="shared" si="87"/>
        <v>8000</v>
      </c>
      <c r="AS25" s="541">
        <f t="shared" si="87"/>
        <v>600</v>
      </c>
      <c r="AT25" s="541">
        <f t="shared" si="87"/>
        <v>600</v>
      </c>
      <c r="AU25" s="541">
        <f>+AS25-AQ25</f>
        <v>-7400</v>
      </c>
      <c r="AV25" s="541">
        <f>+AS25/AQ25*100</f>
        <v>7.5</v>
      </c>
      <c r="AW25" s="541"/>
      <c r="AX25" s="541"/>
      <c r="AY25" s="541">
        <f>SUM(AY26:AY27)</f>
        <v>1500</v>
      </c>
      <c r="AZ25" s="541">
        <f>SUM(AZ26:AZ27)</f>
        <v>1500</v>
      </c>
      <c r="BA25" s="541">
        <f t="shared" ref="BA25:BF25" si="88">SUM(BA26:BA27)</f>
        <v>405</v>
      </c>
      <c r="BB25" s="541">
        <f t="shared" si="88"/>
        <v>306</v>
      </c>
      <c r="BC25" s="541">
        <f>SUM(BC26:BC27)</f>
        <v>600</v>
      </c>
      <c r="BD25" s="541">
        <f t="shared" si="88"/>
        <v>600</v>
      </c>
      <c r="BE25" s="541">
        <f t="shared" si="88"/>
        <v>600</v>
      </c>
      <c r="BF25" s="541">
        <f t="shared" si="88"/>
        <v>600</v>
      </c>
      <c r="BG25" s="541">
        <f>+BE25-BC25</f>
        <v>0</v>
      </c>
      <c r="BH25" s="541">
        <f>+BE25/BC25*100</f>
        <v>100</v>
      </c>
      <c r="BI25" s="541"/>
      <c r="BJ25" s="541"/>
      <c r="BK25" s="541">
        <f>SUM(BK26:BK27)</f>
        <v>7000</v>
      </c>
      <c r="BL25" s="541">
        <f>SUM(BL26:BL27)</f>
        <v>7000</v>
      </c>
      <c r="BM25" s="541">
        <f t="shared" ref="BM25:BR25" si="89">SUM(BM26:BM27)</f>
        <v>7392</v>
      </c>
      <c r="BN25" s="541">
        <f t="shared" si="89"/>
        <v>7392</v>
      </c>
      <c r="BO25" s="541">
        <f>SUM(BO26:BO27)</f>
        <v>7000</v>
      </c>
      <c r="BP25" s="541">
        <f t="shared" si="89"/>
        <v>7000</v>
      </c>
      <c r="BQ25" s="541">
        <f t="shared" si="89"/>
        <v>8000</v>
      </c>
      <c r="BR25" s="541">
        <f t="shared" si="89"/>
        <v>8000</v>
      </c>
      <c r="BS25" s="541">
        <f>+BQ25-BO25</f>
        <v>1000</v>
      </c>
      <c r="BT25" s="541">
        <f>+BQ25/BO25*100</f>
        <v>114.28571428571428</v>
      </c>
      <c r="BU25" s="541"/>
      <c r="BV25" s="541"/>
      <c r="BW25" s="541">
        <f>SUM(BW26:BW27)</f>
        <v>50000</v>
      </c>
      <c r="BX25" s="541">
        <f>SUM(BX26:BX27)</f>
        <v>50000</v>
      </c>
      <c r="BY25" s="541">
        <f t="shared" ref="BY25:CD25" si="90">SUM(BY26:BY27)</f>
        <v>16481</v>
      </c>
      <c r="BZ25" s="541">
        <f t="shared" si="90"/>
        <v>16481</v>
      </c>
      <c r="CA25" s="541">
        <f>SUM(CA26:CA27)</f>
        <v>30000</v>
      </c>
      <c r="CB25" s="541">
        <f t="shared" si="90"/>
        <v>30000</v>
      </c>
      <c r="CC25" s="541">
        <f t="shared" si="90"/>
        <v>33000</v>
      </c>
      <c r="CD25" s="541">
        <f t="shared" si="90"/>
        <v>33000</v>
      </c>
      <c r="CE25" s="541">
        <f>+CC25-CA25</f>
        <v>3000</v>
      </c>
      <c r="CF25" s="541">
        <f>+CC25/CA25*100</f>
        <v>110.00000000000001</v>
      </c>
      <c r="CG25" s="541"/>
      <c r="CH25" s="541"/>
      <c r="CI25" s="541">
        <f>SUM(CI26:CI27)</f>
        <v>7000</v>
      </c>
      <c r="CJ25" s="541">
        <f>SUM(CJ26:CJ27)</f>
        <v>7000</v>
      </c>
      <c r="CK25" s="541">
        <f t="shared" ref="CK25:CP25" si="91">SUM(CK26:CK27)</f>
        <v>875</v>
      </c>
      <c r="CL25" s="541">
        <f t="shared" si="91"/>
        <v>875</v>
      </c>
      <c r="CM25" s="541">
        <f>SUM(CM26:CM27)</f>
        <v>2600</v>
      </c>
      <c r="CN25" s="541">
        <f t="shared" si="91"/>
        <v>2600</v>
      </c>
      <c r="CO25" s="541">
        <f t="shared" si="91"/>
        <v>3000</v>
      </c>
      <c r="CP25" s="541">
        <f t="shared" si="91"/>
        <v>3000</v>
      </c>
      <c r="CQ25" s="541">
        <f>+CO25-CM25</f>
        <v>400</v>
      </c>
      <c r="CR25" s="541">
        <f>+CO25/CM25*100</f>
        <v>115.38461538461537</v>
      </c>
      <c r="CS25" s="541"/>
      <c r="CT25" s="541"/>
      <c r="CU25" s="541">
        <f>SUM(CU26:CU27)</f>
        <v>1700</v>
      </c>
      <c r="CV25" s="541">
        <f>SUM(CV26:CV27)</f>
        <v>1700</v>
      </c>
      <c r="CW25" s="541">
        <f t="shared" ref="CW25:DB25" si="92">SUM(CW26:CW27)</f>
        <v>1207</v>
      </c>
      <c r="CX25" s="541">
        <f t="shared" si="92"/>
        <v>1207</v>
      </c>
      <c r="CY25" s="541">
        <f>SUM(CY26:CY27)</f>
        <v>1900</v>
      </c>
      <c r="CZ25" s="541">
        <f t="shared" si="92"/>
        <v>1900</v>
      </c>
      <c r="DA25" s="541">
        <f t="shared" si="92"/>
        <v>2000</v>
      </c>
      <c r="DB25" s="541">
        <f t="shared" si="92"/>
        <v>2000</v>
      </c>
      <c r="DC25" s="541">
        <f>+DA25-CY25</f>
        <v>100</v>
      </c>
      <c r="DD25" s="541">
        <f>+DA25/CY25*100</f>
        <v>105.26315789473684</v>
      </c>
      <c r="DE25" s="541"/>
      <c r="DF25" s="541"/>
      <c r="DG25" s="541">
        <f>SUM(DG26:DG27)</f>
        <v>3000</v>
      </c>
      <c r="DH25" s="541">
        <f>SUM(DH26:DH27)</f>
        <v>3000</v>
      </c>
      <c r="DI25" s="541">
        <f t="shared" ref="DI25:DN25" si="93">SUM(DI26:DI27)</f>
        <v>6398</v>
      </c>
      <c r="DJ25" s="541">
        <f t="shared" si="93"/>
        <v>6398</v>
      </c>
      <c r="DK25" s="541">
        <f>SUM(DK26:DK27)</f>
        <v>6400</v>
      </c>
      <c r="DL25" s="541">
        <f t="shared" si="93"/>
        <v>6400</v>
      </c>
      <c r="DM25" s="541">
        <f t="shared" si="93"/>
        <v>3000</v>
      </c>
      <c r="DN25" s="541">
        <f t="shared" si="93"/>
        <v>3000</v>
      </c>
      <c r="DO25" s="541">
        <f>+DM25-DK25</f>
        <v>-3400</v>
      </c>
      <c r="DP25" s="541">
        <f>+DM25/DK25*100</f>
        <v>46.875</v>
      </c>
      <c r="DQ25" s="541"/>
      <c r="DR25" s="541"/>
      <c r="DS25" s="541">
        <f>SUM(DS26:DS27)</f>
        <v>800</v>
      </c>
      <c r="DT25" s="541">
        <f>SUM(DT26:DT27)</f>
        <v>800</v>
      </c>
      <c r="DU25" s="541">
        <f t="shared" ref="DU25:DZ25" si="94">SUM(DU26:DU27)</f>
        <v>527</v>
      </c>
      <c r="DV25" s="541">
        <f t="shared" si="94"/>
        <v>351</v>
      </c>
      <c r="DW25" s="541">
        <f>SUM(DW26:DW27)</f>
        <v>800</v>
      </c>
      <c r="DX25" s="541">
        <f t="shared" si="94"/>
        <v>800</v>
      </c>
      <c r="DY25" s="541">
        <f t="shared" si="94"/>
        <v>800</v>
      </c>
      <c r="DZ25" s="541">
        <f t="shared" si="94"/>
        <v>800</v>
      </c>
      <c r="EA25" s="541">
        <f>+DY25-DW25</f>
        <v>0</v>
      </c>
      <c r="EB25" s="541">
        <f>+DY25/DW25*100</f>
        <v>100</v>
      </c>
      <c r="EC25" s="541"/>
      <c r="ED25" s="541"/>
      <c r="EE25" s="541">
        <f>SUM(EE26:EE27)</f>
        <v>58000</v>
      </c>
      <c r="EF25" s="541">
        <f>SUM(EF26:EF27)</f>
        <v>58000</v>
      </c>
      <c r="EG25" s="541">
        <f t="shared" ref="EG25:EL25" si="95">SUM(EG26:EG27)</f>
        <v>3930</v>
      </c>
      <c r="EH25" s="541">
        <f t="shared" si="95"/>
        <v>3930</v>
      </c>
      <c r="EI25" s="541">
        <f>SUM(EI26:EI27)</f>
        <v>15000</v>
      </c>
      <c r="EJ25" s="541">
        <f t="shared" si="95"/>
        <v>15000</v>
      </c>
      <c r="EK25" s="541">
        <f t="shared" si="95"/>
        <v>18000</v>
      </c>
      <c r="EL25" s="541">
        <f t="shared" si="95"/>
        <v>18000</v>
      </c>
      <c r="EM25" s="541">
        <f>+EK25-EI25</f>
        <v>3000</v>
      </c>
      <c r="EN25" s="541">
        <f>+EK25/EI25*100</f>
        <v>120</v>
      </c>
      <c r="EO25" s="541"/>
      <c r="EP25" s="541"/>
      <c r="EQ25" s="541">
        <f>SUM(EQ26:EQ27)</f>
        <v>3000</v>
      </c>
      <c r="ER25" s="541">
        <f>SUM(ER26:ER27)</f>
        <v>3000</v>
      </c>
      <c r="ES25" s="541">
        <f t="shared" ref="ES25:EX25" si="96">SUM(ES26:ES27)</f>
        <v>997</v>
      </c>
      <c r="ET25" s="541">
        <f t="shared" si="96"/>
        <v>997</v>
      </c>
      <c r="EU25" s="541">
        <f>SUM(EU26:EU27)</f>
        <v>3000</v>
      </c>
      <c r="EV25" s="541">
        <f t="shared" si="96"/>
        <v>3000</v>
      </c>
      <c r="EW25" s="541">
        <f t="shared" si="96"/>
        <v>3000</v>
      </c>
      <c r="EX25" s="541">
        <f t="shared" si="96"/>
        <v>3000</v>
      </c>
      <c r="EY25" s="541">
        <f>+EW25-EU25</f>
        <v>0</v>
      </c>
      <c r="EZ25" s="541">
        <f>+EW25/EU25*100</f>
        <v>100</v>
      </c>
      <c r="FA25" s="541"/>
      <c r="FB25" s="541"/>
      <c r="FC25" s="829">
        <f>E25/C25</f>
        <v>0.36864285714285716</v>
      </c>
      <c r="FD25" s="829">
        <f>F25/D25</f>
        <v>0.36667857142857141</v>
      </c>
      <c r="FE25" s="835">
        <f>E25-C25</f>
        <v>-88390</v>
      </c>
      <c r="FF25" s="835">
        <f>F25-D25</f>
        <v>-88665</v>
      </c>
    </row>
    <row r="26" spans="1:162" x14ac:dyDescent="0.25">
      <c r="A26" s="291" t="s">
        <v>564</v>
      </c>
      <c r="B26" s="218" t="s">
        <v>1555</v>
      </c>
      <c r="C26" s="542">
        <f t="shared" si="68"/>
        <v>0</v>
      </c>
      <c r="D26" s="542">
        <f t="shared" si="68"/>
        <v>0</v>
      </c>
      <c r="E26" s="542">
        <f t="shared" si="68"/>
        <v>275</v>
      </c>
      <c r="F26" s="542">
        <f t="shared" si="68"/>
        <v>0</v>
      </c>
      <c r="G26" s="542">
        <f t="shared" si="68"/>
        <v>0</v>
      </c>
      <c r="H26" s="542">
        <f t="shared" si="68"/>
        <v>0</v>
      </c>
      <c r="I26" s="542">
        <f t="shared" si="68"/>
        <v>0</v>
      </c>
      <c r="J26" s="542">
        <f t="shared" si="68"/>
        <v>0</v>
      </c>
      <c r="K26" s="542"/>
      <c r="L26" s="542"/>
      <c r="M26" s="542"/>
      <c r="N26" s="542"/>
      <c r="O26" s="542"/>
      <c r="P26" s="542">
        <v>0</v>
      </c>
      <c r="Q26" s="542">
        <v>0</v>
      </c>
      <c r="R26" s="542">
        <v>0</v>
      </c>
      <c r="S26" s="542">
        <f>Q26/8*12</f>
        <v>0</v>
      </c>
      <c r="T26" s="542">
        <v>0</v>
      </c>
      <c r="U26" s="542"/>
      <c r="V26" s="542">
        <v>0</v>
      </c>
      <c r="W26" s="542"/>
      <c r="X26" s="542"/>
      <c r="Y26" s="542"/>
      <c r="Z26" s="542"/>
      <c r="AA26" s="542"/>
      <c r="AB26" s="542">
        <v>0</v>
      </c>
      <c r="AC26" s="542">
        <v>0</v>
      </c>
      <c r="AD26" s="542">
        <v>0</v>
      </c>
      <c r="AE26" s="542">
        <f>AC26/8*12</f>
        <v>0</v>
      </c>
      <c r="AF26" s="542">
        <v>0</v>
      </c>
      <c r="AG26" s="542"/>
      <c r="AH26" s="542">
        <v>0</v>
      </c>
      <c r="AI26" s="542"/>
      <c r="AJ26" s="542"/>
      <c r="AK26" s="542"/>
      <c r="AL26" s="542"/>
      <c r="AM26" s="542"/>
      <c r="AN26" s="542">
        <v>0</v>
      </c>
      <c r="AO26" s="542">
        <v>0</v>
      </c>
      <c r="AP26" s="542">
        <v>0</v>
      </c>
      <c r="AQ26" s="542">
        <f>AO26/8*12</f>
        <v>0</v>
      </c>
      <c r="AR26" s="542">
        <v>0</v>
      </c>
      <c r="AS26" s="542"/>
      <c r="AT26" s="542">
        <v>0</v>
      </c>
      <c r="AU26" s="542"/>
      <c r="AV26" s="542"/>
      <c r="AW26" s="542"/>
      <c r="AX26" s="542"/>
      <c r="AY26" s="542">
        <v>0</v>
      </c>
      <c r="AZ26" s="542">
        <v>0</v>
      </c>
      <c r="BA26" s="542">
        <f>405-306</f>
        <v>99</v>
      </c>
      <c r="BB26" s="542">
        <v>0</v>
      </c>
      <c r="BC26" s="542"/>
      <c r="BD26" s="542">
        <v>0</v>
      </c>
      <c r="BE26" s="542">
        <v>0</v>
      </c>
      <c r="BF26" s="542">
        <v>0</v>
      </c>
      <c r="BG26" s="542"/>
      <c r="BH26" s="542"/>
      <c r="BI26" s="542"/>
      <c r="BJ26" s="542"/>
      <c r="BK26" s="542"/>
      <c r="BL26" s="542">
        <v>0</v>
      </c>
      <c r="BM26" s="542">
        <v>0</v>
      </c>
      <c r="BN26" s="542">
        <v>0</v>
      </c>
      <c r="BO26" s="542">
        <f>BM26/8*12</f>
        <v>0</v>
      </c>
      <c r="BP26" s="542">
        <v>0</v>
      </c>
      <c r="BQ26" s="542"/>
      <c r="BR26" s="542">
        <v>0</v>
      </c>
      <c r="BS26" s="542"/>
      <c r="BT26" s="542"/>
      <c r="BU26" s="542"/>
      <c r="BV26" s="542"/>
      <c r="BW26" s="542">
        <v>0</v>
      </c>
      <c r="BX26" s="542">
        <v>0</v>
      </c>
      <c r="BY26" s="542">
        <v>0</v>
      </c>
      <c r="BZ26" s="542">
        <v>0</v>
      </c>
      <c r="CA26" s="542">
        <f>BY26/8*12</f>
        <v>0</v>
      </c>
      <c r="CB26" s="542">
        <v>0</v>
      </c>
      <c r="CC26" s="542">
        <v>0</v>
      </c>
      <c r="CD26" s="542">
        <v>0</v>
      </c>
      <c r="CE26" s="542"/>
      <c r="CF26" s="542"/>
      <c r="CG26" s="542"/>
      <c r="CH26" s="542"/>
      <c r="CI26" s="545">
        <v>0</v>
      </c>
      <c r="CJ26" s="542">
        <v>0</v>
      </c>
      <c r="CK26" s="542">
        <v>0</v>
      </c>
      <c r="CL26" s="542">
        <v>0</v>
      </c>
      <c r="CM26" s="542">
        <f>CK26/8*12</f>
        <v>0</v>
      </c>
      <c r="CN26" s="542">
        <v>0</v>
      </c>
      <c r="CO26" s="545">
        <v>0</v>
      </c>
      <c r="CP26" s="542">
        <v>0</v>
      </c>
      <c r="CQ26" s="542"/>
      <c r="CR26" s="542"/>
      <c r="CS26" s="542"/>
      <c r="CT26" s="542"/>
      <c r="CU26" s="542">
        <v>0</v>
      </c>
      <c r="CV26" s="542">
        <v>0</v>
      </c>
      <c r="CW26" s="542">
        <v>0</v>
      </c>
      <c r="CX26" s="542">
        <v>0</v>
      </c>
      <c r="CY26" s="542">
        <f>CW26/8*12</f>
        <v>0</v>
      </c>
      <c r="CZ26" s="542">
        <v>0</v>
      </c>
      <c r="DA26" s="542">
        <v>0</v>
      </c>
      <c r="DB26" s="542">
        <v>0</v>
      </c>
      <c r="DC26" s="542"/>
      <c r="DD26" s="542"/>
      <c r="DE26" s="542"/>
      <c r="DF26" s="542"/>
      <c r="DG26" s="542">
        <v>0</v>
      </c>
      <c r="DH26" s="542">
        <v>0</v>
      </c>
      <c r="DI26" s="542">
        <v>0</v>
      </c>
      <c r="DJ26" s="542">
        <v>0</v>
      </c>
      <c r="DK26" s="542">
        <f>DI26/8*12</f>
        <v>0</v>
      </c>
      <c r="DL26" s="542">
        <v>0</v>
      </c>
      <c r="DM26" s="542">
        <v>0</v>
      </c>
      <c r="DN26" s="542">
        <v>0</v>
      </c>
      <c r="DO26" s="542"/>
      <c r="DP26" s="542"/>
      <c r="DQ26" s="542"/>
      <c r="DR26" s="542"/>
      <c r="DS26" s="542">
        <v>0</v>
      </c>
      <c r="DT26" s="542">
        <v>0</v>
      </c>
      <c r="DU26" s="542">
        <f>527-351</f>
        <v>176</v>
      </c>
      <c r="DV26" s="542">
        <v>0</v>
      </c>
      <c r="DW26" s="542"/>
      <c r="DX26" s="542">
        <v>0</v>
      </c>
      <c r="DY26" s="542">
        <v>0</v>
      </c>
      <c r="DZ26" s="542">
        <v>0</v>
      </c>
      <c r="EA26" s="542"/>
      <c r="EB26" s="542"/>
      <c r="EC26" s="542"/>
      <c r="ED26" s="542"/>
      <c r="EE26" s="542">
        <v>0</v>
      </c>
      <c r="EF26" s="542">
        <v>0</v>
      </c>
      <c r="EG26" s="542">
        <f>+(0)</f>
        <v>0</v>
      </c>
      <c r="EH26" s="542">
        <v>0</v>
      </c>
      <c r="EI26" s="542">
        <f>EG26/8*12</f>
        <v>0</v>
      </c>
      <c r="EJ26" s="542">
        <v>0</v>
      </c>
      <c r="EK26" s="542">
        <v>0</v>
      </c>
      <c r="EL26" s="542">
        <v>0</v>
      </c>
      <c r="EM26" s="542"/>
      <c r="EN26" s="542"/>
      <c r="EO26" s="542"/>
      <c r="EP26" s="542"/>
      <c r="EQ26" s="542"/>
      <c r="ER26" s="542">
        <v>0</v>
      </c>
      <c r="ES26" s="542">
        <v>0</v>
      </c>
      <c r="ET26" s="542">
        <v>0</v>
      </c>
      <c r="EU26" s="542">
        <f>ES26/8*12</f>
        <v>0</v>
      </c>
      <c r="EV26" s="542">
        <v>0</v>
      </c>
      <c r="EW26" s="542"/>
      <c r="EX26" s="542">
        <v>0</v>
      </c>
      <c r="EY26" s="542"/>
      <c r="EZ26" s="542"/>
      <c r="FA26" s="542"/>
      <c r="FB26" s="542"/>
      <c r="FC26" s="830"/>
      <c r="FD26" s="830"/>
      <c r="FE26" s="836"/>
      <c r="FF26" s="836"/>
    </row>
    <row r="27" spans="1:162" x14ac:dyDescent="0.25">
      <c r="A27" s="291" t="s">
        <v>564</v>
      </c>
      <c r="B27" s="218" t="s">
        <v>1539</v>
      </c>
      <c r="C27" s="542">
        <f t="shared" si="68"/>
        <v>140000</v>
      </c>
      <c r="D27" s="542">
        <f t="shared" si="68"/>
        <v>140000</v>
      </c>
      <c r="E27" s="542">
        <f t="shared" si="68"/>
        <v>51335</v>
      </c>
      <c r="F27" s="542">
        <f t="shared" si="68"/>
        <v>51335</v>
      </c>
      <c r="G27" s="542">
        <f t="shared" si="68"/>
        <v>79300</v>
      </c>
      <c r="H27" s="542">
        <f t="shared" si="68"/>
        <v>79300</v>
      </c>
      <c r="I27" s="542">
        <f t="shared" si="68"/>
        <v>76000</v>
      </c>
      <c r="J27" s="542">
        <f t="shared" si="68"/>
        <v>76000</v>
      </c>
      <c r="K27" s="542"/>
      <c r="L27" s="542"/>
      <c r="M27" s="542"/>
      <c r="N27" s="542"/>
      <c r="O27" s="542">
        <v>1600</v>
      </c>
      <c r="P27" s="542">
        <f>O27</f>
        <v>1600</v>
      </c>
      <c r="Q27" s="542">
        <v>811</v>
      </c>
      <c r="R27" s="542">
        <f>Q27</f>
        <v>811</v>
      </c>
      <c r="S27" s="542">
        <f>1000-S26</f>
        <v>1000</v>
      </c>
      <c r="T27" s="542">
        <f>S27</f>
        <v>1000</v>
      </c>
      <c r="U27" s="542">
        <f>1000-U26</f>
        <v>1000</v>
      </c>
      <c r="V27" s="542">
        <f>U27</f>
        <v>1000</v>
      </c>
      <c r="W27" s="542"/>
      <c r="X27" s="542"/>
      <c r="Y27" s="542"/>
      <c r="Z27" s="542"/>
      <c r="AA27" s="542">
        <v>6000</v>
      </c>
      <c r="AB27" s="542">
        <f>AA27</f>
        <v>6000</v>
      </c>
      <c r="AC27" s="542">
        <f>1216-AC26</f>
        <v>1216</v>
      </c>
      <c r="AD27" s="542">
        <f>AC27</f>
        <v>1216</v>
      </c>
      <c r="AE27" s="542">
        <f>3000-AE26</f>
        <v>3000</v>
      </c>
      <c r="AF27" s="542">
        <f>AE27</f>
        <v>3000</v>
      </c>
      <c r="AG27" s="542">
        <f>3000-AG26</f>
        <v>3000</v>
      </c>
      <c r="AH27" s="542">
        <f>AG27</f>
        <v>3000</v>
      </c>
      <c r="AI27" s="542"/>
      <c r="AJ27" s="542"/>
      <c r="AK27" s="542"/>
      <c r="AL27" s="542"/>
      <c r="AM27" s="542">
        <v>400</v>
      </c>
      <c r="AN27" s="542">
        <f>AM27</f>
        <v>400</v>
      </c>
      <c r="AO27" s="542">
        <f>11371-AO26</f>
        <v>11371</v>
      </c>
      <c r="AP27" s="542">
        <f>AO27</f>
        <v>11371</v>
      </c>
      <c r="AQ27" s="542">
        <f>8000-AQ26</f>
        <v>8000</v>
      </c>
      <c r="AR27" s="542">
        <f>AQ27</f>
        <v>8000</v>
      </c>
      <c r="AS27" s="542">
        <f>600-AS26</f>
        <v>600</v>
      </c>
      <c r="AT27" s="542">
        <f>AS27</f>
        <v>600</v>
      </c>
      <c r="AU27" s="542"/>
      <c r="AV27" s="542"/>
      <c r="AW27" s="542"/>
      <c r="AX27" s="542"/>
      <c r="AY27" s="542">
        <v>1500</v>
      </c>
      <c r="AZ27" s="542">
        <f>AY27</f>
        <v>1500</v>
      </c>
      <c r="BA27" s="542">
        <f>405-BA26</f>
        <v>306</v>
      </c>
      <c r="BB27" s="542">
        <f>BA27</f>
        <v>306</v>
      </c>
      <c r="BC27" s="542">
        <f>600-BC26</f>
        <v>600</v>
      </c>
      <c r="BD27" s="542">
        <f>BC27</f>
        <v>600</v>
      </c>
      <c r="BE27" s="542">
        <f>600-BE26</f>
        <v>600</v>
      </c>
      <c r="BF27" s="542">
        <f>BE27</f>
        <v>600</v>
      </c>
      <c r="BG27" s="542"/>
      <c r="BH27" s="542"/>
      <c r="BI27" s="542"/>
      <c r="BJ27" s="542"/>
      <c r="BK27" s="542">
        <v>7000</v>
      </c>
      <c r="BL27" s="542">
        <f>BK27</f>
        <v>7000</v>
      </c>
      <c r="BM27" s="542">
        <f>7392-BM26</f>
        <v>7392</v>
      </c>
      <c r="BN27" s="542">
        <f>BM27</f>
        <v>7392</v>
      </c>
      <c r="BO27" s="542">
        <f>7000-BO26</f>
        <v>7000</v>
      </c>
      <c r="BP27" s="542">
        <f>BO27</f>
        <v>7000</v>
      </c>
      <c r="BQ27" s="542">
        <f>8000-BQ26</f>
        <v>8000</v>
      </c>
      <c r="BR27" s="542">
        <f>BQ27</f>
        <v>8000</v>
      </c>
      <c r="BS27" s="542"/>
      <c r="BT27" s="542"/>
      <c r="BU27" s="542"/>
      <c r="BV27" s="542"/>
      <c r="BW27" s="542">
        <v>50000</v>
      </c>
      <c r="BX27" s="542">
        <f>BW27</f>
        <v>50000</v>
      </c>
      <c r="BY27" s="542">
        <f>16481-BY26</f>
        <v>16481</v>
      </c>
      <c r="BZ27" s="542">
        <f>BY27</f>
        <v>16481</v>
      </c>
      <c r="CA27" s="542">
        <f>30000-CA26</f>
        <v>30000</v>
      </c>
      <c r="CB27" s="542">
        <f>CA27</f>
        <v>30000</v>
      </c>
      <c r="CC27" s="542">
        <f>33000-CC26</f>
        <v>33000</v>
      </c>
      <c r="CD27" s="542">
        <f>CC27</f>
        <v>33000</v>
      </c>
      <c r="CE27" s="542"/>
      <c r="CF27" s="542"/>
      <c r="CG27" s="542"/>
      <c r="CH27" s="542"/>
      <c r="CI27" s="542">
        <v>7000</v>
      </c>
      <c r="CJ27" s="542">
        <f>CI27</f>
        <v>7000</v>
      </c>
      <c r="CK27" s="542">
        <f>875-CK26</f>
        <v>875</v>
      </c>
      <c r="CL27" s="542">
        <f>CK27</f>
        <v>875</v>
      </c>
      <c r="CM27" s="542">
        <f>2600-CM26</f>
        <v>2600</v>
      </c>
      <c r="CN27" s="542">
        <f>CM27</f>
        <v>2600</v>
      </c>
      <c r="CO27" s="542">
        <f>3000-CO26</f>
        <v>3000</v>
      </c>
      <c r="CP27" s="542">
        <f>CO27</f>
        <v>3000</v>
      </c>
      <c r="CQ27" s="542"/>
      <c r="CR27" s="542"/>
      <c r="CS27" s="542"/>
      <c r="CT27" s="542"/>
      <c r="CU27" s="542">
        <v>1700</v>
      </c>
      <c r="CV27" s="542">
        <f>CU27</f>
        <v>1700</v>
      </c>
      <c r="CW27" s="542">
        <f>1207-CW26</f>
        <v>1207</v>
      </c>
      <c r="CX27" s="542">
        <f>CW27</f>
        <v>1207</v>
      </c>
      <c r="CY27" s="542">
        <f>1900-CY26</f>
        <v>1900</v>
      </c>
      <c r="CZ27" s="542">
        <f>CY27</f>
        <v>1900</v>
      </c>
      <c r="DA27" s="542">
        <f>2000-DA26</f>
        <v>2000</v>
      </c>
      <c r="DB27" s="542">
        <f>DA27</f>
        <v>2000</v>
      </c>
      <c r="DC27" s="542"/>
      <c r="DD27" s="542"/>
      <c r="DE27" s="542"/>
      <c r="DF27" s="542"/>
      <c r="DG27" s="542">
        <v>3000</v>
      </c>
      <c r="DH27" s="542">
        <f>DG27</f>
        <v>3000</v>
      </c>
      <c r="DI27" s="542">
        <f>6398-DI26</f>
        <v>6398</v>
      </c>
      <c r="DJ27" s="542">
        <f>DI27</f>
        <v>6398</v>
      </c>
      <c r="DK27" s="542">
        <f>6400-DK26</f>
        <v>6400</v>
      </c>
      <c r="DL27" s="542">
        <f>DK27</f>
        <v>6400</v>
      </c>
      <c r="DM27" s="542">
        <f>3000-DM26</f>
        <v>3000</v>
      </c>
      <c r="DN27" s="542">
        <f>DM27</f>
        <v>3000</v>
      </c>
      <c r="DO27" s="542"/>
      <c r="DP27" s="542"/>
      <c r="DQ27" s="542"/>
      <c r="DR27" s="542"/>
      <c r="DS27" s="542">
        <v>800</v>
      </c>
      <c r="DT27" s="542">
        <f>DS27</f>
        <v>800</v>
      </c>
      <c r="DU27" s="542">
        <f>527-DU26</f>
        <v>351</v>
      </c>
      <c r="DV27" s="542">
        <f>DU27</f>
        <v>351</v>
      </c>
      <c r="DW27" s="542">
        <f>800-DW26</f>
        <v>800</v>
      </c>
      <c r="DX27" s="542">
        <f>DW27</f>
        <v>800</v>
      </c>
      <c r="DY27" s="542">
        <f>800-DY26</f>
        <v>800</v>
      </c>
      <c r="DZ27" s="542">
        <f>DY27</f>
        <v>800</v>
      </c>
      <c r="EA27" s="542"/>
      <c r="EB27" s="542"/>
      <c r="EC27" s="542"/>
      <c r="ED27" s="542"/>
      <c r="EE27" s="542">
        <v>58000</v>
      </c>
      <c r="EF27" s="542">
        <f>EE27</f>
        <v>58000</v>
      </c>
      <c r="EG27" s="542">
        <f>3930-EG26</f>
        <v>3930</v>
      </c>
      <c r="EH27" s="542">
        <f>EG27</f>
        <v>3930</v>
      </c>
      <c r="EI27" s="542">
        <f>15000-EI26</f>
        <v>15000</v>
      </c>
      <c r="EJ27" s="542">
        <f>EI27</f>
        <v>15000</v>
      </c>
      <c r="EK27" s="542">
        <f>18000-EK26</f>
        <v>18000</v>
      </c>
      <c r="EL27" s="542">
        <f>EK27</f>
        <v>18000</v>
      </c>
      <c r="EM27" s="542"/>
      <c r="EN27" s="542"/>
      <c r="EO27" s="542"/>
      <c r="EP27" s="542"/>
      <c r="EQ27" s="542">
        <v>3000</v>
      </c>
      <c r="ER27" s="542">
        <f>EQ27</f>
        <v>3000</v>
      </c>
      <c r="ES27" s="542">
        <f>997-ES26</f>
        <v>997</v>
      </c>
      <c r="ET27" s="542">
        <f>ES27</f>
        <v>997</v>
      </c>
      <c r="EU27" s="542">
        <f>3000-EU26</f>
        <v>3000</v>
      </c>
      <c r="EV27" s="542">
        <f>EU27</f>
        <v>3000</v>
      </c>
      <c r="EW27" s="542">
        <f>3000-EW26</f>
        <v>3000</v>
      </c>
      <c r="EX27" s="542">
        <f>EW27</f>
        <v>3000</v>
      </c>
      <c r="EY27" s="542"/>
      <c r="EZ27" s="542"/>
      <c r="FA27" s="542"/>
      <c r="FB27" s="542"/>
      <c r="FC27" s="830"/>
      <c r="FD27" s="830"/>
      <c r="FE27" s="836"/>
      <c r="FF27" s="836"/>
    </row>
    <row r="28" spans="1:162" s="154" customFormat="1" x14ac:dyDescent="0.25">
      <c r="A28" s="152">
        <v>8</v>
      </c>
      <c r="B28" s="216" t="s">
        <v>351</v>
      </c>
      <c r="C28" s="541">
        <f t="shared" si="68"/>
        <v>600000</v>
      </c>
      <c r="D28" s="541">
        <f t="shared" si="68"/>
        <v>500000</v>
      </c>
      <c r="E28" s="541">
        <f t="shared" si="68"/>
        <v>644170</v>
      </c>
      <c r="F28" s="541">
        <f t="shared" si="68"/>
        <v>644170</v>
      </c>
      <c r="G28" s="541">
        <f t="shared" si="68"/>
        <v>750000</v>
      </c>
      <c r="H28" s="541">
        <f t="shared" si="69"/>
        <v>750000</v>
      </c>
      <c r="I28" s="541">
        <f>SUM(U28,AG28,AS28,BE28,BQ28,CC28,CO28,DA28,DM28,DY28,EK28,EW28)</f>
        <v>750000</v>
      </c>
      <c r="J28" s="541">
        <f t="shared" si="69"/>
        <v>650000</v>
      </c>
      <c r="K28" s="541">
        <f>+I28-G28</f>
        <v>0</v>
      </c>
      <c r="L28" s="541">
        <f>+I28/G28*100</f>
        <v>100</v>
      </c>
      <c r="M28" s="541">
        <f>+G28-C28</f>
        <v>150000</v>
      </c>
      <c r="N28" s="541">
        <f>+G28/C28*100</f>
        <v>125</v>
      </c>
      <c r="O28" s="541">
        <f>SUM(O29:O30)</f>
        <v>13000</v>
      </c>
      <c r="P28" s="541">
        <f>SUM(P29:P30)</f>
        <v>13000</v>
      </c>
      <c r="Q28" s="541">
        <f t="shared" ref="Q28:V28" si="97">SUM(Q29:Q30)</f>
        <v>30918</v>
      </c>
      <c r="R28" s="541">
        <f t="shared" si="97"/>
        <v>30918</v>
      </c>
      <c r="S28" s="541">
        <f t="shared" si="97"/>
        <v>25000</v>
      </c>
      <c r="T28" s="541">
        <f t="shared" si="97"/>
        <v>25000</v>
      </c>
      <c r="U28" s="541">
        <f t="shared" si="97"/>
        <v>25000</v>
      </c>
      <c r="V28" s="541">
        <f t="shared" si="97"/>
        <v>25000</v>
      </c>
      <c r="W28" s="541">
        <f>+U28-S28</f>
        <v>0</v>
      </c>
      <c r="X28" s="541">
        <f>+U28/S28*100</f>
        <v>100</v>
      </c>
      <c r="Y28" s="541">
        <f>+S28-O28</f>
        <v>12000</v>
      </c>
      <c r="Z28" s="541">
        <f>+S28/O28*100</f>
        <v>192.30769230769232</v>
      </c>
      <c r="AA28" s="541">
        <f>SUM(AA29:AA30)</f>
        <v>150000</v>
      </c>
      <c r="AB28" s="541">
        <f>SUM(AB29:AB30)</f>
        <v>150000</v>
      </c>
      <c r="AC28" s="541">
        <f t="shared" ref="AC28:AH28" si="98">SUM(AC29:AC30)</f>
        <v>131946</v>
      </c>
      <c r="AD28" s="541">
        <f t="shared" si="98"/>
        <v>131946</v>
      </c>
      <c r="AE28" s="541">
        <f t="shared" si="98"/>
        <v>160000</v>
      </c>
      <c r="AF28" s="541">
        <f t="shared" si="98"/>
        <v>160000</v>
      </c>
      <c r="AG28" s="541">
        <f t="shared" si="98"/>
        <v>150000</v>
      </c>
      <c r="AH28" s="541">
        <f t="shared" si="98"/>
        <v>150000</v>
      </c>
      <c r="AI28" s="541">
        <f t="shared" si="36"/>
        <v>-10000</v>
      </c>
      <c r="AJ28" s="541">
        <f>+AG28/AE28*100</f>
        <v>93.75</v>
      </c>
      <c r="AK28" s="541">
        <f t="shared" si="70"/>
        <v>10000</v>
      </c>
      <c r="AL28" s="541">
        <f>+AE28/AA28*100</f>
        <v>106.66666666666667</v>
      </c>
      <c r="AM28" s="541">
        <f>SUM(AM29:AM30)</f>
        <v>10000</v>
      </c>
      <c r="AN28" s="541">
        <f>SUM(AN29:AN30)</f>
        <v>10000</v>
      </c>
      <c r="AO28" s="541">
        <f t="shared" ref="AO28:AT28" si="99">SUM(AO29:AO30)</f>
        <v>27039</v>
      </c>
      <c r="AP28" s="541">
        <f t="shared" si="99"/>
        <v>27039</v>
      </c>
      <c r="AQ28" s="541">
        <f t="shared" si="99"/>
        <v>30000</v>
      </c>
      <c r="AR28" s="541">
        <f t="shared" si="99"/>
        <v>30000</v>
      </c>
      <c r="AS28" s="541">
        <f t="shared" si="99"/>
        <v>15000</v>
      </c>
      <c r="AT28" s="541">
        <f t="shared" si="99"/>
        <v>15000</v>
      </c>
      <c r="AU28" s="541">
        <f>+AS28-AQ28</f>
        <v>-15000</v>
      </c>
      <c r="AV28" s="541">
        <f>+AS28/AQ28*100</f>
        <v>50</v>
      </c>
      <c r="AW28" s="541">
        <f>+AQ28-AM28</f>
        <v>20000</v>
      </c>
      <c r="AX28" s="541">
        <f>+AQ28/AM28*100</f>
        <v>300</v>
      </c>
      <c r="AY28" s="541">
        <f>SUM(AY29:AY30)</f>
        <v>20000</v>
      </c>
      <c r="AZ28" s="541">
        <f>SUM(AZ29:AZ30)</f>
        <v>20000</v>
      </c>
      <c r="BA28" s="541">
        <f t="shared" ref="BA28:BF28" si="100">SUM(BA29:BA30)</f>
        <v>20511</v>
      </c>
      <c r="BB28" s="541">
        <f t="shared" si="100"/>
        <v>20511</v>
      </c>
      <c r="BC28" s="541">
        <f t="shared" si="100"/>
        <v>25000</v>
      </c>
      <c r="BD28" s="541">
        <f t="shared" si="100"/>
        <v>25000</v>
      </c>
      <c r="BE28" s="541">
        <f t="shared" si="100"/>
        <v>20000</v>
      </c>
      <c r="BF28" s="541">
        <f t="shared" si="100"/>
        <v>20000</v>
      </c>
      <c r="BG28" s="541">
        <f>+BE28-BC28</f>
        <v>-5000</v>
      </c>
      <c r="BH28" s="541">
        <f>+BE28/BC28*100</f>
        <v>80</v>
      </c>
      <c r="BI28" s="541">
        <f>+BC28-AY28</f>
        <v>5000</v>
      </c>
      <c r="BJ28" s="541">
        <f>+BC28/AY28*100</f>
        <v>125</v>
      </c>
      <c r="BK28" s="541">
        <f>SUM(BK29:BK30)</f>
        <v>20000</v>
      </c>
      <c r="BL28" s="541">
        <f>SUM(BL29:BL30)</f>
        <v>20000</v>
      </c>
      <c r="BM28" s="541">
        <f t="shared" ref="BM28:BR28" si="101">SUM(BM29:BM30)</f>
        <v>18680</v>
      </c>
      <c r="BN28" s="541">
        <f t="shared" si="101"/>
        <v>18680</v>
      </c>
      <c r="BO28" s="541">
        <f t="shared" si="101"/>
        <v>20000</v>
      </c>
      <c r="BP28" s="541">
        <f t="shared" si="101"/>
        <v>20000</v>
      </c>
      <c r="BQ28" s="541">
        <f t="shared" si="101"/>
        <v>25000</v>
      </c>
      <c r="BR28" s="541">
        <f t="shared" si="101"/>
        <v>25000</v>
      </c>
      <c r="BS28" s="541">
        <f>+BQ28-BO28</f>
        <v>5000</v>
      </c>
      <c r="BT28" s="541">
        <f>+BQ28/BO28*100</f>
        <v>125</v>
      </c>
      <c r="BU28" s="541">
        <f>+BO28-BK28</f>
        <v>0</v>
      </c>
      <c r="BV28" s="541">
        <f>+BO28/BK28*100</f>
        <v>100</v>
      </c>
      <c r="BW28" s="541">
        <f>SUM(BW29:BW30)</f>
        <v>150000</v>
      </c>
      <c r="BX28" s="541">
        <f>SUM(BX29:BX30)</f>
        <v>52000</v>
      </c>
      <c r="BY28" s="541">
        <f t="shared" ref="BY28:CD28" si="102">SUM(BY29:BY30)</f>
        <v>142326</v>
      </c>
      <c r="BZ28" s="541">
        <f t="shared" si="102"/>
        <v>142326</v>
      </c>
      <c r="CA28" s="541">
        <f t="shared" si="102"/>
        <v>160000</v>
      </c>
      <c r="CB28" s="541">
        <f t="shared" si="102"/>
        <v>160000</v>
      </c>
      <c r="CC28" s="541">
        <f>SUM(CC29:CC30)</f>
        <v>200000</v>
      </c>
      <c r="CD28" s="541">
        <f t="shared" si="102"/>
        <v>100000</v>
      </c>
      <c r="CE28" s="541">
        <f>+CC28-CA28</f>
        <v>40000</v>
      </c>
      <c r="CF28" s="541">
        <f>+CC28/CA28*100</f>
        <v>125</v>
      </c>
      <c r="CG28" s="541">
        <f>+CA28-BW28</f>
        <v>10000</v>
      </c>
      <c r="CH28" s="541">
        <f>+CA28/BW28*100</f>
        <v>106.66666666666667</v>
      </c>
      <c r="CI28" s="541">
        <f>SUM(CI29:CI30)</f>
        <v>35000</v>
      </c>
      <c r="CJ28" s="541">
        <f>SUM(CJ29:CJ30)</f>
        <v>35000</v>
      </c>
      <c r="CK28" s="541">
        <f t="shared" ref="CK28:CP28" si="103">SUM(CK29:CK30)</f>
        <v>34665</v>
      </c>
      <c r="CL28" s="541">
        <f t="shared" si="103"/>
        <v>34665</v>
      </c>
      <c r="CM28" s="541">
        <f t="shared" si="103"/>
        <v>40000</v>
      </c>
      <c r="CN28" s="541">
        <f t="shared" si="103"/>
        <v>40000</v>
      </c>
      <c r="CO28" s="541">
        <f t="shared" si="103"/>
        <v>35000</v>
      </c>
      <c r="CP28" s="541">
        <f t="shared" si="103"/>
        <v>35000</v>
      </c>
      <c r="CQ28" s="541">
        <f>+CO28-CM28</f>
        <v>-5000</v>
      </c>
      <c r="CR28" s="541">
        <f>+CO28/CM28*100</f>
        <v>87.5</v>
      </c>
      <c r="CS28" s="541">
        <f>+CM28-CI28</f>
        <v>5000</v>
      </c>
      <c r="CT28" s="541">
        <f>+CM28/CI28*100</f>
        <v>114.28571428571428</v>
      </c>
      <c r="CU28" s="541">
        <f>SUM(CU29:CU30)</f>
        <v>50000</v>
      </c>
      <c r="CV28" s="541">
        <f>SUM(CV29:CV30)</f>
        <v>50000</v>
      </c>
      <c r="CW28" s="541">
        <f t="shared" ref="CW28:DB28" si="104">SUM(CW29:CW30)</f>
        <v>36566</v>
      </c>
      <c r="CX28" s="541">
        <f t="shared" si="104"/>
        <v>36566</v>
      </c>
      <c r="CY28" s="541">
        <f t="shared" si="104"/>
        <v>55000</v>
      </c>
      <c r="CZ28" s="541">
        <f t="shared" si="104"/>
        <v>55000</v>
      </c>
      <c r="DA28" s="541">
        <f t="shared" si="104"/>
        <v>60000</v>
      </c>
      <c r="DB28" s="541">
        <f t="shared" si="104"/>
        <v>60000</v>
      </c>
      <c r="DC28" s="541">
        <f>+DA28-CY28</f>
        <v>5000</v>
      </c>
      <c r="DD28" s="541">
        <f>+DA28/CY28*100</f>
        <v>109.09090909090908</v>
      </c>
      <c r="DE28" s="541">
        <f>+CY28-CU28</f>
        <v>5000</v>
      </c>
      <c r="DF28" s="541">
        <f>+CY28/CU28*100</f>
        <v>110.00000000000001</v>
      </c>
      <c r="DG28" s="541">
        <f>SUM(DG29:DG30)</f>
        <v>17000</v>
      </c>
      <c r="DH28" s="541">
        <f>SUM(DH29:DH30)</f>
        <v>15000</v>
      </c>
      <c r="DI28" s="541">
        <f t="shared" ref="DI28:DN28" si="105">SUM(DI29:DI30)</f>
        <v>45572</v>
      </c>
      <c r="DJ28" s="541">
        <f t="shared" si="105"/>
        <v>45572</v>
      </c>
      <c r="DK28" s="541">
        <f t="shared" si="105"/>
        <v>40000</v>
      </c>
      <c r="DL28" s="541">
        <f t="shared" si="105"/>
        <v>40000</v>
      </c>
      <c r="DM28" s="541">
        <f t="shared" si="105"/>
        <v>25000</v>
      </c>
      <c r="DN28" s="541">
        <f t="shared" si="105"/>
        <v>25000</v>
      </c>
      <c r="DO28" s="541">
        <f>+DM28-DK28</f>
        <v>-15000</v>
      </c>
      <c r="DP28" s="541">
        <f>+DM28/DK28*100</f>
        <v>62.5</v>
      </c>
      <c r="DQ28" s="541">
        <f>+DK28-DG28</f>
        <v>23000</v>
      </c>
      <c r="DR28" s="541">
        <f>+DK28/DG28*100</f>
        <v>235.29411764705884</v>
      </c>
      <c r="DS28" s="541">
        <f>SUM(DS29:DS30)</f>
        <v>15000</v>
      </c>
      <c r="DT28" s="541">
        <f>SUM(DT29:DT30)</f>
        <v>15000</v>
      </c>
      <c r="DU28" s="541">
        <f t="shared" ref="DU28:DZ28" si="106">SUM(DU29:DU30)</f>
        <v>24768</v>
      </c>
      <c r="DV28" s="541">
        <f t="shared" si="106"/>
        <v>24768</v>
      </c>
      <c r="DW28" s="541">
        <f t="shared" si="106"/>
        <v>27000</v>
      </c>
      <c r="DX28" s="541">
        <f t="shared" si="106"/>
        <v>27000</v>
      </c>
      <c r="DY28" s="541">
        <f t="shared" si="106"/>
        <v>20000</v>
      </c>
      <c r="DZ28" s="541">
        <f t="shared" si="106"/>
        <v>20000</v>
      </c>
      <c r="EA28" s="541">
        <f>+DY28-DW28</f>
        <v>-7000</v>
      </c>
      <c r="EB28" s="541">
        <f>+DY28/DW28*100</f>
        <v>74.074074074074076</v>
      </c>
      <c r="EC28" s="541">
        <f>+DW28-DS28</f>
        <v>12000</v>
      </c>
      <c r="ED28" s="541">
        <f>+DW28/DS28*100</f>
        <v>180</v>
      </c>
      <c r="EE28" s="541">
        <f>SUM(EE29:EE30)</f>
        <v>100000</v>
      </c>
      <c r="EF28" s="541">
        <f>SUM(EF29:EF30)</f>
        <v>100000</v>
      </c>
      <c r="EG28" s="541">
        <f t="shared" ref="EG28:EL28" si="107">SUM(EG29:EG30)</f>
        <v>107925</v>
      </c>
      <c r="EH28" s="541">
        <f t="shared" si="107"/>
        <v>107925</v>
      </c>
      <c r="EI28" s="541">
        <f t="shared" si="107"/>
        <v>143000</v>
      </c>
      <c r="EJ28" s="541">
        <f t="shared" si="107"/>
        <v>143000</v>
      </c>
      <c r="EK28" s="541">
        <f t="shared" si="107"/>
        <v>140000</v>
      </c>
      <c r="EL28" s="541">
        <f t="shared" si="107"/>
        <v>140000</v>
      </c>
      <c r="EM28" s="541">
        <f>+EK28-EI28</f>
        <v>-3000</v>
      </c>
      <c r="EN28" s="541">
        <f>+EK28/EI28*100</f>
        <v>97.902097902097907</v>
      </c>
      <c r="EO28" s="541">
        <f>+EI28-EE28</f>
        <v>43000</v>
      </c>
      <c r="EP28" s="541">
        <f>+EI28/EE28*100</f>
        <v>143</v>
      </c>
      <c r="EQ28" s="541">
        <f>SUM(EQ29:EQ30)</f>
        <v>20000</v>
      </c>
      <c r="ER28" s="541">
        <f>SUM(ER29:ER30)</f>
        <v>20000</v>
      </c>
      <c r="ES28" s="541">
        <f t="shared" ref="ES28:EX28" si="108">SUM(ES29:ES30)</f>
        <v>23254</v>
      </c>
      <c r="ET28" s="541">
        <f t="shared" si="108"/>
        <v>23254</v>
      </c>
      <c r="EU28" s="541">
        <f t="shared" si="108"/>
        <v>25000</v>
      </c>
      <c r="EV28" s="541">
        <f t="shared" si="108"/>
        <v>25000</v>
      </c>
      <c r="EW28" s="541">
        <f t="shared" si="108"/>
        <v>35000</v>
      </c>
      <c r="EX28" s="541">
        <f t="shared" si="108"/>
        <v>35000</v>
      </c>
      <c r="EY28" s="541">
        <f>+EW28-EU28</f>
        <v>10000</v>
      </c>
      <c r="EZ28" s="541">
        <f>+EW28/EU28*100</f>
        <v>140</v>
      </c>
      <c r="FA28" s="541">
        <f>+EU28-EQ28</f>
        <v>5000</v>
      </c>
      <c r="FB28" s="541">
        <f>+EU28/EQ28*100</f>
        <v>125</v>
      </c>
      <c r="FC28" s="829">
        <f>E28/C28</f>
        <v>1.0736166666666667</v>
      </c>
      <c r="FD28" s="829">
        <f>F28/D28</f>
        <v>1.28834</v>
      </c>
      <c r="FE28" s="835">
        <f>E28-C28</f>
        <v>44170</v>
      </c>
      <c r="FF28" s="835">
        <f>F28-D28</f>
        <v>144170</v>
      </c>
    </row>
    <row r="29" spans="1:162" x14ac:dyDescent="0.25">
      <c r="A29" s="291" t="s">
        <v>564</v>
      </c>
      <c r="B29" s="218" t="s">
        <v>642</v>
      </c>
      <c r="C29" s="542">
        <f t="shared" si="68"/>
        <v>100000</v>
      </c>
      <c r="D29" s="542">
        <f t="shared" si="68"/>
        <v>0</v>
      </c>
      <c r="E29" s="542">
        <f t="shared" si="68"/>
        <v>0</v>
      </c>
      <c r="F29" s="542">
        <f t="shared" si="68"/>
        <v>0</v>
      </c>
      <c r="G29" s="542">
        <f t="shared" si="68"/>
        <v>0</v>
      </c>
      <c r="H29" s="542">
        <f t="shared" si="68"/>
        <v>0</v>
      </c>
      <c r="I29" s="542">
        <f>SUM(U29,AG29,AS29,BE29,BQ29,CC29,CO29,DA29,DM29,DY29,EK29,EW29)</f>
        <v>100000</v>
      </c>
      <c r="J29" s="542">
        <f>SUM(V29,AH29,AT29,BF29,BR29,CD29,CP29,DB29,DN29,DZ29,EL29,EX29)</f>
        <v>0</v>
      </c>
      <c r="K29" s="542"/>
      <c r="L29" s="542"/>
      <c r="M29" s="542"/>
      <c r="N29" s="542"/>
      <c r="O29" s="542"/>
      <c r="P29" s="542">
        <v>0</v>
      </c>
      <c r="Q29" s="542">
        <v>0</v>
      </c>
      <c r="R29" s="542">
        <v>0</v>
      </c>
      <c r="S29" s="542">
        <f>Q29/8*12</f>
        <v>0</v>
      </c>
      <c r="T29" s="542">
        <v>0</v>
      </c>
      <c r="U29" s="542"/>
      <c r="V29" s="542">
        <v>0</v>
      </c>
      <c r="W29" s="542"/>
      <c r="X29" s="542"/>
      <c r="Y29" s="542"/>
      <c r="Z29" s="542"/>
      <c r="AA29" s="542"/>
      <c r="AB29" s="542">
        <v>0</v>
      </c>
      <c r="AC29" s="542">
        <v>0</v>
      </c>
      <c r="AD29" s="542">
        <v>0</v>
      </c>
      <c r="AE29" s="542">
        <f>AC29/8*12</f>
        <v>0</v>
      </c>
      <c r="AF29" s="542">
        <v>0</v>
      </c>
      <c r="AG29" s="542"/>
      <c r="AH29" s="542">
        <v>0</v>
      </c>
      <c r="AI29" s="542"/>
      <c r="AJ29" s="542"/>
      <c r="AK29" s="542"/>
      <c r="AL29" s="542"/>
      <c r="AM29" s="542"/>
      <c r="AN29" s="542">
        <v>0</v>
      </c>
      <c r="AO29" s="542">
        <v>0</v>
      </c>
      <c r="AP29" s="542">
        <v>0</v>
      </c>
      <c r="AQ29" s="542">
        <f>AO29/8*12</f>
        <v>0</v>
      </c>
      <c r="AR29" s="542">
        <v>0</v>
      </c>
      <c r="AS29" s="542"/>
      <c r="AT29" s="542">
        <v>0</v>
      </c>
      <c r="AU29" s="542"/>
      <c r="AV29" s="542"/>
      <c r="AW29" s="542"/>
      <c r="AX29" s="542"/>
      <c r="AY29" s="542"/>
      <c r="AZ29" s="542">
        <v>0</v>
      </c>
      <c r="BA29" s="542">
        <v>0</v>
      </c>
      <c r="BB29" s="542">
        <v>0</v>
      </c>
      <c r="BC29" s="542">
        <f>BA29/8*12</f>
        <v>0</v>
      </c>
      <c r="BD29" s="542">
        <v>0</v>
      </c>
      <c r="BE29" s="542"/>
      <c r="BF29" s="542">
        <v>0</v>
      </c>
      <c r="BG29" s="542"/>
      <c r="BH29" s="542"/>
      <c r="BI29" s="542"/>
      <c r="BJ29" s="542"/>
      <c r="BK29" s="542"/>
      <c r="BL29" s="542">
        <v>0</v>
      </c>
      <c r="BM29" s="542">
        <v>0</v>
      </c>
      <c r="BN29" s="542">
        <v>0</v>
      </c>
      <c r="BO29" s="542">
        <f>BM29/8*12</f>
        <v>0</v>
      </c>
      <c r="BP29" s="542">
        <v>0</v>
      </c>
      <c r="BQ29" s="542"/>
      <c r="BR29" s="542">
        <v>0</v>
      </c>
      <c r="BS29" s="542"/>
      <c r="BT29" s="542"/>
      <c r="BU29" s="542"/>
      <c r="BV29" s="542"/>
      <c r="BW29" s="542">
        <v>98000</v>
      </c>
      <c r="BX29" s="542">
        <v>0</v>
      </c>
      <c r="BY29" s="542"/>
      <c r="BZ29" s="542">
        <v>0</v>
      </c>
      <c r="CA29" s="542">
        <f>BY29/8*12</f>
        <v>0</v>
      </c>
      <c r="CB29" s="542">
        <v>0</v>
      </c>
      <c r="CC29" s="1209">
        <v>100000</v>
      </c>
      <c r="CD29" s="542">
        <v>0</v>
      </c>
      <c r="CE29" s="542"/>
      <c r="CF29" s="542"/>
      <c r="CG29" s="542"/>
      <c r="CH29" s="542"/>
      <c r="CI29" s="542"/>
      <c r="CJ29" s="542">
        <v>0</v>
      </c>
      <c r="CK29" s="542">
        <v>0</v>
      </c>
      <c r="CL29" s="542">
        <v>0</v>
      </c>
      <c r="CM29" s="542">
        <f>CK29/8*12</f>
        <v>0</v>
      </c>
      <c r="CN29" s="542">
        <v>0</v>
      </c>
      <c r="CO29" s="542"/>
      <c r="CP29" s="542">
        <v>0</v>
      </c>
      <c r="CQ29" s="542"/>
      <c r="CR29" s="542"/>
      <c r="CS29" s="542"/>
      <c r="CT29" s="542"/>
      <c r="CU29" s="542"/>
      <c r="CV29" s="542">
        <v>0</v>
      </c>
      <c r="CW29" s="542">
        <v>0</v>
      </c>
      <c r="CX29" s="542">
        <v>0</v>
      </c>
      <c r="CY29" s="542">
        <f>CW29/8*12</f>
        <v>0</v>
      </c>
      <c r="CZ29" s="542">
        <v>0</v>
      </c>
      <c r="DA29" s="542"/>
      <c r="DB29" s="542">
        <v>0</v>
      </c>
      <c r="DC29" s="542"/>
      <c r="DD29" s="542"/>
      <c r="DE29" s="542"/>
      <c r="DF29" s="542"/>
      <c r="DG29" s="542">
        <v>2000</v>
      </c>
      <c r="DH29" s="542">
        <v>0</v>
      </c>
      <c r="DI29" s="542">
        <v>0</v>
      </c>
      <c r="DJ29" s="542">
        <v>0</v>
      </c>
      <c r="DK29" s="542">
        <f>DI29/8*12</f>
        <v>0</v>
      </c>
      <c r="DL29" s="542">
        <v>0</v>
      </c>
      <c r="DM29" s="542"/>
      <c r="DN29" s="542">
        <v>0</v>
      </c>
      <c r="DO29" s="542"/>
      <c r="DP29" s="542"/>
      <c r="DQ29" s="542"/>
      <c r="DR29" s="542"/>
      <c r="DS29" s="542"/>
      <c r="DT29" s="542">
        <v>0</v>
      </c>
      <c r="DU29" s="542">
        <v>0</v>
      </c>
      <c r="DV29" s="542">
        <v>0</v>
      </c>
      <c r="DW29" s="542">
        <f>DU29/8*12</f>
        <v>0</v>
      </c>
      <c r="DX29" s="542">
        <v>0</v>
      </c>
      <c r="DY29" s="542"/>
      <c r="DZ29" s="542">
        <v>0</v>
      </c>
      <c r="EA29" s="542"/>
      <c r="EB29" s="542"/>
      <c r="EC29" s="542"/>
      <c r="ED29" s="542"/>
      <c r="EE29" s="542">
        <v>0</v>
      </c>
      <c r="EF29" s="542">
        <v>0</v>
      </c>
      <c r="EG29" s="542">
        <v>0</v>
      </c>
      <c r="EH29" s="542">
        <v>0</v>
      </c>
      <c r="EI29" s="542">
        <f>EG29/8*12</f>
        <v>0</v>
      </c>
      <c r="EJ29" s="542">
        <v>0</v>
      </c>
      <c r="EK29" s="542">
        <v>0</v>
      </c>
      <c r="EL29" s="542">
        <v>0</v>
      </c>
      <c r="EM29" s="542"/>
      <c r="EN29" s="542"/>
      <c r="EO29" s="542"/>
      <c r="EP29" s="542"/>
      <c r="EQ29" s="542"/>
      <c r="ER29" s="542">
        <v>0</v>
      </c>
      <c r="ES29" s="542">
        <v>0</v>
      </c>
      <c r="ET29" s="542">
        <v>0</v>
      </c>
      <c r="EU29" s="542">
        <f>ES29/8*12</f>
        <v>0</v>
      </c>
      <c r="EV29" s="542">
        <v>0</v>
      </c>
      <c r="EW29" s="542"/>
      <c r="EX29" s="542">
        <v>0</v>
      </c>
      <c r="EY29" s="542"/>
      <c r="EZ29" s="542"/>
      <c r="FA29" s="542"/>
      <c r="FB29" s="542"/>
      <c r="FC29" s="830"/>
      <c r="FD29" s="830"/>
      <c r="FE29" s="836"/>
      <c r="FF29" s="836"/>
    </row>
    <row r="30" spans="1:162" x14ac:dyDescent="0.25">
      <c r="A30" s="291" t="s">
        <v>564</v>
      </c>
      <c r="B30" s="218" t="s">
        <v>1539</v>
      </c>
      <c r="C30" s="542">
        <f t="shared" si="68"/>
        <v>500000</v>
      </c>
      <c r="D30" s="542">
        <f t="shared" si="68"/>
        <v>500000</v>
      </c>
      <c r="E30" s="542">
        <f t="shared" si="68"/>
        <v>644170</v>
      </c>
      <c r="F30" s="542">
        <f t="shared" si="68"/>
        <v>644170</v>
      </c>
      <c r="G30" s="542">
        <f t="shared" si="68"/>
        <v>750000</v>
      </c>
      <c r="H30" s="542">
        <f t="shared" si="68"/>
        <v>750000</v>
      </c>
      <c r="I30" s="542">
        <f>SUM(U30,AG30,AS30,BE30,BQ30,CC30,CO30,DA30,DM30,DY30,EK30,EW30)</f>
        <v>650000</v>
      </c>
      <c r="J30" s="542">
        <f>SUM(V30,AH30,AT30,BF30,BR30,CD30,CP30,DB30,DN30,DZ30,EL30,EX30)</f>
        <v>650000</v>
      </c>
      <c r="K30" s="542"/>
      <c r="L30" s="542"/>
      <c r="M30" s="542"/>
      <c r="N30" s="542"/>
      <c r="O30" s="542">
        <v>13000</v>
      </c>
      <c r="P30" s="542">
        <f>O30</f>
        <v>13000</v>
      </c>
      <c r="Q30" s="542">
        <v>30918</v>
      </c>
      <c r="R30" s="542">
        <f>Q30</f>
        <v>30918</v>
      </c>
      <c r="S30" s="542">
        <f>25000-S29</f>
        <v>25000</v>
      </c>
      <c r="T30" s="542">
        <f>S30</f>
        <v>25000</v>
      </c>
      <c r="U30" s="542">
        <f>25000-U29</f>
        <v>25000</v>
      </c>
      <c r="V30" s="542">
        <f>U30</f>
        <v>25000</v>
      </c>
      <c r="W30" s="542"/>
      <c r="X30" s="542"/>
      <c r="Y30" s="542"/>
      <c r="Z30" s="542"/>
      <c r="AA30" s="542">
        <v>150000</v>
      </c>
      <c r="AB30" s="542">
        <f>AA30</f>
        <v>150000</v>
      </c>
      <c r="AC30" s="542">
        <v>131946</v>
      </c>
      <c r="AD30" s="542">
        <f>AC30</f>
        <v>131946</v>
      </c>
      <c r="AE30" s="542">
        <f>160000-AE29</f>
        <v>160000</v>
      </c>
      <c r="AF30" s="542">
        <f>AE30</f>
        <v>160000</v>
      </c>
      <c r="AG30" s="542">
        <f>150000-AG29</f>
        <v>150000</v>
      </c>
      <c r="AH30" s="542">
        <f>AG30</f>
        <v>150000</v>
      </c>
      <c r="AI30" s="542"/>
      <c r="AJ30" s="542"/>
      <c r="AK30" s="542"/>
      <c r="AL30" s="542"/>
      <c r="AM30" s="542">
        <v>10000</v>
      </c>
      <c r="AN30" s="542">
        <f>AM30</f>
        <v>10000</v>
      </c>
      <c r="AO30" s="542">
        <f>27039-AO29</f>
        <v>27039</v>
      </c>
      <c r="AP30" s="542">
        <f>AO30</f>
        <v>27039</v>
      </c>
      <c r="AQ30" s="542">
        <f>30000-AQ29</f>
        <v>30000</v>
      </c>
      <c r="AR30" s="542">
        <f>AQ30</f>
        <v>30000</v>
      </c>
      <c r="AS30" s="542">
        <f>15000-AS29</f>
        <v>15000</v>
      </c>
      <c r="AT30" s="542">
        <f>AS30</f>
        <v>15000</v>
      </c>
      <c r="AU30" s="542"/>
      <c r="AV30" s="542"/>
      <c r="AW30" s="542"/>
      <c r="AX30" s="542"/>
      <c r="AY30" s="542">
        <v>20000</v>
      </c>
      <c r="AZ30" s="542">
        <f>AY30</f>
        <v>20000</v>
      </c>
      <c r="BA30" s="542">
        <v>20511</v>
      </c>
      <c r="BB30" s="542">
        <f>BA30</f>
        <v>20511</v>
      </c>
      <c r="BC30" s="542">
        <f>25000-BC29</f>
        <v>25000</v>
      </c>
      <c r="BD30" s="542">
        <f>BC30</f>
        <v>25000</v>
      </c>
      <c r="BE30" s="542">
        <f>20000-BE29</f>
        <v>20000</v>
      </c>
      <c r="BF30" s="542">
        <f>BE30</f>
        <v>20000</v>
      </c>
      <c r="BG30" s="542"/>
      <c r="BH30" s="542"/>
      <c r="BI30" s="542"/>
      <c r="BJ30" s="542"/>
      <c r="BK30" s="542">
        <v>20000</v>
      </c>
      <c r="BL30" s="542">
        <f>BK30</f>
        <v>20000</v>
      </c>
      <c r="BM30" s="542">
        <f>18680-BM29</f>
        <v>18680</v>
      </c>
      <c r="BN30" s="542">
        <f>BM30</f>
        <v>18680</v>
      </c>
      <c r="BO30" s="542">
        <f>20000-BO29</f>
        <v>20000</v>
      </c>
      <c r="BP30" s="542">
        <f>BO30</f>
        <v>20000</v>
      </c>
      <c r="BQ30" s="542">
        <f>25000-BQ29</f>
        <v>25000</v>
      </c>
      <c r="BR30" s="542">
        <f>BQ30</f>
        <v>25000</v>
      </c>
      <c r="BS30" s="542"/>
      <c r="BT30" s="542"/>
      <c r="BU30" s="542"/>
      <c r="BV30" s="542"/>
      <c r="BW30" s="542">
        <v>52000</v>
      </c>
      <c r="BX30" s="542">
        <f>BW30</f>
        <v>52000</v>
      </c>
      <c r="BY30" s="542">
        <f>142326-BY29</f>
        <v>142326</v>
      </c>
      <c r="BZ30" s="542">
        <f>BY30</f>
        <v>142326</v>
      </c>
      <c r="CA30" s="542">
        <f>160000-CA29</f>
        <v>160000</v>
      </c>
      <c r="CB30" s="542">
        <f>CA30</f>
        <v>160000</v>
      </c>
      <c r="CC30" s="542">
        <f>200000-CC29</f>
        <v>100000</v>
      </c>
      <c r="CD30" s="542">
        <f>CC30</f>
        <v>100000</v>
      </c>
      <c r="CE30" s="542"/>
      <c r="CF30" s="542"/>
      <c r="CG30" s="542"/>
      <c r="CH30" s="542"/>
      <c r="CI30" s="542">
        <v>35000</v>
      </c>
      <c r="CJ30" s="542">
        <f>CI30</f>
        <v>35000</v>
      </c>
      <c r="CK30" s="542">
        <f>34665-CK29</f>
        <v>34665</v>
      </c>
      <c r="CL30" s="542">
        <f>CK30</f>
        <v>34665</v>
      </c>
      <c r="CM30" s="542">
        <f>40000-CM29</f>
        <v>40000</v>
      </c>
      <c r="CN30" s="542">
        <f>CM30</f>
        <v>40000</v>
      </c>
      <c r="CO30" s="542">
        <f>35000-CO29</f>
        <v>35000</v>
      </c>
      <c r="CP30" s="542">
        <f>CO30</f>
        <v>35000</v>
      </c>
      <c r="CQ30" s="542"/>
      <c r="CR30" s="542"/>
      <c r="CS30" s="542"/>
      <c r="CT30" s="542"/>
      <c r="CU30" s="542">
        <v>50000</v>
      </c>
      <c r="CV30" s="542">
        <f>CU30</f>
        <v>50000</v>
      </c>
      <c r="CW30" s="542">
        <f>36566-CW29</f>
        <v>36566</v>
      </c>
      <c r="CX30" s="542">
        <f>CW30</f>
        <v>36566</v>
      </c>
      <c r="CY30" s="542">
        <f>55000-CY29</f>
        <v>55000</v>
      </c>
      <c r="CZ30" s="542">
        <f>CY30</f>
        <v>55000</v>
      </c>
      <c r="DA30" s="542">
        <f>60000-DA29</f>
        <v>60000</v>
      </c>
      <c r="DB30" s="542">
        <f>DA30</f>
        <v>60000</v>
      </c>
      <c r="DC30" s="542"/>
      <c r="DD30" s="542"/>
      <c r="DE30" s="542"/>
      <c r="DF30" s="542"/>
      <c r="DG30" s="542">
        <v>15000</v>
      </c>
      <c r="DH30" s="542">
        <f>DG30</f>
        <v>15000</v>
      </c>
      <c r="DI30" s="542">
        <f>45572-DI29</f>
        <v>45572</v>
      </c>
      <c r="DJ30" s="542">
        <f>DI30</f>
        <v>45572</v>
      </c>
      <c r="DK30" s="542">
        <f>40000-DK29</f>
        <v>40000</v>
      </c>
      <c r="DL30" s="542">
        <f>DK30</f>
        <v>40000</v>
      </c>
      <c r="DM30" s="542">
        <f>25000-DM29</f>
        <v>25000</v>
      </c>
      <c r="DN30" s="542">
        <f>DM30</f>
        <v>25000</v>
      </c>
      <c r="DO30" s="542"/>
      <c r="DP30" s="542"/>
      <c r="DQ30" s="542"/>
      <c r="DR30" s="542"/>
      <c r="DS30" s="542">
        <v>15000</v>
      </c>
      <c r="DT30" s="542">
        <f>DS30</f>
        <v>15000</v>
      </c>
      <c r="DU30" s="542">
        <f>24768-DU29</f>
        <v>24768</v>
      </c>
      <c r="DV30" s="542">
        <f>DU30</f>
        <v>24768</v>
      </c>
      <c r="DW30" s="542">
        <f>27000-DW29</f>
        <v>27000</v>
      </c>
      <c r="DX30" s="542">
        <f>DW30</f>
        <v>27000</v>
      </c>
      <c r="DY30" s="542">
        <f>20000-DY29</f>
        <v>20000</v>
      </c>
      <c r="DZ30" s="542">
        <f>DY30</f>
        <v>20000</v>
      </c>
      <c r="EA30" s="542"/>
      <c r="EB30" s="542"/>
      <c r="EC30" s="542"/>
      <c r="ED30" s="542"/>
      <c r="EE30" s="542">
        <v>100000</v>
      </c>
      <c r="EF30" s="542">
        <f>EE30</f>
        <v>100000</v>
      </c>
      <c r="EG30" s="542">
        <v>107925</v>
      </c>
      <c r="EH30" s="542">
        <f>EG30</f>
        <v>107925</v>
      </c>
      <c r="EI30" s="542">
        <f>143000-EI29</f>
        <v>143000</v>
      </c>
      <c r="EJ30" s="542">
        <f>EI30</f>
        <v>143000</v>
      </c>
      <c r="EK30" s="542">
        <f>140000-EK29</f>
        <v>140000</v>
      </c>
      <c r="EL30" s="542">
        <f>EK30</f>
        <v>140000</v>
      </c>
      <c r="EM30" s="542"/>
      <c r="EN30" s="542"/>
      <c r="EO30" s="542"/>
      <c r="EP30" s="542"/>
      <c r="EQ30" s="542">
        <v>20000</v>
      </c>
      <c r="ER30" s="542">
        <f>EQ30</f>
        <v>20000</v>
      </c>
      <c r="ES30" s="542">
        <f>23254-ES29</f>
        <v>23254</v>
      </c>
      <c r="ET30" s="542">
        <f>ES30</f>
        <v>23254</v>
      </c>
      <c r="EU30" s="542">
        <f>25000-EU29</f>
        <v>25000</v>
      </c>
      <c r="EV30" s="542">
        <f>EU30</f>
        <v>25000</v>
      </c>
      <c r="EW30" s="1209">
        <f>35000-EW29</f>
        <v>35000</v>
      </c>
      <c r="EX30" s="542">
        <f>EW30</f>
        <v>35000</v>
      </c>
      <c r="EY30" s="542"/>
      <c r="EZ30" s="542"/>
      <c r="FA30" s="542"/>
      <c r="FB30" s="542"/>
      <c r="FC30" s="830"/>
      <c r="FD30" s="830"/>
      <c r="FE30" s="836"/>
      <c r="FF30" s="836"/>
    </row>
    <row r="31" spans="1:162" s="154" customFormat="1" x14ac:dyDescent="0.25">
      <c r="A31" s="152">
        <v>9</v>
      </c>
      <c r="B31" s="216" t="s">
        <v>352</v>
      </c>
      <c r="C31" s="541">
        <f t="shared" si="68"/>
        <v>224100</v>
      </c>
      <c r="D31" s="541">
        <f t="shared" si="68"/>
        <v>120200</v>
      </c>
      <c r="E31" s="541">
        <f t="shared" si="68"/>
        <v>182309</v>
      </c>
      <c r="F31" s="541">
        <f t="shared" si="68"/>
        <v>130977</v>
      </c>
      <c r="G31" s="541">
        <f t="shared" si="68"/>
        <v>225110</v>
      </c>
      <c r="H31" s="541">
        <f t="shared" si="69"/>
        <v>148434.5</v>
      </c>
      <c r="I31" s="541">
        <f t="shared" si="69"/>
        <v>224000</v>
      </c>
      <c r="J31" s="541">
        <f t="shared" si="69"/>
        <v>130500</v>
      </c>
      <c r="K31" s="541">
        <f>+I31-G31</f>
        <v>-1110</v>
      </c>
      <c r="L31" s="541">
        <f>+I31/G31*100</f>
        <v>99.506907733996712</v>
      </c>
      <c r="M31" s="541">
        <f>+G31-C31</f>
        <v>1010</v>
      </c>
      <c r="N31" s="541">
        <f>+G31/C31*100</f>
        <v>100.45069165551092</v>
      </c>
      <c r="O31" s="541">
        <f>SUM(O32:O34)</f>
        <v>8000</v>
      </c>
      <c r="P31" s="541">
        <f>SUM(P32:P34)</f>
        <v>5700</v>
      </c>
      <c r="Q31" s="541">
        <f t="shared" ref="Q31:V31" si="109">SUM(Q32:Q34)</f>
        <v>11411</v>
      </c>
      <c r="R31" s="541">
        <f t="shared" si="109"/>
        <v>9276</v>
      </c>
      <c r="S31" s="541">
        <f t="shared" si="109"/>
        <v>12000</v>
      </c>
      <c r="T31" s="541">
        <f t="shared" si="109"/>
        <v>9000</v>
      </c>
      <c r="U31" s="541">
        <f t="shared" si="109"/>
        <v>14000</v>
      </c>
      <c r="V31" s="541">
        <f t="shared" si="109"/>
        <v>14000</v>
      </c>
      <c r="W31" s="541">
        <f>+U31-S31</f>
        <v>2000</v>
      </c>
      <c r="X31" s="541">
        <f>+U31/S31*100</f>
        <v>116.66666666666667</v>
      </c>
      <c r="Y31" s="541">
        <f>+S31-O31</f>
        <v>4000</v>
      </c>
      <c r="Z31" s="541">
        <f>+S31/O31*100</f>
        <v>150</v>
      </c>
      <c r="AA31" s="541">
        <f>SUM(AA32:AA34)</f>
        <v>16000</v>
      </c>
      <c r="AB31" s="541">
        <f>SUM(AB32:AB34)</f>
        <v>12000</v>
      </c>
      <c r="AC31" s="541">
        <f t="shared" ref="AC31:AH31" si="110">SUM(AC32:AC34)</f>
        <v>17301</v>
      </c>
      <c r="AD31" s="541">
        <f t="shared" si="110"/>
        <v>14598</v>
      </c>
      <c r="AE31" s="541">
        <f t="shared" si="110"/>
        <v>19084.5</v>
      </c>
      <c r="AF31" s="541">
        <f t="shared" si="110"/>
        <v>15030</v>
      </c>
      <c r="AG31" s="541">
        <f t="shared" si="110"/>
        <v>5000</v>
      </c>
      <c r="AH31" s="541">
        <f t="shared" si="110"/>
        <v>3000</v>
      </c>
      <c r="AI31" s="541">
        <f t="shared" si="36"/>
        <v>-14084.5</v>
      </c>
      <c r="AJ31" s="541">
        <f>+AG31/AE31*100</f>
        <v>26.199271660247845</v>
      </c>
      <c r="AK31" s="541">
        <f t="shared" si="70"/>
        <v>3084.5</v>
      </c>
      <c r="AL31" s="541">
        <f>+AE31/AA31*100</f>
        <v>119.27812499999999</v>
      </c>
      <c r="AM31" s="541">
        <f>SUM(AM32:AM34)</f>
        <v>7500</v>
      </c>
      <c r="AN31" s="541">
        <f>SUM(AN32:AN34)</f>
        <v>5000</v>
      </c>
      <c r="AO31" s="541">
        <f t="shared" ref="AO31:AT31" si="111">SUM(AO32:AO34)</f>
        <v>3831</v>
      </c>
      <c r="AP31" s="541">
        <f t="shared" si="111"/>
        <v>3224</v>
      </c>
      <c r="AQ31" s="541">
        <f t="shared" si="111"/>
        <v>7000</v>
      </c>
      <c r="AR31" s="541">
        <f t="shared" si="111"/>
        <v>6089.5</v>
      </c>
      <c r="AS31" s="541">
        <f t="shared" si="111"/>
        <v>8000</v>
      </c>
      <c r="AT31" s="541">
        <f t="shared" si="111"/>
        <v>7000</v>
      </c>
      <c r="AU31" s="541">
        <f>+AS31-AQ31</f>
        <v>1000</v>
      </c>
      <c r="AV31" s="541">
        <f>+AS31/AQ31*100</f>
        <v>114.28571428571428</v>
      </c>
      <c r="AW31" s="541">
        <f>+AQ31-AM31</f>
        <v>-500</v>
      </c>
      <c r="AX31" s="541">
        <f>+AQ31/AM31*100</f>
        <v>93.333333333333329</v>
      </c>
      <c r="AY31" s="541">
        <f>SUM(AY32:AY34)</f>
        <v>12000</v>
      </c>
      <c r="AZ31" s="541">
        <f>SUM(AZ32:AZ34)</f>
        <v>7000</v>
      </c>
      <c r="BA31" s="541">
        <f t="shared" ref="BA31:BF31" si="112">SUM(BA32:BA34)</f>
        <v>15302</v>
      </c>
      <c r="BB31" s="541">
        <f t="shared" si="112"/>
        <v>14282</v>
      </c>
      <c r="BC31" s="541">
        <f t="shared" si="112"/>
        <v>15000</v>
      </c>
      <c r="BD31" s="541">
        <f t="shared" si="112"/>
        <v>14000</v>
      </c>
      <c r="BE31" s="541">
        <f t="shared" si="112"/>
        <v>12500</v>
      </c>
      <c r="BF31" s="541">
        <f t="shared" si="112"/>
        <v>8000</v>
      </c>
      <c r="BG31" s="541">
        <f>+BE31-BC31</f>
        <v>-2500</v>
      </c>
      <c r="BH31" s="541">
        <f>+BE31/BC31*100</f>
        <v>83.333333333333343</v>
      </c>
      <c r="BI31" s="541">
        <f>+BC31-AY31</f>
        <v>3000</v>
      </c>
      <c r="BJ31" s="541">
        <f>+BC31/AY31*100</f>
        <v>125</v>
      </c>
      <c r="BK31" s="541">
        <f>SUM(BK32:BK34)</f>
        <v>30500</v>
      </c>
      <c r="BL31" s="541">
        <f>SUM(BL32:BL34)</f>
        <v>25000</v>
      </c>
      <c r="BM31" s="541">
        <f t="shared" ref="BM31:BR31" si="113">SUM(BM32:BM34)</f>
        <v>17710</v>
      </c>
      <c r="BN31" s="541">
        <f t="shared" si="113"/>
        <v>15758</v>
      </c>
      <c r="BO31" s="541">
        <f t="shared" si="113"/>
        <v>29000</v>
      </c>
      <c r="BP31" s="541">
        <f t="shared" si="113"/>
        <v>23000</v>
      </c>
      <c r="BQ31" s="541">
        <f t="shared" si="113"/>
        <v>29000</v>
      </c>
      <c r="BR31" s="541">
        <f t="shared" si="113"/>
        <v>22000</v>
      </c>
      <c r="BS31" s="541">
        <f>+BQ31-BO31</f>
        <v>0</v>
      </c>
      <c r="BT31" s="541">
        <f>+BQ31/BO31*100</f>
        <v>100</v>
      </c>
      <c r="BU31" s="541">
        <f>+BO31-BK31</f>
        <v>-1500</v>
      </c>
      <c r="BV31" s="541">
        <f>+BO31/BK31*100</f>
        <v>95.081967213114751</v>
      </c>
      <c r="BW31" s="541">
        <f>SUM(BW32:BW34)</f>
        <v>60000</v>
      </c>
      <c r="BX31" s="541">
        <f>SUM(BX32:BX34)</f>
        <v>11000</v>
      </c>
      <c r="BY31" s="541">
        <f t="shared" ref="BY31:CD31" si="114">SUM(BY32:BY34)</f>
        <v>38457</v>
      </c>
      <c r="BZ31" s="541">
        <f t="shared" si="114"/>
        <v>13162</v>
      </c>
      <c r="CA31" s="541">
        <f t="shared" si="114"/>
        <v>52000</v>
      </c>
      <c r="CB31" s="541">
        <f t="shared" si="114"/>
        <v>16000</v>
      </c>
      <c r="CC31" s="541">
        <f t="shared" si="114"/>
        <v>60000</v>
      </c>
      <c r="CD31" s="541">
        <f t="shared" si="114"/>
        <v>16000</v>
      </c>
      <c r="CE31" s="541">
        <f>+CC31-CA31</f>
        <v>8000</v>
      </c>
      <c r="CF31" s="541">
        <f>+CC31/CA31*100</f>
        <v>115.38461538461537</v>
      </c>
      <c r="CG31" s="541">
        <f>+CA31-BW31</f>
        <v>-8000</v>
      </c>
      <c r="CH31" s="541">
        <f>+CA31/BW31*100</f>
        <v>86.666666666666671</v>
      </c>
      <c r="CI31" s="541">
        <f>SUM(CI32:CI34)</f>
        <v>21000</v>
      </c>
      <c r="CJ31" s="541">
        <f>SUM(CJ32:CJ34)</f>
        <v>14000</v>
      </c>
      <c r="CK31" s="541">
        <f t="shared" ref="CK31:CP31" si="115">SUM(CK32:CK34)</f>
        <v>27633</v>
      </c>
      <c r="CL31" s="541">
        <f t="shared" si="115"/>
        <v>24377</v>
      </c>
      <c r="CM31" s="541">
        <f t="shared" si="115"/>
        <v>30000</v>
      </c>
      <c r="CN31" s="541">
        <f t="shared" si="115"/>
        <v>25116</v>
      </c>
      <c r="CO31" s="541">
        <f t="shared" si="115"/>
        <v>25000</v>
      </c>
      <c r="CP31" s="541">
        <f t="shared" si="115"/>
        <v>15000</v>
      </c>
      <c r="CQ31" s="541">
        <f>+CO31-CM31</f>
        <v>-5000</v>
      </c>
      <c r="CR31" s="541">
        <f>+CO31/CM31*100</f>
        <v>83.333333333333343</v>
      </c>
      <c r="CS31" s="541">
        <f>+CM31-CI31</f>
        <v>9000</v>
      </c>
      <c r="CT31" s="541">
        <f>+CM31/CI31*100</f>
        <v>142.85714285714286</v>
      </c>
      <c r="CU31" s="541">
        <f>SUM(CU32:CU34)</f>
        <v>9000</v>
      </c>
      <c r="CV31" s="541">
        <f>SUM(CV32:CV34)</f>
        <v>7000</v>
      </c>
      <c r="CW31" s="541">
        <f t="shared" ref="CW31:DB31" si="116">SUM(CW32:CW34)</f>
        <v>7316</v>
      </c>
      <c r="CX31" s="541">
        <f t="shared" si="116"/>
        <v>4511</v>
      </c>
      <c r="CY31" s="541">
        <f t="shared" si="116"/>
        <v>10000</v>
      </c>
      <c r="CZ31" s="541">
        <f t="shared" si="116"/>
        <v>5792.5</v>
      </c>
      <c r="DA31" s="541">
        <f t="shared" si="116"/>
        <v>11000</v>
      </c>
      <c r="DB31" s="541">
        <f t="shared" si="116"/>
        <v>7000</v>
      </c>
      <c r="DC31" s="541">
        <f>+DA31-CY31</f>
        <v>1000</v>
      </c>
      <c r="DD31" s="541">
        <f>+DA31/CY31*100</f>
        <v>110.00000000000001</v>
      </c>
      <c r="DE31" s="541">
        <f>+CY31-CU31</f>
        <v>1000</v>
      </c>
      <c r="DF31" s="541">
        <f>+CY31/CU31*100</f>
        <v>111.11111111111111</v>
      </c>
      <c r="DG31" s="541">
        <f>SUM(DG32:DG34)</f>
        <v>16100</v>
      </c>
      <c r="DH31" s="541">
        <f>SUM(DH32:DH34)</f>
        <v>9500</v>
      </c>
      <c r="DI31" s="541">
        <f t="shared" ref="DI31:DN31" si="117">SUM(DI32:DI34)</f>
        <v>13502</v>
      </c>
      <c r="DJ31" s="541">
        <f t="shared" si="117"/>
        <v>10689</v>
      </c>
      <c r="DK31" s="541">
        <f t="shared" si="117"/>
        <v>13000</v>
      </c>
      <c r="DL31" s="541">
        <f t="shared" si="117"/>
        <v>9500</v>
      </c>
      <c r="DM31" s="541">
        <f t="shared" si="117"/>
        <v>16000</v>
      </c>
      <c r="DN31" s="541">
        <f t="shared" si="117"/>
        <v>9500</v>
      </c>
      <c r="DO31" s="541">
        <f>+DM31-DK31</f>
        <v>3000</v>
      </c>
      <c r="DP31" s="541">
        <f>+DM31/DK31*100</f>
        <v>123.07692307692308</v>
      </c>
      <c r="DQ31" s="541">
        <f>+DK31-DG31</f>
        <v>-3100</v>
      </c>
      <c r="DR31" s="541">
        <f>+DK31/DG31*100</f>
        <v>80.745341614906835</v>
      </c>
      <c r="DS31" s="541">
        <f>SUM(DS32:DS34)</f>
        <v>17500</v>
      </c>
      <c r="DT31" s="541">
        <f>SUM(DT32:DT34)</f>
        <v>8000</v>
      </c>
      <c r="DU31" s="541">
        <f t="shared" ref="DU31:DZ31" si="118">SUM(DU32:DU34)</f>
        <v>11115</v>
      </c>
      <c r="DV31" s="541">
        <f t="shared" si="118"/>
        <v>8399</v>
      </c>
      <c r="DW31" s="541">
        <f t="shared" si="118"/>
        <v>13000</v>
      </c>
      <c r="DX31" s="541">
        <f t="shared" si="118"/>
        <v>8926</v>
      </c>
      <c r="DY31" s="541">
        <f t="shared" si="118"/>
        <v>14500</v>
      </c>
      <c r="DZ31" s="541">
        <f t="shared" si="118"/>
        <v>10000</v>
      </c>
      <c r="EA31" s="541">
        <f>+DY31-DW31</f>
        <v>1500</v>
      </c>
      <c r="EB31" s="541">
        <f>+DY31/DW31*100</f>
        <v>111.53846153846155</v>
      </c>
      <c r="EC31" s="541">
        <f>+DW31-DS31</f>
        <v>-4500</v>
      </c>
      <c r="ED31" s="541">
        <f>+DW31/DS31*100</f>
        <v>74.285714285714292</v>
      </c>
      <c r="EE31" s="541">
        <f>SUM(EE32:EE34)</f>
        <v>14000</v>
      </c>
      <c r="EF31" s="541">
        <f>SUM(EF32:EF34)</f>
        <v>7500</v>
      </c>
      <c r="EG31" s="541">
        <f t="shared" ref="EG31:EL31" si="119">SUM(EG32:EG34)</f>
        <v>9973</v>
      </c>
      <c r="EH31" s="541">
        <f t="shared" si="119"/>
        <v>5960</v>
      </c>
      <c r="EI31" s="541">
        <f t="shared" si="119"/>
        <v>13500</v>
      </c>
      <c r="EJ31" s="541">
        <f t="shared" si="119"/>
        <v>7480.5</v>
      </c>
      <c r="EK31" s="541">
        <f t="shared" si="119"/>
        <v>15000</v>
      </c>
      <c r="EL31" s="541">
        <f t="shared" si="119"/>
        <v>10000</v>
      </c>
      <c r="EM31" s="541">
        <f>+EK31-EI31</f>
        <v>1500</v>
      </c>
      <c r="EN31" s="541">
        <f>+EK31/EI31*100</f>
        <v>111.11111111111111</v>
      </c>
      <c r="EO31" s="541">
        <f>+EI31-EE31</f>
        <v>-500</v>
      </c>
      <c r="EP31" s="541">
        <f>+EI31/EE31*100</f>
        <v>96.428571428571431</v>
      </c>
      <c r="EQ31" s="541">
        <f>SUM(EQ32:EQ34)</f>
        <v>12500</v>
      </c>
      <c r="ER31" s="541">
        <f>SUM(ER32:ER34)</f>
        <v>8500</v>
      </c>
      <c r="ES31" s="541">
        <f t="shared" ref="ES31:EX31" si="120">SUM(ES32:ES34)</f>
        <v>8758</v>
      </c>
      <c r="ET31" s="541">
        <f t="shared" si="120"/>
        <v>6741</v>
      </c>
      <c r="EU31" s="541">
        <f t="shared" si="120"/>
        <v>11525.5</v>
      </c>
      <c r="EV31" s="541">
        <f t="shared" si="120"/>
        <v>8500</v>
      </c>
      <c r="EW31" s="541">
        <f t="shared" si="120"/>
        <v>14000</v>
      </c>
      <c r="EX31" s="541">
        <f t="shared" si="120"/>
        <v>9000</v>
      </c>
      <c r="EY31" s="541">
        <f>+EW31-EU31</f>
        <v>2474.5</v>
      </c>
      <c r="EZ31" s="541">
        <f>+EW31/EU31*100</f>
        <v>121.46978439113269</v>
      </c>
      <c r="FA31" s="541">
        <f>+EU31-EQ31</f>
        <v>-974.5</v>
      </c>
      <c r="FB31" s="541">
        <f>+EU31/EQ31*100</f>
        <v>92.203999999999994</v>
      </c>
      <c r="FC31" s="829">
        <f>E31/C31</f>
        <v>0.81351628737170911</v>
      </c>
      <c r="FD31" s="829">
        <f>F31/D31</f>
        <v>1.0896589018302829</v>
      </c>
      <c r="FE31" s="835">
        <f>E31-C31</f>
        <v>-41791</v>
      </c>
      <c r="FF31" s="835">
        <f>F31-D31</f>
        <v>10777</v>
      </c>
    </row>
    <row r="32" spans="1:162" x14ac:dyDescent="0.25">
      <c r="A32" s="848" t="s">
        <v>564</v>
      </c>
      <c r="B32" s="849" t="s">
        <v>640</v>
      </c>
      <c r="C32" s="542">
        <f t="shared" si="68"/>
        <v>80600</v>
      </c>
      <c r="D32" s="542">
        <f t="shared" si="68"/>
        <v>0</v>
      </c>
      <c r="E32" s="542">
        <f t="shared" si="68"/>
        <v>41627</v>
      </c>
      <c r="F32" s="542">
        <f t="shared" si="68"/>
        <v>0</v>
      </c>
      <c r="G32" s="542">
        <f t="shared" si="68"/>
        <v>59749.5</v>
      </c>
      <c r="H32" s="542">
        <f t="shared" si="68"/>
        <v>0</v>
      </c>
      <c r="I32" s="542">
        <f t="shared" si="68"/>
        <v>70000</v>
      </c>
      <c r="J32" s="542">
        <f t="shared" si="68"/>
        <v>0</v>
      </c>
      <c r="K32" s="850"/>
      <c r="L32" s="850"/>
      <c r="M32" s="850"/>
      <c r="N32" s="850"/>
      <c r="O32" s="850">
        <v>1100</v>
      </c>
      <c r="P32" s="850">
        <v>0</v>
      </c>
      <c r="Q32" s="850">
        <v>993</v>
      </c>
      <c r="R32" s="850">
        <v>0</v>
      </c>
      <c r="S32" s="850">
        <f>12000-S33-S34</f>
        <v>1287</v>
      </c>
      <c r="T32" s="850">
        <v>0</v>
      </c>
      <c r="U32" s="850"/>
      <c r="V32" s="850">
        <v>0</v>
      </c>
      <c r="W32" s="850"/>
      <c r="X32" s="850"/>
      <c r="Y32" s="850"/>
      <c r="Z32" s="850"/>
      <c r="AA32" s="850">
        <v>2000</v>
      </c>
      <c r="AB32" s="850">
        <v>0</v>
      </c>
      <c r="AC32" s="850">
        <v>1918</v>
      </c>
      <c r="AD32" s="850">
        <v>0</v>
      </c>
      <c r="AE32" s="850">
        <f>AC32/8*12</f>
        <v>2877</v>
      </c>
      <c r="AF32" s="850">
        <v>0</v>
      </c>
      <c r="AG32" s="850">
        <v>1000</v>
      </c>
      <c r="AH32" s="850">
        <v>0</v>
      </c>
      <c r="AI32" s="850"/>
      <c r="AJ32" s="850"/>
      <c r="AK32" s="850"/>
      <c r="AL32" s="850"/>
      <c r="AM32" s="850">
        <v>1500</v>
      </c>
      <c r="AN32" s="850">
        <v>0</v>
      </c>
      <c r="AO32" s="850">
        <v>374</v>
      </c>
      <c r="AP32" s="850">
        <v>0</v>
      </c>
      <c r="AQ32" s="850">
        <f>AO32/8*12</f>
        <v>561</v>
      </c>
      <c r="AR32" s="850">
        <v>0</v>
      </c>
      <c r="AS32" s="850">
        <v>600</v>
      </c>
      <c r="AT32" s="850">
        <v>0</v>
      </c>
      <c r="AU32" s="850"/>
      <c r="AV32" s="850"/>
      <c r="AW32" s="850"/>
      <c r="AX32" s="850"/>
      <c r="AY32" s="850">
        <v>3000</v>
      </c>
      <c r="AZ32" s="850">
        <v>0</v>
      </c>
      <c r="BA32" s="850">
        <v>841</v>
      </c>
      <c r="BB32" s="850">
        <v>0</v>
      </c>
      <c r="BC32" s="850">
        <f>15000-BC33-BC34</f>
        <v>731.5</v>
      </c>
      <c r="BD32" s="850">
        <v>0</v>
      </c>
      <c r="BE32" s="850">
        <v>2500</v>
      </c>
      <c r="BF32" s="850">
        <v>0</v>
      </c>
      <c r="BG32" s="850"/>
      <c r="BH32" s="850"/>
      <c r="BI32" s="850"/>
      <c r="BJ32" s="850"/>
      <c r="BK32" s="850">
        <v>3500</v>
      </c>
      <c r="BL32" s="850">
        <v>0</v>
      </c>
      <c r="BM32" s="850">
        <v>1090</v>
      </c>
      <c r="BN32" s="850">
        <v>0</v>
      </c>
      <c r="BO32" s="850">
        <v>3000</v>
      </c>
      <c r="BP32" s="850">
        <v>0</v>
      </c>
      <c r="BQ32" s="850">
        <v>3500</v>
      </c>
      <c r="BR32" s="850">
        <v>0</v>
      </c>
      <c r="BS32" s="850"/>
      <c r="BT32" s="850"/>
      <c r="BU32" s="850"/>
      <c r="BV32" s="850"/>
      <c r="BW32" s="850">
        <v>45000</v>
      </c>
      <c r="BX32" s="850">
        <v>0</v>
      </c>
      <c r="BY32" s="850">
        <v>23736</v>
      </c>
      <c r="BZ32" s="850">
        <v>0</v>
      </c>
      <c r="CA32" s="850">
        <v>33000</v>
      </c>
      <c r="CB32" s="850">
        <v>0</v>
      </c>
      <c r="CC32" s="850">
        <v>40000</v>
      </c>
      <c r="CD32" s="850">
        <v>0</v>
      </c>
      <c r="CE32" s="850"/>
      <c r="CF32" s="850"/>
      <c r="CG32" s="850"/>
      <c r="CH32" s="850"/>
      <c r="CI32" s="850">
        <v>5000</v>
      </c>
      <c r="CJ32" s="850">
        <v>0</v>
      </c>
      <c r="CK32" s="850">
        <v>2096</v>
      </c>
      <c r="CL32" s="850">
        <v>0</v>
      </c>
      <c r="CM32" s="850">
        <f>CK32/8*12</f>
        <v>3144</v>
      </c>
      <c r="CN32" s="850">
        <v>0</v>
      </c>
      <c r="CO32" s="850">
        <v>5700</v>
      </c>
      <c r="CP32" s="850">
        <v>0</v>
      </c>
      <c r="CQ32" s="850"/>
      <c r="CR32" s="850"/>
      <c r="CS32" s="850"/>
      <c r="CT32" s="850"/>
      <c r="CU32" s="850">
        <v>2000</v>
      </c>
      <c r="CV32" s="850">
        <v>0</v>
      </c>
      <c r="CW32" s="850">
        <v>1546</v>
      </c>
      <c r="CX32" s="850">
        <v>0</v>
      </c>
      <c r="CY32" s="850">
        <f>CW32/8*12</f>
        <v>2319</v>
      </c>
      <c r="CZ32" s="850">
        <v>0</v>
      </c>
      <c r="DA32" s="850">
        <v>2200</v>
      </c>
      <c r="DB32" s="850">
        <v>0</v>
      </c>
      <c r="DC32" s="850"/>
      <c r="DD32" s="850"/>
      <c r="DE32" s="850"/>
      <c r="DF32" s="850"/>
      <c r="DG32" s="850">
        <v>4000</v>
      </c>
      <c r="DH32" s="850">
        <v>0</v>
      </c>
      <c r="DI32" s="851">
        <v>2036</v>
      </c>
      <c r="DJ32" s="851">
        <v>0</v>
      </c>
      <c r="DK32" s="850">
        <f>13000-DK33-DK34</f>
        <v>2334.5</v>
      </c>
      <c r="DL32" s="851">
        <v>0</v>
      </c>
      <c r="DM32" s="850">
        <v>4000</v>
      </c>
      <c r="DN32" s="850">
        <v>0</v>
      </c>
      <c r="DO32" s="850"/>
      <c r="DP32" s="850"/>
      <c r="DQ32" s="850"/>
      <c r="DR32" s="850"/>
      <c r="DS32" s="850">
        <v>5500</v>
      </c>
      <c r="DT32" s="850">
        <v>0</v>
      </c>
      <c r="DU32" s="850">
        <v>2012</v>
      </c>
      <c r="DV32" s="850">
        <v>0</v>
      </c>
      <c r="DW32" s="850">
        <f>DU32/8*12</f>
        <v>3018</v>
      </c>
      <c r="DX32" s="850">
        <v>0</v>
      </c>
      <c r="DY32" s="850">
        <v>3200</v>
      </c>
      <c r="DZ32" s="850">
        <v>0</v>
      </c>
      <c r="EA32" s="850"/>
      <c r="EB32" s="850"/>
      <c r="EC32" s="850"/>
      <c r="ED32" s="850"/>
      <c r="EE32" s="850">
        <v>5000</v>
      </c>
      <c r="EF32" s="850">
        <v>0</v>
      </c>
      <c r="EG32" s="850">
        <v>3272</v>
      </c>
      <c r="EH32" s="850">
        <v>0</v>
      </c>
      <c r="EI32" s="850">
        <f>EG32/8*12</f>
        <v>4908</v>
      </c>
      <c r="EJ32" s="850">
        <v>0</v>
      </c>
      <c r="EK32" s="850">
        <v>3800</v>
      </c>
      <c r="EL32" s="850">
        <v>0</v>
      </c>
      <c r="EM32" s="850"/>
      <c r="EN32" s="850"/>
      <c r="EO32" s="850"/>
      <c r="EP32" s="850"/>
      <c r="EQ32" s="850">
        <v>3000</v>
      </c>
      <c r="ER32" s="850">
        <v>0</v>
      </c>
      <c r="ES32" s="850">
        <v>1713</v>
      </c>
      <c r="ET32" s="850">
        <v>0</v>
      </c>
      <c r="EU32" s="850">
        <f>ES32/8*12</f>
        <v>2569.5</v>
      </c>
      <c r="EV32" s="850">
        <v>0</v>
      </c>
      <c r="EW32" s="850">
        <v>3500</v>
      </c>
      <c r="EX32" s="850">
        <v>0</v>
      </c>
      <c r="EY32" s="850"/>
      <c r="EZ32" s="850"/>
      <c r="FA32" s="850"/>
      <c r="FB32" s="850"/>
      <c r="FC32" s="830"/>
      <c r="FD32" s="830"/>
      <c r="FE32" s="836"/>
      <c r="FF32" s="836"/>
    </row>
    <row r="33" spans="1:162" x14ac:dyDescent="0.25">
      <c r="A33" s="848" t="s">
        <v>564</v>
      </c>
      <c r="B33" s="849" t="s">
        <v>641</v>
      </c>
      <c r="C33" s="542">
        <f t="shared" si="68"/>
        <v>23300</v>
      </c>
      <c r="D33" s="542">
        <f t="shared" si="68"/>
        <v>0</v>
      </c>
      <c r="E33" s="542">
        <f t="shared" si="68"/>
        <v>9705</v>
      </c>
      <c r="F33" s="542">
        <f t="shared" si="68"/>
        <v>0</v>
      </c>
      <c r="G33" s="542">
        <f t="shared" si="68"/>
        <v>16926</v>
      </c>
      <c r="H33" s="542">
        <f t="shared" si="68"/>
        <v>0</v>
      </c>
      <c r="I33" s="542">
        <f t="shared" si="68"/>
        <v>23500</v>
      </c>
      <c r="J33" s="542">
        <f t="shared" si="68"/>
        <v>0</v>
      </c>
      <c r="K33" s="850"/>
      <c r="L33" s="850"/>
      <c r="M33" s="850"/>
      <c r="N33" s="850"/>
      <c r="O33" s="850">
        <v>1200</v>
      </c>
      <c r="P33" s="850">
        <v>0</v>
      </c>
      <c r="Q33" s="850">
        <v>1142</v>
      </c>
      <c r="R33" s="850">
        <v>0</v>
      </c>
      <c r="S33" s="850">
        <f>Q33/8*12</f>
        <v>1713</v>
      </c>
      <c r="T33" s="850">
        <v>0</v>
      </c>
      <c r="U33" s="850"/>
      <c r="V33" s="850">
        <v>0</v>
      </c>
      <c r="W33" s="850"/>
      <c r="X33" s="850"/>
      <c r="Y33" s="850"/>
      <c r="Z33" s="850"/>
      <c r="AA33" s="850">
        <v>2000</v>
      </c>
      <c r="AB33" s="850">
        <v>0</v>
      </c>
      <c r="AC33" s="850">
        <v>785</v>
      </c>
      <c r="AD33" s="850">
        <v>0</v>
      </c>
      <c r="AE33" s="850">
        <f>AC33/8*12</f>
        <v>1177.5</v>
      </c>
      <c r="AF33" s="850">
        <v>0</v>
      </c>
      <c r="AG33" s="850">
        <v>1000</v>
      </c>
      <c r="AH33" s="850">
        <v>0</v>
      </c>
      <c r="AI33" s="850"/>
      <c r="AJ33" s="850"/>
      <c r="AK33" s="850"/>
      <c r="AL33" s="850"/>
      <c r="AM33" s="850">
        <v>1000</v>
      </c>
      <c r="AN33" s="850">
        <v>0</v>
      </c>
      <c r="AO33" s="850">
        <v>233</v>
      </c>
      <c r="AP33" s="850">
        <v>0</v>
      </c>
      <c r="AQ33" s="850">
        <f>AO33/8*12</f>
        <v>349.5</v>
      </c>
      <c r="AR33" s="850">
        <v>0</v>
      </c>
      <c r="AS33" s="850">
        <v>400</v>
      </c>
      <c r="AT33" s="850">
        <v>0</v>
      </c>
      <c r="AU33" s="850"/>
      <c r="AV33" s="850"/>
      <c r="AW33" s="850"/>
      <c r="AX33" s="850"/>
      <c r="AY33" s="850">
        <v>2000</v>
      </c>
      <c r="AZ33" s="850">
        <v>0</v>
      </c>
      <c r="BA33" s="850">
        <v>179</v>
      </c>
      <c r="BB33" s="850">
        <v>0</v>
      </c>
      <c r="BC33" s="850">
        <f>BA33/8*12</f>
        <v>268.5</v>
      </c>
      <c r="BD33" s="850">
        <v>0</v>
      </c>
      <c r="BE33" s="850">
        <v>2000</v>
      </c>
      <c r="BF33" s="850">
        <v>0</v>
      </c>
      <c r="BG33" s="850"/>
      <c r="BH33" s="850"/>
      <c r="BI33" s="850"/>
      <c r="BJ33" s="850"/>
      <c r="BK33" s="850">
        <v>2000</v>
      </c>
      <c r="BL33" s="850">
        <v>0</v>
      </c>
      <c r="BM33" s="850">
        <v>862</v>
      </c>
      <c r="BN33" s="850">
        <v>0</v>
      </c>
      <c r="BO33" s="850">
        <v>3000</v>
      </c>
      <c r="BP33" s="850">
        <v>0</v>
      </c>
      <c r="BQ33" s="850">
        <v>3500</v>
      </c>
      <c r="BR33" s="850">
        <v>0</v>
      </c>
      <c r="BS33" s="850"/>
      <c r="BT33" s="850"/>
      <c r="BU33" s="850"/>
      <c r="BV33" s="850"/>
      <c r="BW33" s="850">
        <v>4000</v>
      </c>
      <c r="BX33" s="850">
        <v>0</v>
      </c>
      <c r="BY33" s="850">
        <v>1559</v>
      </c>
      <c r="BZ33" s="850">
        <v>0</v>
      </c>
      <c r="CA33" s="850">
        <v>3000</v>
      </c>
      <c r="CB33" s="850">
        <v>0</v>
      </c>
      <c r="CC33" s="850">
        <v>4000</v>
      </c>
      <c r="CD33" s="850">
        <v>0</v>
      </c>
      <c r="CE33" s="850"/>
      <c r="CF33" s="850"/>
      <c r="CG33" s="850"/>
      <c r="CH33" s="850"/>
      <c r="CI33" s="850">
        <v>2000</v>
      </c>
      <c r="CJ33" s="850">
        <v>0</v>
      </c>
      <c r="CK33" s="850">
        <v>1160</v>
      </c>
      <c r="CL33" s="850">
        <v>0</v>
      </c>
      <c r="CM33" s="850">
        <f>CK33/8*12</f>
        <v>1740</v>
      </c>
      <c r="CN33" s="850">
        <v>0</v>
      </c>
      <c r="CO33" s="850">
        <v>4300</v>
      </c>
      <c r="CP33" s="850">
        <v>0</v>
      </c>
      <c r="CQ33" s="850"/>
      <c r="CR33" s="850"/>
      <c r="CS33" s="850"/>
      <c r="CT33" s="850"/>
      <c r="CU33" s="850"/>
      <c r="CV33" s="850">
        <v>0</v>
      </c>
      <c r="CW33" s="850">
        <v>1259</v>
      </c>
      <c r="CX33" s="850">
        <v>0</v>
      </c>
      <c r="CY33" s="850">
        <f>CW33/8*12</f>
        <v>1888.5</v>
      </c>
      <c r="CZ33" s="850">
        <v>0</v>
      </c>
      <c r="DA33" s="850">
        <v>1800</v>
      </c>
      <c r="DB33" s="850">
        <v>0</v>
      </c>
      <c r="DC33" s="850"/>
      <c r="DD33" s="850"/>
      <c r="DE33" s="850"/>
      <c r="DF33" s="850"/>
      <c r="DG33" s="850">
        <f>2000+600</f>
        <v>2600</v>
      </c>
      <c r="DH33" s="850">
        <v>0</v>
      </c>
      <c r="DI33" s="851">
        <v>777</v>
      </c>
      <c r="DJ33" s="851">
        <v>0</v>
      </c>
      <c r="DK33" s="850">
        <f>DI33/8*12</f>
        <v>1165.5</v>
      </c>
      <c r="DL33" s="851">
        <v>0</v>
      </c>
      <c r="DM33" s="850">
        <v>2500</v>
      </c>
      <c r="DN33" s="850">
        <v>0</v>
      </c>
      <c r="DO33" s="850"/>
      <c r="DP33" s="850"/>
      <c r="DQ33" s="850"/>
      <c r="DR33" s="850"/>
      <c r="DS33" s="850">
        <v>4000</v>
      </c>
      <c r="DT33" s="850">
        <v>0</v>
      </c>
      <c r="DU33" s="850">
        <v>704</v>
      </c>
      <c r="DV33" s="850">
        <v>0</v>
      </c>
      <c r="DW33" s="850">
        <f>DU33/8*12</f>
        <v>1056</v>
      </c>
      <c r="DX33" s="850">
        <v>0</v>
      </c>
      <c r="DY33" s="850">
        <v>1300</v>
      </c>
      <c r="DZ33" s="850">
        <v>0</v>
      </c>
      <c r="EA33" s="850"/>
      <c r="EB33" s="850"/>
      <c r="EC33" s="850"/>
      <c r="ED33" s="850"/>
      <c r="EE33" s="850">
        <v>1500</v>
      </c>
      <c r="EF33" s="850">
        <v>0</v>
      </c>
      <c r="EG33" s="850">
        <v>741</v>
      </c>
      <c r="EH33" s="850">
        <v>0</v>
      </c>
      <c r="EI33" s="850">
        <f>EG33/8*12</f>
        <v>1111.5</v>
      </c>
      <c r="EJ33" s="850">
        <v>0</v>
      </c>
      <c r="EK33" s="850">
        <v>1200</v>
      </c>
      <c r="EL33" s="850">
        <v>0</v>
      </c>
      <c r="EM33" s="850"/>
      <c r="EN33" s="850"/>
      <c r="EO33" s="850"/>
      <c r="EP33" s="850"/>
      <c r="EQ33" s="850">
        <v>1000</v>
      </c>
      <c r="ER33" s="850">
        <v>0</v>
      </c>
      <c r="ES33" s="850">
        <v>304</v>
      </c>
      <c r="ET33" s="850">
        <v>0</v>
      </c>
      <c r="EU33" s="850">
        <f>ES33/8*12</f>
        <v>456</v>
      </c>
      <c r="EV33" s="850">
        <v>0</v>
      </c>
      <c r="EW33" s="850">
        <v>1500</v>
      </c>
      <c r="EX33" s="850">
        <v>0</v>
      </c>
      <c r="EY33" s="850"/>
      <c r="EZ33" s="850"/>
      <c r="FA33" s="850"/>
      <c r="FB33" s="850"/>
      <c r="FC33" s="830"/>
      <c r="FD33" s="830"/>
      <c r="FE33" s="836"/>
      <c r="FF33" s="836"/>
    </row>
    <row r="34" spans="1:162" x14ac:dyDescent="0.25">
      <c r="A34" s="848" t="s">
        <v>564</v>
      </c>
      <c r="B34" s="849" t="s">
        <v>1540</v>
      </c>
      <c r="C34" s="542">
        <f t="shared" si="68"/>
        <v>120200</v>
      </c>
      <c r="D34" s="542">
        <f t="shared" si="68"/>
        <v>120200</v>
      </c>
      <c r="E34" s="542">
        <f t="shared" si="68"/>
        <v>130977</v>
      </c>
      <c r="F34" s="542">
        <f t="shared" si="68"/>
        <v>130977</v>
      </c>
      <c r="G34" s="542">
        <f t="shared" si="68"/>
        <v>148434.5</v>
      </c>
      <c r="H34" s="542">
        <f t="shared" si="68"/>
        <v>148434.5</v>
      </c>
      <c r="I34" s="542">
        <f t="shared" si="68"/>
        <v>130500</v>
      </c>
      <c r="J34" s="542">
        <f t="shared" si="68"/>
        <v>130500</v>
      </c>
      <c r="K34" s="850"/>
      <c r="L34" s="850"/>
      <c r="M34" s="850"/>
      <c r="N34" s="850"/>
      <c r="O34" s="850">
        <v>5700</v>
      </c>
      <c r="P34" s="850">
        <f>O34</f>
        <v>5700</v>
      </c>
      <c r="Q34" s="850">
        <f>11411-Q32-Q33</f>
        <v>9276</v>
      </c>
      <c r="R34" s="850">
        <f>Q34</f>
        <v>9276</v>
      </c>
      <c r="S34" s="850">
        <v>9000</v>
      </c>
      <c r="T34" s="850">
        <f>S34</f>
        <v>9000</v>
      </c>
      <c r="U34" s="1208">
        <f>14000-U32-U33</f>
        <v>14000</v>
      </c>
      <c r="V34" s="850">
        <f>U34</f>
        <v>14000</v>
      </c>
      <c r="W34" s="850"/>
      <c r="X34" s="850"/>
      <c r="Y34" s="850"/>
      <c r="Z34" s="850"/>
      <c r="AA34" s="850">
        <v>12000</v>
      </c>
      <c r="AB34" s="850">
        <f>AA34</f>
        <v>12000</v>
      </c>
      <c r="AC34" s="850">
        <f>17301-AC32-AC33</f>
        <v>14598</v>
      </c>
      <c r="AD34" s="850">
        <f>AC34</f>
        <v>14598</v>
      </c>
      <c r="AE34" s="850">
        <f>17000-1970</f>
        <v>15030</v>
      </c>
      <c r="AF34" s="850">
        <f>AE34</f>
        <v>15030</v>
      </c>
      <c r="AG34" s="1208">
        <f>5000-AG32-AG33</f>
        <v>3000</v>
      </c>
      <c r="AH34" s="850">
        <f>AG34</f>
        <v>3000</v>
      </c>
      <c r="AI34" s="850"/>
      <c r="AJ34" s="850"/>
      <c r="AK34" s="850"/>
      <c r="AL34" s="850"/>
      <c r="AM34" s="850">
        <v>5000</v>
      </c>
      <c r="AN34" s="850">
        <f>AM34</f>
        <v>5000</v>
      </c>
      <c r="AO34" s="850">
        <f>3831-AO32-AO33</f>
        <v>3224</v>
      </c>
      <c r="AP34" s="850">
        <f>AO34</f>
        <v>3224</v>
      </c>
      <c r="AQ34" s="850">
        <f>7000-AQ32-AQ33</f>
        <v>6089.5</v>
      </c>
      <c r="AR34" s="850">
        <f>AQ34</f>
        <v>6089.5</v>
      </c>
      <c r="AS34" s="850">
        <f>8000-AS32-AS33</f>
        <v>7000</v>
      </c>
      <c r="AT34" s="850">
        <f>AS34</f>
        <v>7000</v>
      </c>
      <c r="AU34" s="850"/>
      <c r="AV34" s="850"/>
      <c r="AW34" s="850"/>
      <c r="AX34" s="850"/>
      <c r="AY34" s="850">
        <v>7000</v>
      </c>
      <c r="AZ34" s="850">
        <f>AY34</f>
        <v>7000</v>
      </c>
      <c r="BA34" s="850">
        <f>15302-BA32-BA33</f>
        <v>14282</v>
      </c>
      <c r="BB34" s="850">
        <f>BA34</f>
        <v>14282</v>
      </c>
      <c r="BC34" s="850">
        <v>14000</v>
      </c>
      <c r="BD34" s="850">
        <f>BC34</f>
        <v>14000</v>
      </c>
      <c r="BE34" s="1208">
        <f>12500-BE32-BE33</f>
        <v>8000</v>
      </c>
      <c r="BF34" s="850">
        <f>BE34</f>
        <v>8000</v>
      </c>
      <c r="BG34" s="850"/>
      <c r="BH34" s="850"/>
      <c r="BI34" s="850"/>
      <c r="BJ34" s="850"/>
      <c r="BK34" s="850">
        <v>25000</v>
      </c>
      <c r="BL34" s="850">
        <f>BK34</f>
        <v>25000</v>
      </c>
      <c r="BM34" s="850">
        <f>17710-BM32-BM33</f>
        <v>15758</v>
      </c>
      <c r="BN34" s="850">
        <f>BM34</f>
        <v>15758</v>
      </c>
      <c r="BO34" s="850">
        <f>29000-BO32-BO33</f>
        <v>23000</v>
      </c>
      <c r="BP34" s="850">
        <f>BO34</f>
        <v>23000</v>
      </c>
      <c r="BQ34" s="1208">
        <f>29000-BQ32-BQ33</f>
        <v>22000</v>
      </c>
      <c r="BR34" s="850">
        <f>BQ34</f>
        <v>22000</v>
      </c>
      <c r="BS34" s="850"/>
      <c r="BT34" s="850"/>
      <c r="BU34" s="850"/>
      <c r="BV34" s="850"/>
      <c r="BW34" s="850">
        <v>11000</v>
      </c>
      <c r="BX34" s="850">
        <f>BW34</f>
        <v>11000</v>
      </c>
      <c r="BY34" s="850">
        <f>38457-BY32-BY33</f>
        <v>13162</v>
      </c>
      <c r="BZ34" s="850">
        <f>BY34</f>
        <v>13162</v>
      </c>
      <c r="CA34" s="850">
        <f>52000-CA32-CA33</f>
        <v>16000</v>
      </c>
      <c r="CB34" s="850">
        <f>CA34</f>
        <v>16000</v>
      </c>
      <c r="CC34" s="850">
        <f>60000-CC32-CC33</f>
        <v>16000</v>
      </c>
      <c r="CD34" s="850">
        <f>CC34</f>
        <v>16000</v>
      </c>
      <c r="CE34" s="850"/>
      <c r="CF34" s="850"/>
      <c r="CG34" s="850"/>
      <c r="CH34" s="850"/>
      <c r="CI34" s="850">
        <v>14000</v>
      </c>
      <c r="CJ34" s="850">
        <f>CI34</f>
        <v>14000</v>
      </c>
      <c r="CK34" s="850">
        <f>27633-CK32-CK33</f>
        <v>24377</v>
      </c>
      <c r="CL34" s="850">
        <f>CK34</f>
        <v>24377</v>
      </c>
      <c r="CM34" s="850">
        <f>30000-CM32-CM33</f>
        <v>25116</v>
      </c>
      <c r="CN34" s="850">
        <f>CM34</f>
        <v>25116</v>
      </c>
      <c r="CO34" s="1208">
        <f>25000-CO32-CO33</f>
        <v>15000</v>
      </c>
      <c r="CP34" s="850">
        <f>CO34</f>
        <v>15000</v>
      </c>
      <c r="CQ34" s="850"/>
      <c r="CR34" s="850"/>
      <c r="CS34" s="850"/>
      <c r="CT34" s="850"/>
      <c r="CU34" s="850">
        <v>7000</v>
      </c>
      <c r="CV34" s="850">
        <f>CU34</f>
        <v>7000</v>
      </c>
      <c r="CW34" s="850">
        <f>7316-CW32-CW33</f>
        <v>4511</v>
      </c>
      <c r="CX34" s="850">
        <f>CW34</f>
        <v>4511</v>
      </c>
      <c r="CY34" s="850">
        <f>10000-CY32-CY33</f>
        <v>5792.5</v>
      </c>
      <c r="CZ34" s="850">
        <f>CY34</f>
        <v>5792.5</v>
      </c>
      <c r="DA34" s="850">
        <f>11000-DA32-DA33</f>
        <v>7000</v>
      </c>
      <c r="DB34" s="850">
        <f>DA34</f>
        <v>7000</v>
      </c>
      <c r="DC34" s="850"/>
      <c r="DD34" s="850"/>
      <c r="DE34" s="850"/>
      <c r="DF34" s="850"/>
      <c r="DG34" s="850">
        <v>9500</v>
      </c>
      <c r="DH34" s="850">
        <f>DG34</f>
        <v>9500</v>
      </c>
      <c r="DI34" s="851">
        <f>13502-DI32-DI33</f>
        <v>10689</v>
      </c>
      <c r="DJ34" s="851">
        <f>DI34</f>
        <v>10689</v>
      </c>
      <c r="DK34" s="850">
        <v>9500</v>
      </c>
      <c r="DL34" s="851">
        <f>DK34</f>
        <v>9500</v>
      </c>
      <c r="DM34" s="1208">
        <f>16000-DM32-DM33</f>
        <v>9500</v>
      </c>
      <c r="DN34" s="850">
        <f>DM34</f>
        <v>9500</v>
      </c>
      <c r="DO34" s="850"/>
      <c r="DP34" s="850"/>
      <c r="DQ34" s="850"/>
      <c r="DR34" s="850"/>
      <c r="DS34" s="850">
        <v>8000</v>
      </c>
      <c r="DT34" s="850">
        <f>DS34</f>
        <v>8000</v>
      </c>
      <c r="DU34" s="850">
        <f>11115-DU32-DU33</f>
        <v>8399</v>
      </c>
      <c r="DV34" s="850">
        <f>DU34</f>
        <v>8399</v>
      </c>
      <c r="DW34" s="850">
        <f>13000-DW32-DW33</f>
        <v>8926</v>
      </c>
      <c r="DX34" s="850">
        <f>DW34</f>
        <v>8926</v>
      </c>
      <c r="DY34" s="850">
        <f>14500-DY32-DY33</f>
        <v>10000</v>
      </c>
      <c r="DZ34" s="850">
        <f>DY34</f>
        <v>10000</v>
      </c>
      <c r="EA34" s="850"/>
      <c r="EB34" s="850"/>
      <c r="EC34" s="850"/>
      <c r="ED34" s="850"/>
      <c r="EE34" s="850">
        <v>7500</v>
      </c>
      <c r="EF34" s="850">
        <f>EE34</f>
        <v>7500</v>
      </c>
      <c r="EG34" s="850">
        <f>9973-EG32-EG33</f>
        <v>5960</v>
      </c>
      <c r="EH34" s="850">
        <f>EG34</f>
        <v>5960</v>
      </c>
      <c r="EI34" s="850">
        <f>13500-EI32-EI33</f>
        <v>7480.5</v>
      </c>
      <c r="EJ34" s="850">
        <f>EI34</f>
        <v>7480.5</v>
      </c>
      <c r="EK34" s="850">
        <f>15000-EK32-EK33</f>
        <v>10000</v>
      </c>
      <c r="EL34" s="850">
        <f>EK34</f>
        <v>10000</v>
      </c>
      <c r="EM34" s="850"/>
      <c r="EN34" s="850"/>
      <c r="EO34" s="850"/>
      <c r="EP34" s="850"/>
      <c r="EQ34" s="850">
        <v>8500</v>
      </c>
      <c r="ER34" s="850">
        <f>EQ34</f>
        <v>8500</v>
      </c>
      <c r="ES34" s="850">
        <f>8758-ES32-ES33</f>
        <v>6741</v>
      </c>
      <c r="ET34" s="850">
        <f>ES34</f>
        <v>6741</v>
      </c>
      <c r="EU34" s="1208">
        <v>8500</v>
      </c>
      <c r="EV34" s="850">
        <f>EU34</f>
        <v>8500</v>
      </c>
      <c r="EW34" s="1208">
        <f>14000-EW32-EW33</f>
        <v>9000</v>
      </c>
      <c r="EX34" s="850">
        <f>EW34</f>
        <v>9000</v>
      </c>
      <c r="EY34" s="850"/>
      <c r="EZ34" s="850"/>
      <c r="FA34" s="850"/>
      <c r="FB34" s="850"/>
      <c r="FC34" s="830"/>
      <c r="FD34" s="830"/>
      <c r="FE34" s="836"/>
      <c r="FF34" s="836"/>
    </row>
    <row r="35" spans="1:162" s="154" customFormat="1" x14ac:dyDescent="0.25">
      <c r="A35" s="155">
        <v>10</v>
      </c>
      <c r="B35" s="292" t="s">
        <v>420</v>
      </c>
      <c r="C35" s="546">
        <f t="shared" si="68"/>
        <v>4000</v>
      </c>
      <c r="D35" s="546">
        <f t="shared" si="68"/>
        <v>4000</v>
      </c>
      <c r="E35" s="541">
        <f t="shared" si="68"/>
        <v>693</v>
      </c>
      <c r="F35" s="541">
        <f t="shared" si="68"/>
        <v>693</v>
      </c>
      <c r="G35" s="546">
        <f t="shared" si="68"/>
        <v>3420</v>
      </c>
      <c r="H35" s="546">
        <f t="shared" si="69"/>
        <v>3420</v>
      </c>
      <c r="I35" s="546">
        <f t="shared" si="69"/>
        <v>3000</v>
      </c>
      <c r="J35" s="546">
        <f t="shared" si="69"/>
        <v>3000</v>
      </c>
      <c r="K35" s="546">
        <f>+I35-G35</f>
        <v>-420</v>
      </c>
      <c r="L35" s="546">
        <f>+I35/G35*100</f>
        <v>87.719298245614027</v>
      </c>
      <c r="M35" s="546">
        <f>+G35-C35</f>
        <v>-580</v>
      </c>
      <c r="N35" s="546">
        <f>+G35/C35*100</f>
        <v>85.5</v>
      </c>
      <c r="O35" s="546">
        <v>1100</v>
      </c>
      <c r="P35" s="546">
        <f>O35</f>
        <v>1100</v>
      </c>
      <c r="Q35" s="546">
        <v>521</v>
      </c>
      <c r="R35" s="546">
        <f>Q35</f>
        <v>521</v>
      </c>
      <c r="S35" s="546">
        <v>1500</v>
      </c>
      <c r="T35" s="546">
        <f>+S35</f>
        <v>1500</v>
      </c>
      <c r="U35" s="546">
        <v>1100</v>
      </c>
      <c r="V35" s="546">
        <f>U35</f>
        <v>1100</v>
      </c>
      <c r="W35" s="546">
        <f>+U35-S35</f>
        <v>-400</v>
      </c>
      <c r="X35" s="546">
        <f>+U35/S35*100</f>
        <v>73.333333333333329</v>
      </c>
      <c r="Y35" s="546">
        <f>+S35-O35</f>
        <v>400</v>
      </c>
      <c r="Z35" s="546">
        <f>+S35/O35*100</f>
        <v>136.36363636363635</v>
      </c>
      <c r="AA35" s="546">
        <v>300</v>
      </c>
      <c r="AB35" s="546">
        <f>AA35</f>
        <v>300</v>
      </c>
      <c r="AC35" s="546">
        <v>47</v>
      </c>
      <c r="AD35" s="546">
        <f>AC35</f>
        <v>47</v>
      </c>
      <c r="AE35" s="546">
        <v>200</v>
      </c>
      <c r="AF35" s="546">
        <f>+AE35</f>
        <v>200</v>
      </c>
      <c r="AG35" s="546">
        <v>200</v>
      </c>
      <c r="AH35" s="546">
        <f>AG35</f>
        <v>200</v>
      </c>
      <c r="AI35" s="546">
        <f>+AG35-AE35</f>
        <v>0</v>
      </c>
      <c r="AJ35" s="546">
        <f>+AG35/AE35*100</f>
        <v>100</v>
      </c>
      <c r="AK35" s="546">
        <f>+AE35-AA35</f>
        <v>-100</v>
      </c>
      <c r="AL35" s="546">
        <f>+AE35/AA35*100</f>
        <v>66.666666666666657</v>
      </c>
      <c r="AM35" s="546">
        <v>320</v>
      </c>
      <c r="AN35" s="546">
        <f>AM35</f>
        <v>320</v>
      </c>
      <c r="AO35" s="546">
        <v>0</v>
      </c>
      <c r="AP35" s="546">
        <f>AO35</f>
        <v>0</v>
      </c>
      <c r="AQ35" s="546">
        <f>AO35/8*12</f>
        <v>0</v>
      </c>
      <c r="AR35" s="546">
        <f>+AQ35</f>
        <v>0</v>
      </c>
      <c r="AS35" s="546">
        <v>0</v>
      </c>
      <c r="AT35" s="546">
        <f>AS35</f>
        <v>0</v>
      </c>
      <c r="AU35" s="546">
        <f>+AS35-AQ35</f>
        <v>0</v>
      </c>
      <c r="AV35" s="546"/>
      <c r="AW35" s="546">
        <f>+AQ35-AM35</f>
        <v>-320</v>
      </c>
      <c r="AX35" s="546">
        <f>+AQ35/AM35*100</f>
        <v>0</v>
      </c>
      <c r="AY35" s="546">
        <v>130</v>
      </c>
      <c r="AZ35" s="546">
        <f>AY35</f>
        <v>130</v>
      </c>
      <c r="BA35" s="546">
        <v>0</v>
      </c>
      <c r="BB35" s="546">
        <f>+BA35</f>
        <v>0</v>
      </c>
      <c r="BC35" s="546">
        <f>BA35/8*12</f>
        <v>0</v>
      </c>
      <c r="BD35" s="546">
        <f>+BC35</f>
        <v>0</v>
      </c>
      <c r="BE35" s="546">
        <v>0</v>
      </c>
      <c r="BF35" s="546">
        <f>BE35</f>
        <v>0</v>
      </c>
      <c r="BG35" s="546">
        <f>+BE35-BC35</f>
        <v>0</v>
      </c>
      <c r="BH35" s="546"/>
      <c r="BI35" s="546">
        <f>+BC35-AY35</f>
        <v>-130</v>
      </c>
      <c r="BJ35" s="546">
        <f>+BC35/AY35*100</f>
        <v>0</v>
      </c>
      <c r="BK35" s="547">
        <v>300</v>
      </c>
      <c r="BL35" s="546">
        <f>BK35</f>
        <v>300</v>
      </c>
      <c r="BM35" s="546">
        <v>0</v>
      </c>
      <c r="BN35" s="546">
        <f>BM35</f>
        <v>0</v>
      </c>
      <c r="BO35" s="546">
        <v>300</v>
      </c>
      <c r="BP35" s="546">
        <f>+BO35</f>
        <v>300</v>
      </c>
      <c r="BQ35" s="547">
        <v>300</v>
      </c>
      <c r="BR35" s="546">
        <f>BQ35</f>
        <v>300</v>
      </c>
      <c r="BS35" s="546">
        <f>+BQ35-BO35</f>
        <v>0</v>
      </c>
      <c r="BT35" s="546">
        <f>+BQ35/BO35*100</f>
        <v>100</v>
      </c>
      <c r="BU35" s="546">
        <f>+BO35-BK35</f>
        <v>0</v>
      </c>
      <c r="BV35" s="546">
        <f>+BO35/BK35*100</f>
        <v>100</v>
      </c>
      <c r="BW35" s="546">
        <v>200</v>
      </c>
      <c r="BX35" s="546">
        <f>BW35</f>
        <v>200</v>
      </c>
      <c r="BY35" s="546">
        <v>0</v>
      </c>
      <c r="BZ35" s="546">
        <f>BY35</f>
        <v>0</v>
      </c>
      <c r="CA35" s="546">
        <v>200</v>
      </c>
      <c r="CB35" s="546">
        <f>+CA35</f>
        <v>200</v>
      </c>
      <c r="CC35" s="546">
        <v>200</v>
      </c>
      <c r="CD35" s="546">
        <f>CC35</f>
        <v>200</v>
      </c>
      <c r="CE35" s="546">
        <f>+CC35-CA35</f>
        <v>0</v>
      </c>
      <c r="CF35" s="546">
        <f>+CC35/CA35*100</f>
        <v>100</v>
      </c>
      <c r="CG35" s="546">
        <f>+CA35-BW35</f>
        <v>0</v>
      </c>
      <c r="CH35" s="546">
        <f>+CA35/BW35*100</f>
        <v>100</v>
      </c>
      <c r="CI35" s="546">
        <v>300</v>
      </c>
      <c r="CJ35" s="546">
        <f>CI35</f>
        <v>300</v>
      </c>
      <c r="CK35" s="546">
        <v>60</v>
      </c>
      <c r="CL35" s="546">
        <f>CK35</f>
        <v>60</v>
      </c>
      <c r="CM35" s="546">
        <v>300</v>
      </c>
      <c r="CN35" s="546">
        <f>+CM35</f>
        <v>300</v>
      </c>
      <c r="CO35" s="546">
        <v>300</v>
      </c>
      <c r="CP35" s="546">
        <f>CO35</f>
        <v>300</v>
      </c>
      <c r="CQ35" s="546">
        <f>+CO35-CM35</f>
        <v>0</v>
      </c>
      <c r="CR35" s="546">
        <f>+CO35/CM35*100</f>
        <v>100</v>
      </c>
      <c r="CS35" s="546">
        <f>+CM35-CI35</f>
        <v>0</v>
      </c>
      <c r="CT35" s="546">
        <f>+CM35/CI35*100</f>
        <v>100</v>
      </c>
      <c r="CU35" s="546">
        <v>350</v>
      </c>
      <c r="CV35" s="546">
        <f>CU35</f>
        <v>350</v>
      </c>
      <c r="CW35" s="546">
        <v>31</v>
      </c>
      <c r="CX35" s="546">
        <f>CW35</f>
        <v>31</v>
      </c>
      <c r="CY35" s="546">
        <v>300</v>
      </c>
      <c r="CZ35" s="546">
        <f>+CY35</f>
        <v>300</v>
      </c>
      <c r="DA35" s="546">
        <v>300</v>
      </c>
      <c r="DB35" s="546">
        <f>DA35</f>
        <v>300</v>
      </c>
      <c r="DC35" s="546">
        <f>+DA35-CY35</f>
        <v>0</v>
      </c>
      <c r="DD35" s="546">
        <f>+DA35/CY35*100</f>
        <v>100</v>
      </c>
      <c r="DE35" s="546">
        <f>+CY35-CU35</f>
        <v>-50</v>
      </c>
      <c r="DF35" s="546">
        <f>+CY35/CU35*100</f>
        <v>85.714285714285708</v>
      </c>
      <c r="DG35" s="546">
        <v>200</v>
      </c>
      <c r="DH35" s="546">
        <f>DG35</f>
        <v>200</v>
      </c>
      <c r="DI35" s="546">
        <v>20</v>
      </c>
      <c r="DJ35" s="546">
        <f>DI35</f>
        <v>20</v>
      </c>
      <c r="DK35" s="546">
        <v>100</v>
      </c>
      <c r="DL35" s="546">
        <f>+DK35</f>
        <v>100</v>
      </c>
      <c r="DM35" s="546">
        <v>50</v>
      </c>
      <c r="DN35" s="546">
        <f>DM35</f>
        <v>50</v>
      </c>
      <c r="DO35" s="546">
        <f>+DM35-DK35</f>
        <v>-50</v>
      </c>
      <c r="DP35" s="546">
        <f>+DM35/DK35*100</f>
        <v>50</v>
      </c>
      <c r="DQ35" s="546">
        <f>+DK35-DG35</f>
        <v>-100</v>
      </c>
      <c r="DR35" s="546">
        <f>+DK35/DG35*100</f>
        <v>50</v>
      </c>
      <c r="DS35" s="546">
        <v>150</v>
      </c>
      <c r="DT35" s="546">
        <f>DS35</f>
        <v>150</v>
      </c>
      <c r="DU35" s="546">
        <v>0</v>
      </c>
      <c r="DV35" s="546">
        <f>DU35</f>
        <v>0</v>
      </c>
      <c r="DW35" s="546">
        <f>DU35/8*12</f>
        <v>0</v>
      </c>
      <c r="DX35" s="546">
        <f>+DW35</f>
        <v>0</v>
      </c>
      <c r="DY35" s="546">
        <v>0</v>
      </c>
      <c r="DZ35" s="546">
        <f>DY35</f>
        <v>0</v>
      </c>
      <c r="EA35" s="546">
        <f>+DY35-DW35</f>
        <v>0</v>
      </c>
      <c r="EB35" s="546"/>
      <c r="EC35" s="546">
        <f>+DW35-DS35</f>
        <v>-150</v>
      </c>
      <c r="ED35" s="546">
        <f>+DW35/DS35*100</f>
        <v>0</v>
      </c>
      <c r="EE35" s="546">
        <v>500</v>
      </c>
      <c r="EF35" s="546">
        <f>EE35</f>
        <v>500</v>
      </c>
      <c r="EG35" s="546">
        <v>0</v>
      </c>
      <c r="EH35" s="546">
        <f>EG35</f>
        <v>0</v>
      </c>
      <c r="EI35" s="546">
        <v>370</v>
      </c>
      <c r="EJ35" s="546">
        <f>+EI35</f>
        <v>370</v>
      </c>
      <c r="EK35" s="546">
        <v>400</v>
      </c>
      <c r="EL35" s="546">
        <f>EK35</f>
        <v>400</v>
      </c>
      <c r="EM35" s="546">
        <f>+EK35-EI35</f>
        <v>30</v>
      </c>
      <c r="EN35" s="546"/>
      <c r="EO35" s="546">
        <f>+EI35-EE35</f>
        <v>-130</v>
      </c>
      <c r="EP35" s="546">
        <f>+EI35/EE35*100</f>
        <v>74</v>
      </c>
      <c r="EQ35" s="546">
        <v>150</v>
      </c>
      <c r="ER35" s="546">
        <f>EQ35</f>
        <v>150</v>
      </c>
      <c r="ES35" s="546">
        <v>14</v>
      </c>
      <c r="ET35" s="546">
        <f>ES35</f>
        <v>14</v>
      </c>
      <c r="EU35" s="546">
        <v>150</v>
      </c>
      <c r="EV35" s="546">
        <f>+EU35</f>
        <v>150</v>
      </c>
      <c r="EW35" s="546">
        <v>150</v>
      </c>
      <c r="EX35" s="546">
        <f>EW35</f>
        <v>150</v>
      </c>
      <c r="EY35" s="546">
        <f>+EW35-EU35</f>
        <v>0</v>
      </c>
      <c r="EZ35" s="546">
        <f>+EW35/EU35*100</f>
        <v>100</v>
      </c>
      <c r="FA35" s="546">
        <f>+EU35-EQ35</f>
        <v>0</v>
      </c>
      <c r="FB35" s="546">
        <f>+EU35/EQ35*100</f>
        <v>100</v>
      </c>
      <c r="FC35" s="831">
        <f>E35/C35</f>
        <v>0.17324999999999999</v>
      </c>
      <c r="FD35" s="831">
        <f>F35/D35</f>
        <v>0.17324999999999999</v>
      </c>
      <c r="FE35" s="837">
        <f>E35-C35</f>
        <v>-3307</v>
      </c>
      <c r="FF35" s="837">
        <f>F35-D35</f>
        <v>-3307</v>
      </c>
    </row>
    <row r="36" spans="1:162" s="86" customFormat="1" ht="18.75" customHeight="1" x14ac:dyDescent="0.25">
      <c r="A36" s="38" t="s">
        <v>421</v>
      </c>
      <c r="B36" s="211" t="s">
        <v>353</v>
      </c>
      <c r="C36" s="539"/>
      <c r="D36" s="539"/>
      <c r="E36" s="539"/>
      <c r="F36" s="539"/>
      <c r="G36" s="539"/>
      <c r="H36" s="539"/>
      <c r="I36" s="539"/>
      <c r="J36" s="539"/>
      <c r="K36" s="548"/>
      <c r="L36" s="548"/>
      <c r="M36" s="548"/>
      <c r="N36" s="539"/>
      <c r="O36" s="539"/>
      <c r="P36" s="539"/>
      <c r="Q36" s="539"/>
      <c r="R36" s="539"/>
      <c r="S36" s="539"/>
      <c r="T36" s="539"/>
      <c r="U36" s="539"/>
      <c r="V36" s="539"/>
      <c r="W36" s="548"/>
      <c r="X36" s="548"/>
      <c r="Y36" s="548"/>
      <c r="Z36" s="539"/>
      <c r="AA36" s="539"/>
      <c r="AB36" s="539"/>
      <c r="AC36" s="539"/>
      <c r="AD36" s="539"/>
      <c r="AE36" s="539"/>
      <c r="AF36" s="539"/>
      <c r="AG36" s="539"/>
      <c r="AH36" s="539"/>
      <c r="AI36" s="548"/>
      <c r="AJ36" s="548"/>
      <c r="AK36" s="548"/>
      <c r="AL36" s="539"/>
      <c r="AM36" s="539"/>
      <c r="AN36" s="539"/>
      <c r="AO36" s="539"/>
      <c r="AP36" s="539"/>
      <c r="AQ36" s="549"/>
      <c r="AR36" s="549"/>
      <c r="AS36" s="549"/>
      <c r="AT36" s="549"/>
      <c r="AU36" s="548"/>
      <c r="AV36" s="548"/>
      <c r="AW36" s="548"/>
      <c r="AX36" s="539"/>
      <c r="AY36" s="539"/>
      <c r="AZ36" s="539"/>
      <c r="BA36" s="539"/>
      <c r="BB36" s="539"/>
      <c r="BC36" s="539"/>
      <c r="BD36" s="539"/>
      <c r="BE36" s="539"/>
      <c r="BF36" s="539"/>
      <c r="BG36" s="548"/>
      <c r="BH36" s="548"/>
      <c r="BI36" s="548"/>
      <c r="BJ36" s="539"/>
      <c r="BK36" s="539"/>
      <c r="BL36" s="539"/>
      <c r="BM36" s="539"/>
      <c r="BN36" s="539"/>
      <c r="BO36" s="539"/>
      <c r="BP36" s="539"/>
      <c r="BQ36" s="539"/>
      <c r="BR36" s="539"/>
      <c r="BS36" s="548"/>
      <c r="BT36" s="548"/>
      <c r="BU36" s="548"/>
      <c r="BV36" s="539"/>
      <c r="BW36" s="539"/>
      <c r="BX36" s="539"/>
      <c r="BY36" s="539"/>
      <c r="BZ36" s="539"/>
      <c r="CA36" s="539"/>
      <c r="CB36" s="539"/>
      <c r="CC36" s="539"/>
      <c r="CD36" s="539"/>
      <c r="CE36" s="548"/>
      <c r="CF36" s="548"/>
      <c r="CG36" s="548"/>
      <c r="CH36" s="539"/>
      <c r="CI36" s="539"/>
      <c r="CJ36" s="539"/>
      <c r="CK36" s="539"/>
      <c r="CL36" s="539"/>
      <c r="CM36" s="539"/>
      <c r="CN36" s="539"/>
      <c r="CO36" s="539"/>
      <c r="CP36" s="550"/>
      <c r="CQ36" s="548"/>
      <c r="CR36" s="548"/>
      <c r="CS36" s="548"/>
      <c r="CT36" s="539"/>
      <c r="CU36" s="539"/>
      <c r="CV36" s="539"/>
      <c r="CW36" s="539"/>
      <c r="CX36" s="539"/>
      <c r="CY36" s="539"/>
      <c r="CZ36" s="539"/>
      <c r="DA36" s="539"/>
      <c r="DB36" s="539"/>
      <c r="DC36" s="548"/>
      <c r="DD36" s="548"/>
      <c r="DE36" s="548"/>
      <c r="DF36" s="539"/>
      <c r="DG36" s="539"/>
      <c r="DH36" s="539"/>
      <c r="DI36" s="539"/>
      <c r="DJ36" s="539"/>
      <c r="DK36" s="539"/>
      <c r="DL36" s="539"/>
      <c r="DM36" s="539"/>
      <c r="DN36" s="550"/>
      <c r="DO36" s="548"/>
      <c r="DP36" s="548"/>
      <c r="DQ36" s="548"/>
      <c r="DR36" s="539"/>
      <c r="DS36" s="539"/>
      <c r="DT36" s="539"/>
      <c r="DU36" s="539"/>
      <c r="DV36" s="539"/>
      <c r="DW36" s="539"/>
      <c r="DX36" s="539"/>
      <c r="DY36" s="539"/>
      <c r="DZ36" s="539"/>
      <c r="EA36" s="548"/>
      <c r="EB36" s="548"/>
      <c r="EC36" s="548"/>
      <c r="ED36" s="539"/>
      <c r="EE36" s="539"/>
      <c r="EF36" s="539"/>
      <c r="EG36" s="539"/>
      <c r="EH36" s="539"/>
      <c r="EI36" s="539"/>
      <c r="EJ36" s="539"/>
      <c r="EK36" s="539"/>
      <c r="EL36" s="550"/>
      <c r="EM36" s="548"/>
      <c r="EN36" s="548"/>
      <c r="EO36" s="548"/>
      <c r="EP36" s="539"/>
      <c r="EQ36" s="539"/>
      <c r="ER36" s="539"/>
      <c r="ES36" s="539"/>
      <c r="ET36" s="539"/>
      <c r="EU36" s="539"/>
      <c r="EV36" s="539"/>
      <c r="EW36" s="539"/>
      <c r="EX36" s="539"/>
      <c r="EY36" s="548"/>
      <c r="EZ36" s="548"/>
      <c r="FA36" s="548"/>
      <c r="FB36" s="539"/>
    </row>
    <row r="37" spans="1:162" s="14" customFormat="1" ht="18.75" customHeight="1" x14ac:dyDescent="0.25">
      <c r="A37" s="156" t="s">
        <v>564</v>
      </c>
      <c r="B37" s="221" t="s">
        <v>354</v>
      </c>
      <c r="C37" s="551"/>
      <c r="D37" s="542">
        <f>SUM(AB37,AN37,AZ37,BL37,BX37,CJ37,CV37,DH37,DT37,EF37,ER37,P37)</f>
        <v>2508435</v>
      </c>
      <c r="E37" s="551"/>
      <c r="F37" s="551"/>
      <c r="G37" s="551"/>
      <c r="H37" s="542">
        <f>SUM(AF37,AR37,BD37,BP37,CB37,CN37,CZ37,DL37,DX37,EJ37,EV37,T37)</f>
        <v>2391255.5</v>
      </c>
      <c r="I37" s="551"/>
      <c r="J37" s="542">
        <f>+J8</f>
        <v>2377310</v>
      </c>
      <c r="K37" s="542"/>
      <c r="L37" s="542"/>
      <c r="M37" s="542"/>
      <c r="N37" s="551"/>
      <c r="O37" s="551"/>
      <c r="P37" s="542">
        <f>+P8</f>
        <v>60330</v>
      </c>
      <c r="Q37" s="551"/>
      <c r="R37" s="551"/>
      <c r="S37" s="551"/>
      <c r="T37" s="542">
        <f>+T8</f>
        <v>58165</v>
      </c>
      <c r="U37" s="551"/>
      <c r="V37" s="542">
        <f>+V8</f>
        <v>64000</v>
      </c>
      <c r="W37" s="542"/>
      <c r="X37" s="542"/>
      <c r="Y37" s="542"/>
      <c r="Z37" s="551"/>
      <c r="AA37" s="551"/>
      <c r="AB37" s="542">
        <f>+AB8</f>
        <v>225250</v>
      </c>
      <c r="AC37" s="551"/>
      <c r="AD37" s="551"/>
      <c r="AE37" s="551"/>
      <c r="AF37" s="542">
        <f>+AF8</f>
        <v>214780</v>
      </c>
      <c r="AG37" s="551"/>
      <c r="AH37" s="542">
        <f>+AH8</f>
        <v>195950</v>
      </c>
      <c r="AI37" s="542"/>
      <c r="AJ37" s="542"/>
      <c r="AK37" s="542"/>
      <c r="AL37" s="551"/>
      <c r="AM37" s="551"/>
      <c r="AN37" s="542">
        <f>+AN8</f>
        <v>44215</v>
      </c>
      <c r="AO37" s="551"/>
      <c r="AP37" s="551"/>
      <c r="AQ37" s="551"/>
      <c r="AR37" s="542">
        <f>+AR8</f>
        <v>70140.5</v>
      </c>
      <c r="AS37" s="551"/>
      <c r="AT37" s="542">
        <f>+AT8</f>
        <v>50570</v>
      </c>
      <c r="AU37" s="542"/>
      <c r="AV37" s="542"/>
      <c r="AW37" s="542"/>
      <c r="AX37" s="551"/>
      <c r="AY37" s="551"/>
      <c r="AZ37" s="542">
        <f>+AZ8</f>
        <v>72820</v>
      </c>
      <c r="BA37" s="551"/>
      <c r="BB37" s="551"/>
      <c r="BC37" s="551"/>
      <c r="BD37" s="542">
        <f>+BD8</f>
        <v>74400</v>
      </c>
      <c r="BE37" s="551"/>
      <c r="BF37" s="542">
        <f>+BF8</f>
        <v>66380</v>
      </c>
      <c r="BG37" s="542"/>
      <c r="BH37" s="542"/>
      <c r="BI37" s="542"/>
      <c r="BJ37" s="551"/>
      <c r="BK37" s="551"/>
      <c r="BL37" s="542">
        <f>+BL8</f>
        <v>143170</v>
      </c>
      <c r="BM37" s="551"/>
      <c r="BN37" s="551"/>
      <c r="BO37" s="551"/>
      <c r="BP37" s="542">
        <f>+BP8</f>
        <v>128200</v>
      </c>
      <c r="BQ37" s="551"/>
      <c r="BR37" s="542">
        <f>+BR8</f>
        <v>140700</v>
      </c>
      <c r="BS37" s="542"/>
      <c r="BT37" s="542"/>
      <c r="BU37" s="542"/>
      <c r="BV37" s="551"/>
      <c r="BW37" s="551"/>
      <c r="BX37" s="542">
        <f>+BX8</f>
        <v>781330</v>
      </c>
      <c r="BY37" s="551"/>
      <c r="BZ37" s="551"/>
      <c r="CA37" s="551"/>
      <c r="CB37" s="542">
        <f>+CB8</f>
        <v>748800</v>
      </c>
      <c r="CC37" s="551"/>
      <c r="CD37" s="542">
        <f>+CD8</f>
        <v>738900</v>
      </c>
      <c r="CE37" s="542"/>
      <c r="CF37" s="542"/>
      <c r="CG37" s="542"/>
      <c r="CH37" s="551"/>
      <c r="CI37" s="551"/>
      <c r="CJ37" s="542">
        <f>+CJ8</f>
        <v>155600</v>
      </c>
      <c r="CK37" s="551"/>
      <c r="CL37" s="551"/>
      <c r="CM37" s="551"/>
      <c r="CN37" s="542">
        <f>+CN8</f>
        <v>154930</v>
      </c>
      <c r="CO37" s="551"/>
      <c r="CP37" s="542">
        <f>+CP8</f>
        <v>145720</v>
      </c>
      <c r="CQ37" s="542"/>
      <c r="CR37" s="542"/>
      <c r="CS37" s="542"/>
      <c r="CT37" s="551"/>
      <c r="CU37" s="551"/>
      <c r="CV37" s="542">
        <f>+CV8</f>
        <v>154670</v>
      </c>
      <c r="CW37" s="551"/>
      <c r="CX37" s="551"/>
      <c r="CY37" s="551"/>
      <c r="CZ37" s="542">
        <f>+CZ8</f>
        <v>131892.5</v>
      </c>
      <c r="DA37" s="551"/>
      <c r="DB37" s="542">
        <f>+DB8</f>
        <v>145720</v>
      </c>
      <c r="DC37" s="542"/>
      <c r="DD37" s="542"/>
      <c r="DE37" s="542"/>
      <c r="DF37" s="551"/>
      <c r="DG37" s="551"/>
      <c r="DH37" s="542">
        <f>+DH8</f>
        <v>201000</v>
      </c>
      <c r="DI37" s="551"/>
      <c r="DJ37" s="551"/>
      <c r="DK37" s="551"/>
      <c r="DL37" s="542">
        <f>+DL8</f>
        <v>159076</v>
      </c>
      <c r="DM37" s="551"/>
      <c r="DN37" s="542">
        <f>+DN8</f>
        <v>149950</v>
      </c>
      <c r="DO37" s="542"/>
      <c r="DP37" s="542"/>
      <c r="DQ37" s="542"/>
      <c r="DR37" s="551"/>
      <c r="DS37" s="551"/>
      <c r="DT37" s="542">
        <f>+DT8</f>
        <v>107990</v>
      </c>
      <c r="DU37" s="551"/>
      <c r="DV37" s="551"/>
      <c r="DW37" s="551"/>
      <c r="DX37" s="542">
        <f>+DX8</f>
        <v>95031</v>
      </c>
      <c r="DY37" s="551"/>
      <c r="DZ37" s="542">
        <f>+DZ8</f>
        <v>94500</v>
      </c>
      <c r="EA37" s="542"/>
      <c r="EB37" s="542"/>
      <c r="EC37" s="542"/>
      <c r="ED37" s="551"/>
      <c r="EE37" s="551"/>
      <c r="EF37" s="542">
        <f>+EF8</f>
        <v>460240</v>
      </c>
      <c r="EG37" s="551"/>
      <c r="EH37" s="551"/>
      <c r="EI37" s="551"/>
      <c r="EJ37" s="542">
        <f>+EJ8</f>
        <v>459670.5</v>
      </c>
      <c r="EK37" s="551"/>
      <c r="EL37" s="542">
        <f>+EL8</f>
        <v>473520</v>
      </c>
      <c r="EM37" s="542"/>
      <c r="EN37" s="542"/>
      <c r="EO37" s="542"/>
      <c r="EP37" s="551"/>
      <c r="EQ37" s="551"/>
      <c r="ER37" s="542">
        <f>+ER8</f>
        <v>101820</v>
      </c>
      <c r="ES37" s="551"/>
      <c r="ET37" s="551"/>
      <c r="EU37" s="551"/>
      <c r="EV37" s="542">
        <f>+EV8</f>
        <v>96170</v>
      </c>
      <c r="EW37" s="551"/>
      <c r="EX37" s="542">
        <f>+EX8</f>
        <v>111400</v>
      </c>
      <c r="EY37" s="542"/>
      <c r="EZ37" s="542"/>
      <c r="FA37" s="542"/>
      <c r="FB37" s="551"/>
    </row>
    <row r="38" spans="1:162" s="14" customFormat="1" ht="18.75" customHeight="1" x14ac:dyDescent="0.25">
      <c r="A38" s="156"/>
      <c r="B38" s="221" t="s">
        <v>355</v>
      </c>
      <c r="C38" s="551"/>
      <c r="D38" s="542">
        <f>+D28</f>
        <v>500000</v>
      </c>
      <c r="E38" s="551"/>
      <c r="F38" s="551"/>
      <c r="G38" s="551"/>
      <c r="H38" s="542">
        <f>+H28</f>
        <v>750000</v>
      </c>
      <c r="I38" s="551"/>
      <c r="J38" s="542">
        <f>+J28</f>
        <v>650000</v>
      </c>
      <c r="K38" s="542"/>
      <c r="L38" s="542"/>
      <c r="M38" s="542"/>
      <c r="N38" s="551"/>
      <c r="O38" s="551"/>
      <c r="P38" s="542">
        <f>+P28</f>
        <v>13000</v>
      </c>
      <c r="Q38" s="551"/>
      <c r="R38" s="551"/>
      <c r="S38" s="551"/>
      <c r="T38" s="542">
        <f>+T28</f>
        <v>25000</v>
      </c>
      <c r="U38" s="551"/>
      <c r="V38" s="542">
        <f>+V28</f>
        <v>25000</v>
      </c>
      <c r="W38" s="542"/>
      <c r="X38" s="542"/>
      <c r="Y38" s="542"/>
      <c r="Z38" s="551"/>
      <c r="AA38" s="551"/>
      <c r="AB38" s="542">
        <f>+AB28</f>
        <v>150000</v>
      </c>
      <c r="AC38" s="551"/>
      <c r="AD38" s="551"/>
      <c r="AE38" s="551"/>
      <c r="AF38" s="542">
        <f>+AF28</f>
        <v>160000</v>
      </c>
      <c r="AG38" s="551"/>
      <c r="AH38" s="542">
        <f>+AH28</f>
        <v>150000</v>
      </c>
      <c r="AI38" s="542"/>
      <c r="AJ38" s="542"/>
      <c r="AK38" s="542"/>
      <c r="AL38" s="551"/>
      <c r="AM38" s="551"/>
      <c r="AN38" s="542">
        <f>+AN28</f>
        <v>10000</v>
      </c>
      <c r="AO38" s="551"/>
      <c r="AP38" s="551"/>
      <c r="AQ38" s="551"/>
      <c r="AR38" s="542">
        <f>+AR28</f>
        <v>30000</v>
      </c>
      <c r="AS38" s="551"/>
      <c r="AT38" s="542">
        <f>+AT28</f>
        <v>15000</v>
      </c>
      <c r="AU38" s="542"/>
      <c r="AV38" s="542"/>
      <c r="AW38" s="542"/>
      <c r="AX38" s="551"/>
      <c r="AY38" s="551"/>
      <c r="AZ38" s="542">
        <f>+AZ28</f>
        <v>20000</v>
      </c>
      <c r="BA38" s="551"/>
      <c r="BB38" s="551"/>
      <c r="BC38" s="551"/>
      <c r="BD38" s="542">
        <f>+BD28</f>
        <v>25000</v>
      </c>
      <c r="BE38" s="551"/>
      <c r="BF38" s="542">
        <f>+BF28</f>
        <v>20000</v>
      </c>
      <c r="BG38" s="542"/>
      <c r="BH38" s="542"/>
      <c r="BI38" s="542"/>
      <c r="BJ38" s="551"/>
      <c r="BK38" s="551"/>
      <c r="BL38" s="542">
        <f>+BL28</f>
        <v>20000</v>
      </c>
      <c r="BM38" s="551"/>
      <c r="BN38" s="551"/>
      <c r="BO38" s="551"/>
      <c r="BP38" s="542">
        <f>+BP28</f>
        <v>20000</v>
      </c>
      <c r="BQ38" s="551"/>
      <c r="BR38" s="542">
        <f>+BR28</f>
        <v>25000</v>
      </c>
      <c r="BS38" s="542"/>
      <c r="BT38" s="542"/>
      <c r="BU38" s="542"/>
      <c r="BV38" s="551"/>
      <c r="BW38" s="551"/>
      <c r="BX38" s="542">
        <f>+BX28</f>
        <v>52000</v>
      </c>
      <c r="BY38" s="551"/>
      <c r="BZ38" s="551"/>
      <c r="CA38" s="551"/>
      <c r="CB38" s="542">
        <f>+CB28</f>
        <v>160000</v>
      </c>
      <c r="CC38" s="551"/>
      <c r="CD38" s="542">
        <f>+CD28</f>
        <v>100000</v>
      </c>
      <c r="CE38" s="542"/>
      <c r="CF38" s="542"/>
      <c r="CG38" s="542"/>
      <c r="CH38" s="551"/>
      <c r="CI38" s="551"/>
      <c r="CJ38" s="542">
        <f>+CJ28</f>
        <v>35000</v>
      </c>
      <c r="CK38" s="551"/>
      <c r="CL38" s="551"/>
      <c r="CM38" s="551"/>
      <c r="CN38" s="542">
        <f>+CN28</f>
        <v>40000</v>
      </c>
      <c r="CO38" s="551"/>
      <c r="CP38" s="542">
        <f>+CP28</f>
        <v>35000</v>
      </c>
      <c r="CQ38" s="542"/>
      <c r="CR38" s="542"/>
      <c r="CS38" s="542"/>
      <c r="CT38" s="551"/>
      <c r="CU38" s="551"/>
      <c r="CV38" s="542">
        <f>+CV28</f>
        <v>50000</v>
      </c>
      <c r="CW38" s="551"/>
      <c r="CX38" s="551"/>
      <c r="CY38" s="551"/>
      <c r="CZ38" s="542">
        <f>+CZ28</f>
        <v>55000</v>
      </c>
      <c r="DA38" s="551"/>
      <c r="DB38" s="542">
        <f>+DB28</f>
        <v>60000</v>
      </c>
      <c r="DC38" s="542"/>
      <c r="DD38" s="542"/>
      <c r="DE38" s="542"/>
      <c r="DF38" s="551"/>
      <c r="DG38" s="551"/>
      <c r="DH38" s="542">
        <f>+DH28</f>
        <v>15000</v>
      </c>
      <c r="DI38" s="551"/>
      <c r="DJ38" s="551"/>
      <c r="DK38" s="551"/>
      <c r="DL38" s="542">
        <f>+DL28</f>
        <v>40000</v>
      </c>
      <c r="DM38" s="551"/>
      <c r="DN38" s="542">
        <f>+DN28</f>
        <v>25000</v>
      </c>
      <c r="DO38" s="542"/>
      <c r="DP38" s="542"/>
      <c r="DQ38" s="542"/>
      <c r="DR38" s="551"/>
      <c r="DS38" s="551"/>
      <c r="DT38" s="542">
        <f>+DT28</f>
        <v>15000</v>
      </c>
      <c r="DU38" s="551"/>
      <c r="DV38" s="551"/>
      <c r="DW38" s="551"/>
      <c r="DX38" s="542">
        <f>+DX28</f>
        <v>27000</v>
      </c>
      <c r="DY38" s="551"/>
      <c r="DZ38" s="542">
        <f>+DZ28</f>
        <v>20000</v>
      </c>
      <c r="EA38" s="542"/>
      <c r="EB38" s="542"/>
      <c r="EC38" s="542"/>
      <c r="ED38" s="551"/>
      <c r="EE38" s="551"/>
      <c r="EF38" s="542">
        <f>+EF28</f>
        <v>100000</v>
      </c>
      <c r="EG38" s="551"/>
      <c r="EH38" s="551"/>
      <c r="EI38" s="551"/>
      <c r="EJ38" s="542">
        <f>+EJ28</f>
        <v>143000</v>
      </c>
      <c r="EK38" s="551"/>
      <c r="EL38" s="542">
        <f>+EL28</f>
        <v>140000</v>
      </c>
      <c r="EM38" s="542"/>
      <c r="EN38" s="542"/>
      <c r="EO38" s="542"/>
      <c r="EP38" s="551"/>
      <c r="EQ38" s="551"/>
      <c r="ER38" s="542">
        <f>+ER28</f>
        <v>20000</v>
      </c>
      <c r="ES38" s="551"/>
      <c r="ET38" s="551"/>
      <c r="EU38" s="551"/>
      <c r="EV38" s="542">
        <f>+EV28</f>
        <v>25000</v>
      </c>
      <c r="EW38" s="551"/>
      <c r="EX38" s="542">
        <f>+EX28</f>
        <v>35000</v>
      </c>
      <c r="EY38" s="542"/>
      <c r="EZ38" s="542"/>
      <c r="FA38" s="542"/>
      <c r="FB38" s="551"/>
    </row>
    <row r="39" spans="1:162" s="14" customFormat="1" ht="18.75" customHeight="1" x14ac:dyDescent="0.25">
      <c r="A39" s="156" t="s">
        <v>564</v>
      </c>
      <c r="B39" s="221" t="s">
        <v>356</v>
      </c>
      <c r="C39" s="551"/>
      <c r="D39" s="542">
        <f>+D37-D38</f>
        <v>2008435</v>
      </c>
      <c r="E39" s="551"/>
      <c r="F39" s="551"/>
      <c r="G39" s="551"/>
      <c r="H39" s="542">
        <f>+H37-H38</f>
        <v>1641255.5</v>
      </c>
      <c r="I39" s="551"/>
      <c r="J39" s="542">
        <f>+J37-J38</f>
        <v>1727310</v>
      </c>
      <c r="K39" s="542"/>
      <c r="L39" s="542"/>
      <c r="M39" s="542"/>
      <c r="N39" s="551"/>
      <c r="O39" s="551"/>
      <c r="P39" s="542">
        <f>+P37-P38</f>
        <v>47330</v>
      </c>
      <c r="Q39" s="551"/>
      <c r="R39" s="551"/>
      <c r="S39" s="551"/>
      <c r="T39" s="542">
        <f>+T37-T38</f>
        <v>33165</v>
      </c>
      <c r="U39" s="551"/>
      <c r="V39" s="542">
        <f>+V37-V38</f>
        <v>39000</v>
      </c>
      <c r="W39" s="542"/>
      <c r="X39" s="542"/>
      <c r="Y39" s="542"/>
      <c r="Z39" s="551"/>
      <c r="AA39" s="551"/>
      <c r="AB39" s="542">
        <f>+AB37-AB38</f>
        <v>75250</v>
      </c>
      <c r="AC39" s="551"/>
      <c r="AD39" s="551"/>
      <c r="AE39" s="551"/>
      <c r="AF39" s="542">
        <f>+AF37-AF38</f>
        <v>54780</v>
      </c>
      <c r="AG39" s="551"/>
      <c r="AH39" s="542">
        <f>+AH37-AH38</f>
        <v>45950</v>
      </c>
      <c r="AI39" s="542"/>
      <c r="AJ39" s="542"/>
      <c r="AK39" s="542"/>
      <c r="AL39" s="551"/>
      <c r="AM39" s="551"/>
      <c r="AN39" s="542">
        <f>+AN37-AN38</f>
        <v>34215</v>
      </c>
      <c r="AO39" s="551"/>
      <c r="AP39" s="551"/>
      <c r="AQ39" s="551"/>
      <c r="AR39" s="542">
        <f>+AR37-AR38</f>
        <v>40140.5</v>
      </c>
      <c r="AS39" s="551"/>
      <c r="AT39" s="542">
        <f>+AT37-AT38</f>
        <v>35570</v>
      </c>
      <c r="AU39" s="542"/>
      <c r="AV39" s="542"/>
      <c r="AW39" s="542"/>
      <c r="AX39" s="551"/>
      <c r="AY39" s="551"/>
      <c r="AZ39" s="542">
        <f>+AZ37-AZ38</f>
        <v>52820</v>
      </c>
      <c r="BA39" s="551"/>
      <c r="BB39" s="551"/>
      <c r="BC39" s="551"/>
      <c r="BD39" s="542">
        <f>+BD37-BD38</f>
        <v>49400</v>
      </c>
      <c r="BE39" s="551"/>
      <c r="BF39" s="542">
        <f>+BF37-BF38</f>
        <v>46380</v>
      </c>
      <c r="BG39" s="542"/>
      <c r="BH39" s="542"/>
      <c r="BI39" s="542"/>
      <c r="BJ39" s="551"/>
      <c r="BK39" s="551"/>
      <c r="BL39" s="542">
        <f>+BL37-BL38</f>
        <v>123170</v>
      </c>
      <c r="BM39" s="551"/>
      <c r="BN39" s="551"/>
      <c r="BO39" s="551"/>
      <c r="BP39" s="542">
        <f>+BP37-BP38</f>
        <v>108200</v>
      </c>
      <c r="BQ39" s="551"/>
      <c r="BR39" s="542">
        <f>+BR37-BR38</f>
        <v>115700</v>
      </c>
      <c r="BS39" s="542"/>
      <c r="BT39" s="542"/>
      <c r="BU39" s="542"/>
      <c r="BV39" s="551"/>
      <c r="BW39" s="551"/>
      <c r="BX39" s="542">
        <f>+BX37-BX38</f>
        <v>729330</v>
      </c>
      <c r="BY39" s="551"/>
      <c r="BZ39" s="551"/>
      <c r="CA39" s="551"/>
      <c r="CB39" s="542">
        <f>+CB37-CB38</f>
        <v>588800</v>
      </c>
      <c r="CC39" s="551"/>
      <c r="CD39" s="542">
        <f>+CD37-CD38</f>
        <v>638900</v>
      </c>
      <c r="CE39" s="542"/>
      <c r="CF39" s="542"/>
      <c r="CG39" s="542"/>
      <c r="CH39" s="551"/>
      <c r="CI39" s="551"/>
      <c r="CJ39" s="542">
        <f>+CJ37-CJ38</f>
        <v>120600</v>
      </c>
      <c r="CK39" s="551"/>
      <c r="CL39" s="551"/>
      <c r="CM39" s="551"/>
      <c r="CN39" s="542">
        <f>+CN37-CN38</f>
        <v>114930</v>
      </c>
      <c r="CO39" s="551"/>
      <c r="CP39" s="542">
        <f>+CP37-CP38</f>
        <v>110720</v>
      </c>
      <c r="CQ39" s="542"/>
      <c r="CR39" s="542"/>
      <c r="CS39" s="542"/>
      <c r="CT39" s="551"/>
      <c r="CU39" s="551"/>
      <c r="CV39" s="542">
        <f>+CV37-CV38</f>
        <v>104670</v>
      </c>
      <c r="CW39" s="551"/>
      <c r="CX39" s="551"/>
      <c r="CY39" s="551"/>
      <c r="CZ39" s="542">
        <f>+CZ37-CZ38</f>
        <v>76892.5</v>
      </c>
      <c r="DA39" s="551"/>
      <c r="DB39" s="542">
        <f>+DB37-DB38</f>
        <v>85720</v>
      </c>
      <c r="DC39" s="542"/>
      <c r="DD39" s="542"/>
      <c r="DE39" s="542"/>
      <c r="DF39" s="551"/>
      <c r="DG39" s="551"/>
      <c r="DH39" s="542">
        <f>+DH37-DH38</f>
        <v>186000</v>
      </c>
      <c r="DI39" s="551"/>
      <c r="DJ39" s="551"/>
      <c r="DK39" s="551"/>
      <c r="DL39" s="542">
        <f>+DL37-DL38</f>
        <v>119076</v>
      </c>
      <c r="DM39" s="551"/>
      <c r="DN39" s="542">
        <f>+DN37-DN38</f>
        <v>124950</v>
      </c>
      <c r="DO39" s="542"/>
      <c r="DP39" s="542"/>
      <c r="DQ39" s="542"/>
      <c r="DR39" s="551"/>
      <c r="DS39" s="551"/>
      <c r="DT39" s="542">
        <f>+DT37-DT38</f>
        <v>92990</v>
      </c>
      <c r="DU39" s="551"/>
      <c r="DV39" s="551"/>
      <c r="DW39" s="551"/>
      <c r="DX39" s="542">
        <f>+DX37-DX38</f>
        <v>68031</v>
      </c>
      <c r="DY39" s="551"/>
      <c r="DZ39" s="542">
        <f>+DZ37-DZ38</f>
        <v>74500</v>
      </c>
      <c r="EA39" s="542"/>
      <c r="EB39" s="542"/>
      <c r="EC39" s="542"/>
      <c r="ED39" s="551"/>
      <c r="EE39" s="551"/>
      <c r="EF39" s="542">
        <f>+EF37-EF38</f>
        <v>360240</v>
      </c>
      <c r="EG39" s="551"/>
      <c r="EH39" s="551"/>
      <c r="EI39" s="551"/>
      <c r="EJ39" s="542">
        <f>+EJ37-EJ38</f>
        <v>316670.5</v>
      </c>
      <c r="EK39" s="551"/>
      <c r="EL39" s="542">
        <f>+EL37-EL38</f>
        <v>333520</v>
      </c>
      <c r="EM39" s="542"/>
      <c r="EN39" s="542"/>
      <c r="EO39" s="542"/>
      <c r="EP39" s="551"/>
      <c r="EQ39" s="551"/>
      <c r="ER39" s="542">
        <f>+ER37-ER38</f>
        <v>81820</v>
      </c>
      <c r="ES39" s="551"/>
      <c r="ET39" s="551"/>
      <c r="EU39" s="551"/>
      <c r="EV39" s="542">
        <f>+EV37-EV38</f>
        <v>71170</v>
      </c>
      <c r="EW39" s="551"/>
      <c r="EX39" s="542">
        <f>+EX37-EX38</f>
        <v>76400</v>
      </c>
      <c r="EY39" s="542"/>
      <c r="EZ39" s="542"/>
      <c r="FA39" s="542"/>
      <c r="FB39" s="551"/>
    </row>
    <row r="40" spans="1:162" s="14" customFormat="1" ht="18.75" customHeight="1" x14ac:dyDescent="0.25">
      <c r="A40" s="156" t="s">
        <v>564</v>
      </c>
      <c r="B40" s="223" t="s">
        <v>1400</v>
      </c>
      <c r="C40" s="551"/>
      <c r="D40" s="551"/>
      <c r="E40" s="551"/>
      <c r="F40" s="551"/>
      <c r="G40" s="551"/>
      <c r="H40" s="551">
        <f>SUM(IF(T40&lt;0,0,T40),IF(AF40&lt;0,0,AF40),IF(AR40&lt;0,0,AR40),IF(BD40&lt;0,0,BD40),IF(BP40&lt;0,0,BP40),IF(CB40&lt;0,0,CB40),IF(CN40&lt;0,0,CN40),IF(CZ40&lt;0,0,CZ40),IF(DL40&lt;0,0,DL40),IF(DX40&lt;0,0,DX40),IF(EJ40&lt;0,0,EJ40),IF(EV40&lt;0,0,EV40),)</f>
        <v>5925.5</v>
      </c>
      <c r="I40" s="551"/>
      <c r="J40" s="551"/>
      <c r="K40" s="551"/>
      <c r="L40" s="551"/>
      <c r="M40" s="551"/>
      <c r="N40" s="551"/>
      <c r="O40" s="551"/>
      <c r="P40" s="551"/>
      <c r="Q40" s="551"/>
      <c r="R40" s="551"/>
      <c r="S40" s="551"/>
      <c r="T40" s="551">
        <f>T39-P39</f>
        <v>-14165</v>
      </c>
      <c r="U40" s="551"/>
      <c r="V40" s="551"/>
      <c r="W40" s="551"/>
      <c r="X40" s="551"/>
      <c r="Y40" s="551"/>
      <c r="Z40" s="551"/>
      <c r="AA40" s="551"/>
      <c r="AB40" s="551"/>
      <c r="AC40" s="551"/>
      <c r="AD40" s="551"/>
      <c r="AE40" s="551"/>
      <c r="AF40" s="551">
        <f>AF39-AB39</f>
        <v>-20470</v>
      </c>
      <c r="AG40" s="551"/>
      <c r="AH40" s="551"/>
      <c r="AI40" s="551"/>
      <c r="AJ40" s="551"/>
      <c r="AK40" s="551"/>
      <c r="AL40" s="551"/>
      <c r="AM40" s="551"/>
      <c r="AN40" s="551"/>
      <c r="AO40" s="551"/>
      <c r="AP40" s="551"/>
      <c r="AQ40" s="551"/>
      <c r="AR40" s="551">
        <f>AR39-AN39</f>
        <v>5925.5</v>
      </c>
      <c r="AS40" s="551"/>
      <c r="AT40" s="551"/>
      <c r="AU40" s="551"/>
      <c r="AV40" s="551"/>
      <c r="AW40" s="551"/>
      <c r="AX40" s="551"/>
      <c r="AY40" s="551"/>
      <c r="AZ40" s="551"/>
      <c r="BA40" s="551"/>
      <c r="BB40" s="551"/>
      <c r="BC40" s="551"/>
      <c r="BD40" s="551">
        <f>BD39-AZ39</f>
        <v>-3420</v>
      </c>
      <c r="BE40" s="551"/>
      <c r="BF40" s="551"/>
      <c r="BG40" s="551"/>
      <c r="BH40" s="551"/>
      <c r="BI40" s="551"/>
      <c r="BJ40" s="551"/>
      <c r="BK40" s="551"/>
      <c r="BL40" s="551"/>
      <c r="BM40" s="551"/>
      <c r="BN40" s="551"/>
      <c r="BO40" s="551"/>
      <c r="BP40" s="551">
        <f>BP39-BL39</f>
        <v>-14970</v>
      </c>
      <c r="BQ40" s="551"/>
      <c r="BR40" s="551"/>
      <c r="BS40" s="551"/>
      <c r="BT40" s="551"/>
      <c r="BU40" s="551"/>
      <c r="BV40" s="551"/>
      <c r="BW40" s="551"/>
      <c r="BX40" s="551"/>
      <c r="BY40" s="551"/>
      <c r="BZ40" s="551"/>
      <c r="CA40" s="551"/>
      <c r="CB40" s="551">
        <f>CB39-BX39</f>
        <v>-140530</v>
      </c>
      <c r="CC40" s="551"/>
      <c r="CD40" s="551"/>
      <c r="CE40" s="551"/>
      <c r="CF40" s="551"/>
      <c r="CG40" s="551"/>
      <c r="CH40" s="551"/>
      <c r="CI40" s="551"/>
      <c r="CJ40" s="551"/>
      <c r="CK40" s="551"/>
      <c r="CL40" s="551"/>
      <c r="CM40" s="551"/>
      <c r="CN40" s="551">
        <f>CN39-CJ39</f>
        <v>-5670</v>
      </c>
      <c r="CO40" s="551"/>
      <c r="CP40" s="551"/>
      <c r="CQ40" s="551"/>
      <c r="CR40" s="551"/>
      <c r="CS40" s="551"/>
      <c r="CT40" s="551"/>
      <c r="CU40" s="551"/>
      <c r="CV40" s="551"/>
      <c r="CW40" s="551"/>
      <c r="CX40" s="551"/>
      <c r="CY40" s="551"/>
      <c r="CZ40" s="551">
        <f>CZ39-CV39</f>
        <v>-27777.5</v>
      </c>
      <c r="DA40" s="551"/>
      <c r="DB40" s="551"/>
      <c r="DC40" s="551"/>
      <c r="DD40" s="551"/>
      <c r="DE40" s="551"/>
      <c r="DF40" s="551"/>
      <c r="DG40" s="551"/>
      <c r="DH40" s="551"/>
      <c r="DI40" s="551"/>
      <c r="DJ40" s="551"/>
      <c r="DK40" s="551"/>
      <c r="DL40" s="551">
        <f>DL39-DH39</f>
        <v>-66924</v>
      </c>
      <c r="DM40" s="551"/>
      <c r="DN40" s="551"/>
      <c r="DO40" s="551"/>
      <c r="DP40" s="551"/>
      <c r="DQ40" s="551"/>
      <c r="DR40" s="551"/>
      <c r="DS40" s="551"/>
      <c r="DT40" s="551"/>
      <c r="DU40" s="551"/>
      <c r="DV40" s="551"/>
      <c r="DW40" s="551"/>
      <c r="DX40" s="551">
        <f>DX39-DT39</f>
        <v>-24959</v>
      </c>
      <c r="DY40" s="551"/>
      <c r="DZ40" s="551"/>
      <c r="EA40" s="551"/>
      <c r="EB40" s="551"/>
      <c r="EC40" s="551"/>
      <c r="ED40" s="551"/>
      <c r="EE40" s="551"/>
      <c r="EF40" s="551"/>
      <c r="EG40" s="551"/>
      <c r="EH40" s="551"/>
      <c r="EI40" s="551"/>
      <c r="EJ40" s="551">
        <f>EJ39-EF39</f>
        <v>-43569.5</v>
      </c>
      <c r="EK40" s="551"/>
      <c r="EL40" s="551"/>
      <c r="EM40" s="551"/>
      <c r="EN40" s="551"/>
      <c r="EO40" s="551"/>
      <c r="EP40" s="551"/>
      <c r="EQ40" s="551"/>
      <c r="ER40" s="551"/>
      <c r="ES40" s="551"/>
      <c r="ET40" s="551"/>
      <c r="EU40" s="551"/>
      <c r="EV40" s="551">
        <f>EV39-ER39</f>
        <v>-10650</v>
      </c>
      <c r="EW40" s="551"/>
      <c r="EX40" s="551"/>
      <c r="EY40" s="551"/>
      <c r="EZ40" s="551"/>
      <c r="FA40" s="551"/>
      <c r="FB40" s="551"/>
    </row>
    <row r="41" spans="1:162" s="86" customFormat="1" ht="18.75" customHeight="1" x14ac:dyDescent="0.25">
      <c r="A41" s="157"/>
      <c r="B41" s="224" t="s">
        <v>1486</v>
      </c>
      <c r="C41" s="552"/>
      <c r="D41" s="552"/>
      <c r="E41" s="552"/>
      <c r="F41" s="552"/>
      <c r="G41" s="552"/>
      <c r="H41" s="552">
        <f>SUM(AF41,AR41,BD41,BP41,CB41,CN41,CZ41,DL41,DX41,EJ41,EV41,T41)</f>
        <v>4147.8499999999995</v>
      </c>
      <c r="I41" s="552"/>
      <c r="J41" s="552"/>
      <c r="K41" s="541"/>
      <c r="L41" s="552"/>
      <c r="M41" s="552"/>
      <c r="N41" s="552"/>
      <c r="O41" s="552"/>
      <c r="P41" s="552"/>
      <c r="Q41" s="552"/>
      <c r="R41" s="552"/>
      <c r="S41" s="552"/>
      <c r="T41" s="552">
        <f>IF(T40&lt;0,0,T40*70%)</f>
        <v>0</v>
      </c>
      <c r="U41" s="552"/>
      <c r="V41" s="552"/>
      <c r="W41" s="552"/>
      <c r="X41" s="552"/>
      <c r="Y41" s="552"/>
      <c r="Z41" s="552"/>
      <c r="AA41" s="552"/>
      <c r="AB41" s="552"/>
      <c r="AC41" s="552"/>
      <c r="AD41" s="552"/>
      <c r="AE41" s="552"/>
      <c r="AF41" s="552">
        <f>IF(AF40&lt;0,0,AF40*70%)</f>
        <v>0</v>
      </c>
      <c r="AG41" s="552"/>
      <c r="AH41" s="552"/>
      <c r="AI41" s="552"/>
      <c r="AJ41" s="552"/>
      <c r="AK41" s="552"/>
      <c r="AL41" s="552"/>
      <c r="AM41" s="552"/>
      <c r="AN41" s="552"/>
      <c r="AO41" s="552"/>
      <c r="AP41" s="552"/>
      <c r="AQ41" s="552"/>
      <c r="AR41" s="552">
        <f>IF(AR40&lt;0,0,AR40*70%)</f>
        <v>4147.8499999999995</v>
      </c>
      <c r="AS41" s="552"/>
      <c r="AT41" s="552"/>
      <c r="AU41" s="552"/>
      <c r="AV41" s="552"/>
      <c r="AW41" s="552"/>
      <c r="AX41" s="552"/>
      <c r="AY41" s="552"/>
      <c r="AZ41" s="552"/>
      <c r="BA41" s="552"/>
      <c r="BB41" s="552"/>
      <c r="BC41" s="552"/>
      <c r="BD41" s="552">
        <f>IF(BD40&lt;0,0,BD40*70%)</f>
        <v>0</v>
      </c>
      <c r="BE41" s="552"/>
      <c r="BF41" s="552"/>
      <c r="BG41" s="552"/>
      <c r="BH41" s="552"/>
      <c r="BI41" s="552"/>
      <c r="BJ41" s="552"/>
      <c r="BK41" s="552"/>
      <c r="BL41" s="552"/>
      <c r="BM41" s="552"/>
      <c r="BN41" s="552"/>
      <c r="BO41" s="552"/>
      <c r="BP41" s="552">
        <f>IF(BP40&lt;0,0,BP40*70%)</f>
        <v>0</v>
      </c>
      <c r="BQ41" s="552"/>
      <c r="BR41" s="552"/>
      <c r="BS41" s="552"/>
      <c r="BT41" s="552"/>
      <c r="BU41" s="552"/>
      <c r="BV41" s="552"/>
      <c r="BW41" s="552"/>
      <c r="BX41" s="552"/>
      <c r="BY41" s="552"/>
      <c r="BZ41" s="552"/>
      <c r="CA41" s="552"/>
      <c r="CB41" s="552">
        <f>IF(CB40&lt;0,0,CB40*70%)</f>
        <v>0</v>
      </c>
      <c r="CC41" s="552"/>
      <c r="CD41" s="552"/>
      <c r="CE41" s="552"/>
      <c r="CF41" s="552"/>
      <c r="CG41" s="552"/>
      <c r="CH41" s="552"/>
      <c r="CI41" s="552"/>
      <c r="CJ41" s="552"/>
      <c r="CK41" s="552"/>
      <c r="CL41" s="552"/>
      <c r="CM41" s="552"/>
      <c r="CN41" s="552">
        <f>IF(CN40&lt;0,0,CN40*70%)</f>
        <v>0</v>
      </c>
      <c r="CO41" s="552"/>
      <c r="CP41" s="552"/>
      <c r="CQ41" s="552"/>
      <c r="CR41" s="552"/>
      <c r="CS41" s="552"/>
      <c r="CT41" s="552"/>
      <c r="CU41" s="552"/>
      <c r="CV41" s="552"/>
      <c r="CW41" s="552"/>
      <c r="CX41" s="552"/>
      <c r="CY41" s="552"/>
      <c r="CZ41" s="552">
        <f>IF(CZ40&lt;0,0,CZ40*70%)</f>
        <v>0</v>
      </c>
      <c r="DA41" s="552"/>
      <c r="DB41" s="552"/>
      <c r="DC41" s="552"/>
      <c r="DD41" s="552"/>
      <c r="DE41" s="552"/>
      <c r="DF41" s="552"/>
      <c r="DG41" s="552"/>
      <c r="DH41" s="552"/>
      <c r="DI41" s="552"/>
      <c r="DJ41" s="552"/>
      <c r="DK41" s="552"/>
      <c r="DL41" s="552">
        <f>IF(DL40&lt;0,0,DL40*70%)</f>
        <v>0</v>
      </c>
      <c r="DM41" s="552"/>
      <c r="DN41" s="552"/>
      <c r="DO41" s="552"/>
      <c r="DP41" s="552"/>
      <c r="DQ41" s="552"/>
      <c r="DR41" s="552"/>
      <c r="DS41" s="552"/>
      <c r="DT41" s="552"/>
      <c r="DU41" s="552"/>
      <c r="DV41" s="552"/>
      <c r="DW41" s="552"/>
      <c r="DX41" s="552">
        <f>IF(DX40&lt;0,0,DX40*70%)</f>
        <v>0</v>
      </c>
      <c r="DY41" s="552"/>
      <c r="DZ41" s="552"/>
      <c r="EA41" s="552"/>
      <c r="EB41" s="552"/>
      <c r="EC41" s="552"/>
      <c r="ED41" s="552"/>
      <c r="EE41" s="552"/>
      <c r="EF41" s="552"/>
      <c r="EG41" s="552"/>
      <c r="EH41" s="552"/>
      <c r="EI41" s="552"/>
      <c r="EJ41" s="552">
        <f>IF(EJ40&lt;0,0,EJ40*70%)</f>
        <v>0</v>
      </c>
      <c r="EK41" s="552"/>
      <c r="EL41" s="552"/>
      <c r="EM41" s="552"/>
      <c r="EN41" s="552"/>
      <c r="EO41" s="552"/>
      <c r="EP41" s="552"/>
      <c r="EQ41" s="552"/>
      <c r="ER41" s="552"/>
      <c r="ES41" s="552"/>
      <c r="ET41" s="552"/>
      <c r="EU41" s="552"/>
      <c r="EV41" s="552">
        <f>IF(EV40&lt;0,0,EV40*70%)</f>
        <v>0</v>
      </c>
      <c r="EW41" s="552"/>
      <c r="EX41" s="552"/>
      <c r="EY41" s="552"/>
      <c r="EZ41" s="552"/>
      <c r="FA41" s="552"/>
      <c r="FB41" s="552"/>
    </row>
    <row r="42" spans="1:162" s="14" customFormat="1" ht="18.75" customHeight="1" x14ac:dyDescent="0.25">
      <c r="A42" s="156" t="s">
        <v>564</v>
      </c>
      <c r="B42" s="223" t="s">
        <v>1401</v>
      </c>
      <c r="C42" s="551"/>
      <c r="D42" s="551"/>
      <c r="E42" s="551"/>
      <c r="F42" s="551"/>
      <c r="G42" s="551"/>
      <c r="H42" s="551"/>
      <c r="I42" s="551"/>
      <c r="J42" s="551">
        <f>SUM(IF(V42&lt;0,0,V42),IF(AH42&lt;0,0,AH42),IF(AT42&lt;0,0,AT42),IF(BF42&lt;0,0,BF42),IF(BR42&lt;0,0,BR42),IF(CD42&lt;0,0,CD42),IF(CP42&lt;0,0,CP42),IF(DB42&lt;0,0,DB42),IF(DN42&lt;0,0,DN42),IF(DZ42&lt;0,0,DZ42),IF(EL42&lt;0,0,EL42),IF(EX42&lt;0,0,EX42),)</f>
        <v>1355</v>
      </c>
      <c r="K42" s="542"/>
      <c r="L42" s="551"/>
      <c r="M42" s="551"/>
      <c r="N42" s="551"/>
      <c r="O42" s="551"/>
      <c r="P42" s="551"/>
      <c r="Q42" s="551"/>
      <c r="R42" s="551"/>
      <c r="S42" s="551"/>
      <c r="T42" s="551"/>
      <c r="U42" s="551"/>
      <c r="V42" s="551">
        <f>V39-P39</f>
        <v>-8330</v>
      </c>
      <c r="W42" s="551"/>
      <c r="X42" s="551"/>
      <c r="Y42" s="551"/>
      <c r="Z42" s="551"/>
      <c r="AA42" s="551"/>
      <c r="AB42" s="551"/>
      <c r="AC42" s="551"/>
      <c r="AD42" s="551"/>
      <c r="AE42" s="551"/>
      <c r="AF42" s="551"/>
      <c r="AG42" s="551"/>
      <c r="AH42" s="551">
        <f>AH39-AB39</f>
        <v>-29300</v>
      </c>
      <c r="AI42" s="551"/>
      <c r="AJ42" s="551"/>
      <c r="AK42" s="551"/>
      <c r="AL42" s="551"/>
      <c r="AM42" s="551"/>
      <c r="AN42" s="551"/>
      <c r="AO42" s="551"/>
      <c r="AP42" s="551"/>
      <c r="AQ42" s="551"/>
      <c r="AR42" s="551"/>
      <c r="AS42" s="551"/>
      <c r="AT42" s="551">
        <f>AT39-AN39</f>
        <v>1355</v>
      </c>
      <c r="AU42" s="551"/>
      <c r="AV42" s="551"/>
      <c r="AW42" s="551"/>
      <c r="AX42" s="551"/>
      <c r="AY42" s="551"/>
      <c r="AZ42" s="551"/>
      <c r="BA42" s="551"/>
      <c r="BB42" s="551"/>
      <c r="BC42" s="551"/>
      <c r="BD42" s="551"/>
      <c r="BE42" s="551"/>
      <c r="BF42" s="551">
        <f>BF39-AZ39</f>
        <v>-6440</v>
      </c>
      <c r="BG42" s="551"/>
      <c r="BH42" s="551"/>
      <c r="BI42" s="551"/>
      <c r="BJ42" s="551"/>
      <c r="BK42" s="551"/>
      <c r="BL42" s="551"/>
      <c r="BM42" s="551"/>
      <c r="BN42" s="551"/>
      <c r="BO42" s="551"/>
      <c r="BP42" s="551"/>
      <c r="BQ42" s="551"/>
      <c r="BR42" s="551">
        <f>BR39-BL39</f>
        <v>-7470</v>
      </c>
      <c r="BS42" s="551"/>
      <c r="BT42" s="551"/>
      <c r="BU42" s="551"/>
      <c r="BV42" s="551"/>
      <c r="BW42" s="551"/>
      <c r="BX42" s="551"/>
      <c r="BY42" s="551"/>
      <c r="BZ42" s="551"/>
      <c r="CA42" s="551"/>
      <c r="CB42" s="551"/>
      <c r="CC42" s="551"/>
      <c r="CD42" s="551">
        <f>CD39-BX39</f>
        <v>-90430</v>
      </c>
      <c r="CE42" s="551"/>
      <c r="CF42" s="551"/>
      <c r="CG42" s="551"/>
      <c r="CH42" s="551"/>
      <c r="CI42" s="551"/>
      <c r="CJ42" s="551"/>
      <c r="CK42" s="551"/>
      <c r="CL42" s="551"/>
      <c r="CM42" s="551"/>
      <c r="CN42" s="551"/>
      <c r="CO42" s="551"/>
      <c r="CP42" s="551">
        <f>CP39-CJ39</f>
        <v>-9880</v>
      </c>
      <c r="CQ42" s="551"/>
      <c r="CR42" s="551"/>
      <c r="CS42" s="551"/>
      <c r="CT42" s="551"/>
      <c r="CU42" s="551"/>
      <c r="CV42" s="551"/>
      <c r="CW42" s="551"/>
      <c r="CX42" s="551"/>
      <c r="CY42" s="551"/>
      <c r="CZ42" s="551"/>
      <c r="DA42" s="551"/>
      <c r="DB42" s="551">
        <f>DB39-CV39</f>
        <v>-18950</v>
      </c>
      <c r="DC42" s="551"/>
      <c r="DD42" s="551"/>
      <c r="DE42" s="551"/>
      <c r="DF42" s="551"/>
      <c r="DG42" s="551"/>
      <c r="DH42" s="551"/>
      <c r="DI42" s="551"/>
      <c r="DJ42" s="551"/>
      <c r="DK42" s="551"/>
      <c r="DL42" s="551"/>
      <c r="DM42" s="551"/>
      <c r="DN42" s="551">
        <f>DN39-DH39</f>
        <v>-61050</v>
      </c>
      <c r="DO42" s="551"/>
      <c r="DP42" s="551"/>
      <c r="DQ42" s="551"/>
      <c r="DR42" s="551"/>
      <c r="DS42" s="551"/>
      <c r="DT42" s="551"/>
      <c r="DU42" s="551"/>
      <c r="DV42" s="551"/>
      <c r="DW42" s="551"/>
      <c r="DX42" s="551"/>
      <c r="DY42" s="551"/>
      <c r="DZ42" s="551">
        <f>DZ39-DT39</f>
        <v>-18490</v>
      </c>
      <c r="EA42" s="551"/>
      <c r="EB42" s="551"/>
      <c r="EC42" s="551"/>
      <c r="ED42" s="551"/>
      <c r="EE42" s="551"/>
      <c r="EF42" s="551"/>
      <c r="EG42" s="551"/>
      <c r="EH42" s="551"/>
      <c r="EI42" s="551"/>
      <c r="EJ42" s="551"/>
      <c r="EK42" s="551"/>
      <c r="EL42" s="551">
        <f>EL39-EF39</f>
        <v>-26720</v>
      </c>
      <c r="EM42" s="551"/>
      <c r="EN42" s="551"/>
      <c r="EO42" s="551"/>
      <c r="EP42" s="551"/>
      <c r="EQ42" s="551"/>
      <c r="ER42" s="551"/>
      <c r="ES42" s="551"/>
      <c r="ET42" s="551"/>
      <c r="EU42" s="551"/>
      <c r="EV42" s="551"/>
      <c r="EW42" s="551"/>
      <c r="EX42" s="551">
        <f>EX39-ER39</f>
        <v>-5420</v>
      </c>
      <c r="EY42" s="551"/>
      <c r="EZ42" s="551"/>
      <c r="FA42" s="551"/>
      <c r="FB42" s="551"/>
    </row>
    <row r="43" spans="1:162" s="86" customFormat="1" ht="18.75" customHeight="1" x14ac:dyDescent="0.25">
      <c r="A43" s="158"/>
      <c r="B43" s="226" t="s">
        <v>1402</v>
      </c>
      <c r="C43" s="553"/>
      <c r="D43" s="553"/>
      <c r="E43" s="553"/>
      <c r="F43" s="553"/>
      <c r="G43" s="553"/>
      <c r="H43" s="553"/>
      <c r="I43" s="553"/>
      <c r="J43" s="553">
        <f>SUM(AH43,AT43,BF43,BR43,CD43,CP43,DB43,DN43,DZ43,EL43,EX43,V43)</f>
        <v>-140563</v>
      </c>
      <c r="K43" s="546"/>
      <c r="L43" s="553"/>
      <c r="M43" s="553"/>
      <c r="N43" s="553"/>
      <c r="O43" s="553"/>
      <c r="P43" s="553"/>
      <c r="Q43" s="553"/>
      <c r="R43" s="553"/>
      <c r="S43" s="553"/>
      <c r="T43" s="553"/>
      <c r="U43" s="553"/>
      <c r="V43" s="553">
        <f>INT(V42/2)</f>
        <v>-4165</v>
      </c>
      <c r="W43" s="553"/>
      <c r="X43" s="553"/>
      <c r="Y43" s="553"/>
      <c r="Z43" s="553"/>
      <c r="AA43" s="553"/>
      <c r="AB43" s="553"/>
      <c r="AC43" s="553"/>
      <c r="AD43" s="553"/>
      <c r="AE43" s="553"/>
      <c r="AF43" s="553"/>
      <c r="AG43" s="553"/>
      <c r="AH43" s="553">
        <f>INT(AH42/2)</f>
        <v>-14650</v>
      </c>
      <c r="AI43" s="553"/>
      <c r="AJ43" s="553"/>
      <c r="AK43" s="553"/>
      <c r="AL43" s="553"/>
      <c r="AM43" s="553"/>
      <c r="AN43" s="553"/>
      <c r="AO43" s="553"/>
      <c r="AP43" s="553"/>
      <c r="AQ43" s="553"/>
      <c r="AR43" s="553"/>
      <c r="AS43" s="553"/>
      <c r="AT43" s="553">
        <f>INT(AT42/2)</f>
        <v>677</v>
      </c>
      <c r="AU43" s="553"/>
      <c r="AV43" s="553"/>
      <c r="AW43" s="553"/>
      <c r="AX43" s="553"/>
      <c r="AY43" s="553"/>
      <c r="AZ43" s="553"/>
      <c r="BA43" s="553"/>
      <c r="BB43" s="553"/>
      <c r="BC43" s="553"/>
      <c r="BD43" s="553"/>
      <c r="BE43" s="553"/>
      <c r="BF43" s="553">
        <f>INT(BF42/2)</f>
        <v>-3220</v>
      </c>
      <c r="BG43" s="553"/>
      <c r="BH43" s="553"/>
      <c r="BI43" s="553"/>
      <c r="BJ43" s="553"/>
      <c r="BK43" s="553"/>
      <c r="BL43" s="553"/>
      <c r="BM43" s="553"/>
      <c r="BN43" s="553"/>
      <c r="BO43" s="553"/>
      <c r="BP43" s="553"/>
      <c r="BQ43" s="553"/>
      <c r="BR43" s="553">
        <f>INT(BR42/2)</f>
        <v>-3735</v>
      </c>
      <c r="BS43" s="553"/>
      <c r="BT43" s="553"/>
      <c r="BU43" s="553"/>
      <c r="BV43" s="553"/>
      <c r="BW43" s="553"/>
      <c r="BX43" s="553"/>
      <c r="BY43" s="553"/>
      <c r="BZ43" s="553"/>
      <c r="CA43" s="553"/>
      <c r="CB43" s="553"/>
      <c r="CC43" s="553"/>
      <c r="CD43" s="553">
        <f>INT(CD42/2)</f>
        <v>-45215</v>
      </c>
      <c r="CE43" s="553"/>
      <c r="CF43" s="553"/>
      <c r="CG43" s="553"/>
      <c r="CH43" s="553"/>
      <c r="CI43" s="553"/>
      <c r="CJ43" s="553"/>
      <c r="CK43" s="553"/>
      <c r="CL43" s="553"/>
      <c r="CM43" s="553"/>
      <c r="CN43" s="553"/>
      <c r="CO43" s="553"/>
      <c r="CP43" s="553">
        <f>INT(CP42/2)</f>
        <v>-4940</v>
      </c>
      <c r="CQ43" s="553"/>
      <c r="CR43" s="553"/>
      <c r="CS43" s="553"/>
      <c r="CT43" s="553"/>
      <c r="CU43" s="553"/>
      <c r="CV43" s="553"/>
      <c r="CW43" s="553"/>
      <c r="CX43" s="553"/>
      <c r="CY43" s="553"/>
      <c r="CZ43" s="553"/>
      <c r="DA43" s="553"/>
      <c r="DB43" s="553">
        <f>INT(DB42/2)</f>
        <v>-9475</v>
      </c>
      <c r="DC43" s="553"/>
      <c r="DD43" s="553"/>
      <c r="DE43" s="553"/>
      <c r="DF43" s="553"/>
      <c r="DG43" s="553"/>
      <c r="DH43" s="553"/>
      <c r="DI43" s="553"/>
      <c r="DJ43" s="553"/>
      <c r="DK43" s="553"/>
      <c r="DL43" s="553"/>
      <c r="DM43" s="553"/>
      <c r="DN43" s="553">
        <f>INT(DN42/2)</f>
        <v>-30525</v>
      </c>
      <c r="DO43" s="553"/>
      <c r="DP43" s="553"/>
      <c r="DQ43" s="553"/>
      <c r="DR43" s="553"/>
      <c r="DS43" s="553"/>
      <c r="DT43" s="553"/>
      <c r="DU43" s="553"/>
      <c r="DV43" s="553"/>
      <c r="DW43" s="553"/>
      <c r="DX43" s="553"/>
      <c r="DY43" s="553"/>
      <c r="DZ43" s="553">
        <f>INT(DZ42/2)</f>
        <v>-9245</v>
      </c>
      <c r="EA43" s="553"/>
      <c r="EB43" s="553"/>
      <c r="EC43" s="553"/>
      <c r="ED43" s="553"/>
      <c r="EE43" s="553"/>
      <c r="EF43" s="553"/>
      <c r="EG43" s="553"/>
      <c r="EH43" s="553"/>
      <c r="EI43" s="553"/>
      <c r="EJ43" s="553"/>
      <c r="EK43" s="553"/>
      <c r="EL43" s="553">
        <f>INT(EL42/2)</f>
        <v>-13360</v>
      </c>
      <c r="EM43" s="553"/>
      <c r="EN43" s="553"/>
      <c r="EO43" s="553"/>
      <c r="EP43" s="553"/>
      <c r="EQ43" s="553"/>
      <c r="ER43" s="553"/>
      <c r="ES43" s="553"/>
      <c r="ET43" s="553"/>
      <c r="EU43" s="553"/>
      <c r="EV43" s="553"/>
      <c r="EW43" s="553"/>
      <c r="EX43" s="553">
        <f>INT(EX42/2)</f>
        <v>-2710</v>
      </c>
      <c r="EY43" s="553"/>
      <c r="EZ43" s="553"/>
      <c r="FA43" s="553"/>
      <c r="FB43" s="553"/>
    </row>
    <row r="44" spans="1:162" x14ac:dyDescent="0.25">
      <c r="E44" s="852"/>
      <c r="Q44" s="852"/>
      <c r="AC44" s="852"/>
      <c r="AO44" s="852"/>
      <c r="BA44" s="852"/>
      <c r="BM44" s="852"/>
      <c r="BY44" s="852"/>
      <c r="CK44" s="852"/>
      <c r="CW44" s="852"/>
      <c r="DI44" s="852"/>
      <c r="DU44" s="852"/>
      <c r="EG44" s="852"/>
      <c r="ES44" s="852"/>
    </row>
    <row r="45" spans="1:162" x14ac:dyDescent="0.25">
      <c r="A45" s="841">
        <v>1</v>
      </c>
      <c r="B45" s="1326" t="s">
        <v>1681</v>
      </c>
      <c r="E45" s="827"/>
      <c r="I45" s="1203">
        <f>IF(V45&gt;0,V45,0)+IF(AH45&gt;0,AH45,0)+IF(AT45&gt;0,AT45,0)+IF(BF45&gt;0,BF45,0)+IF(BR45&gt;0,BR45,0)+IF(CD45&gt;0,CD45,0)+IF(CP45&gt;0,CP45,0)+IF(DB45&gt;0,DB45,0)+IF(DN45&gt;0,DN45,0)+IF(DZ45&gt;0,DZ45,0)+IF(EL45&gt;0,EL45,0)+IF(EX45&gt;0,EX45,0)</f>
        <v>1116090</v>
      </c>
      <c r="Q45" s="827"/>
      <c r="V45" s="1202">
        <v>37000</v>
      </c>
      <c r="AC45" s="827"/>
      <c r="AH45" s="1203">
        <v>49600</v>
      </c>
      <c r="AO45" s="827"/>
      <c r="AT45" s="1203">
        <v>24610</v>
      </c>
      <c r="BA45" s="827"/>
      <c r="BF45" s="1203">
        <v>52140</v>
      </c>
      <c r="BM45" s="827"/>
      <c r="BR45" s="1203">
        <v>69330</v>
      </c>
      <c r="BY45" s="827"/>
      <c r="CD45" s="1203">
        <v>324940</v>
      </c>
      <c r="CK45" s="827"/>
      <c r="CP45" s="1203">
        <v>73980</v>
      </c>
      <c r="CW45" s="827"/>
      <c r="DB45" s="1203">
        <v>52710</v>
      </c>
      <c r="DI45" s="827"/>
      <c r="DN45" s="1203">
        <v>94220</v>
      </c>
      <c r="DU45" s="827"/>
      <c r="DZ45" s="1203">
        <v>60420</v>
      </c>
      <c r="EG45" s="827"/>
      <c r="EL45" s="1203">
        <v>219130</v>
      </c>
      <c r="ES45" s="827"/>
      <c r="EX45" s="1203">
        <v>58010</v>
      </c>
    </row>
    <row r="46" spans="1:162" x14ac:dyDescent="0.25">
      <c r="A46" s="841">
        <v>2</v>
      </c>
      <c r="B46" s="209" t="s">
        <v>1682</v>
      </c>
      <c r="E46" s="827"/>
      <c r="I46" s="1203">
        <f>IF(V46&gt;0,V46,0)+IF(AH46&gt;0,AH46,0)+IF(AT46&gt;0,AT46,0)+IF(BF46&gt;0,BF46,0)+IF(BR46&gt;0,BR46,0)+IF(CD46&gt;0,CD46,0)+IF(CP46&gt;0,CP46,0)+IF(DB46&gt;0,DB46,0)+IF(DN46&gt;0,DN46,0)+IF(DZ46&gt;0,DZ46,0)+IF(EL46&gt;0,EL46,0)+IF(EX46&gt;0,EX46,0)</f>
        <v>620630</v>
      </c>
      <c r="Q46" s="827"/>
      <c r="V46" s="593">
        <f>V39-V45</f>
        <v>2000</v>
      </c>
      <c r="AC46" s="827"/>
      <c r="AH46" s="593">
        <f>AH39-AH45</f>
        <v>-3650</v>
      </c>
      <c r="AO46" s="827"/>
      <c r="AT46" s="1203">
        <f>+AT39-AT45</f>
        <v>10960</v>
      </c>
      <c r="BA46" s="827"/>
      <c r="BF46" s="1203">
        <f>+BF39-BF45</f>
        <v>-5760</v>
      </c>
      <c r="BM46" s="827"/>
      <c r="BR46" s="1203">
        <f>+BR39-BR45</f>
        <v>46370</v>
      </c>
      <c r="BY46" s="827"/>
      <c r="CD46" s="1203">
        <f>+CD39-CD45</f>
        <v>313960</v>
      </c>
      <c r="CK46" s="827"/>
      <c r="CP46" s="1203">
        <f>+CP39-CP45</f>
        <v>36740</v>
      </c>
      <c r="CW46" s="827"/>
      <c r="DB46" s="1203">
        <f>+DB39-DB45</f>
        <v>33010</v>
      </c>
      <c r="DI46" s="827"/>
      <c r="DN46" s="1203">
        <f>+DN39-DN45</f>
        <v>30730</v>
      </c>
      <c r="DU46" s="827"/>
      <c r="DZ46" s="1203">
        <f>+DZ39-DZ45</f>
        <v>14080</v>
      </c>
      <c r="EG46" s="827"/>
      <c r="EL46" s="1203">
        <f>+EL39-EL45</f>
        <v>114390</v>
      </c>
      <c r="ES46" s="827"/>
      <c r="EX46" s="1203">
        <f>+EX39-EX45</f>
        <v>18390</v>
      </c>
    </row>
    <row r="47" spans="1:162" x14ac:dyDescent="0.25">
      <c r="A47" s="841">
        <v>3</v>
      </c>
      <c r="B47" s="209" t="s">
        <v>1683</v>
      </c>
      <c r="E47" s="827"/>
      <c r="H47" s="956"/>
      <c r="I47" s="1203">
        <f>IF(V47&gt;0,V47,0)+IF(AH47&gt;0,AH47,0)+IF(AT47&gt;0,AT47,0)+IF(BF47&gt;0,BF47,0)+IF(BR47&gt;0,BR47,0)+IF(CD47&gt;0,CD47,0)+IF(CP47&gt;0,CP47,0)+IF(DB47&gt;0,DB47,0)+IF(DN47&gt;0,DN47,0)+IF(DZ47&gt;0,DZ47,0)+IF(EL47&gt;0,EL47,0)+IF(EX47&gt;0,EX47,0)</f>
        <v>310315</v>
      </c>
      <c r="Q47" s="593"/>
      <c r="S47" s="593"/>
      <c r="V47" s="1203">
        <f>V46/2</f>
        <v>1000</v>
      </c>
      <c r="AE47" s="783"/>
      <c r="AH47" s="1203">
        <f>AH46/2</f>
        <v>-1825</v>
      </c>
      <c r="AT47" s="1203">
        <f>AT46/2</f>
        <v>5480</v>
      </c>
      <c r="BF47" s="1203">
        <f>BF46/2</f>
        <v>-2880</v>
      </c>
      <c r="BR47" s="1203">
        <f>BR46/2</f>
        <v>23185</v>
      </c>
      <c r="CD47" s="1203">
        <f>CD46/2</f>
        <v>156980</v>
      </c>
      <c r="CP47" s="1203">
        <f>CP46/2</f>
        <v>18370</v>
      </c>
      <c r="DB47" s="1203">
        <f>DB46/2</f>
        <v>16505</v>
      </c>
      <c r="DN47" s="1203">
        <f>DN46/2</f>
        <v>15365</v>
      </c>
      <c r="DZ47" s="1203">
        <f>DZ46/2</f>
        <v>7040</v>
      </c>
      <c r="EL47" s="1203">
        <f>EL46/2</f>
        <v>57195</v>
      </c>
      <c r="EX47" s="1203">
        <f>EX46/2</f>
        <v>9195</v>
      </c>
    </row>
    <row r="48" spans="1:162" x14ac:dyDescent="0.25">
      <c r="A48" s="841">
        <v>4</v>
      </c>
      <c r="B48" s="1327" t="s">
        <v>1684</v>
      </c>
      <c r="E48" s="827"/>
      <c r="H48" s="957"/>
      <c r="I48" s="1203">
        <f>IF(V48&gt;0,V48,0)+IF(AH48&gt;0,AH48,0)+IF(AT48&gt;0,AT48,0)+IF(BF48&gt;0,BF48,0)+IF(BR48&gt;0,BR48,0)+IF(CD48&gt;0,CD48,0)+IF(CP48&gt;0,CP48,0)+IF(DB48&gt;0,DB48,0)+IF(DN48&gt;0,DN48,0)+IF(DZ48&gt;0,DZ48,0)+IF(EL48&gt;0,EL48,0)+IF(EX48&gt;0,EX48,0)</f>
        <v>310315</v>
      </c>
      <c r="V48" s="1203">
        <f>V46-V47</f>
        <v>1000</v>
      </c>
      <c r="AH48" s="1203">
        <f>AH46-AH47</f>
        <v>-1825</v>
      </c>
      <c r="AT48" s="1203">
        <f>AT46-AT47</f>
        <v>5480</v>
      </c>
      <c r="BF48" s="1203">
        <f>BF46-BF47</f>
        <v>-2880</v>
      </c>
      <c r="BR48" s="1203">
        <f>BR46-BR47</f>
        <v>23185</v>
      </c>
      <c r="CD48" s="1203">
        <f>CD46-CD47</f>
        <v>156980</v>
      </c>
      <c r="CP48" s="1203">
        <f>CP46-CP47</f>
        <v>18370</v>
      </c>
      <c r="DB48" s="1203">
        <f>DB46-DB47</f>
        <v>16505</v>
      </c>
      <c r="DN48" s="1203">
        <f>DN46-DN47</f>
        <v>15365</v>
      </c>
      <c r="DZ48" s="1203">
        <f>DZ46-DZ47</f>
        <v>7040</v>
      </c>
      <c r="EL48" s="1203">
        <f>EL46-EL47</f>
        <v>57195</v>
      </c>
      <c r="EX48" s="1203">
        <f>EX46-EX47</f>
        <v>9195</v>
      </c>
    </row>
    <row r="49" spans="1:154" x14ac:dyDescent="0.25">
      <c r="A49" s="841">
        <v>5</v>
      </c>
      <c r="B49" s="1327" t="s">
        <v>1685</v>
      </c>
      <c r="E49" s="827"/>
      <c r="H49" s="956"/>
      <c r="I49" s="1203">
        <f>IF(V49&lt;0,V49,0)+IF(AH49&lt;0,AH49,0)+IF(AT49&lt;0,AT49,0)+IF(BF49&lt;0,BF49,0)+IF(BR49&lt;0,BR49,0)+IF(CD49&lt;0,CD49,0)+IF(CP49&lt;0,CP49,0)+IF(DB49&lt;0,DB49,0)+IF(DN49&lt;0,DN49,0)+IF(DZ49&lt;0,DZ49,0)+IF(EL49&lt;0,EL49,0)+IF(EX49&lt;0,EX49,0)</f>
        <v>-43105</v>
      </c>
      <c r="V49" s="1203">
        <f>V48-(-V43)</f>
        <v>-3165</v>
      </c>
      <c r="AH49" s="1203">
        <f>AH48-(-AH43)</f>
        <v>-16475</v>
      </c>
      <c r="AT49" s="1203">
        <f>AT48-(-AT43)</f>
        <v>6157</v>
      </c>
      <c r="BF49" s="1203">
        <f>BF48-(-BF43)</f>
        <v>-6100</v>
      </c>
      <c r="BR49" s="1203">
        <f>BR48-(-BR43)</f>
        <v>19450</v>
      </c>
      <c r="CD49" s="1203">
        <f>CD48-(-CD43)</f>
        <v>111765</v>
      </c>
      <c r="CP49" s="1203">
        <f>CP48-(-CP43)</f>
        <v>13430</v>
      </c>
      <c r="DB49" s="1203">
        <f>DB48-(-DB43)</f>
        <v>7030</v>
      </c>
      <c r="DN49" s="1203">
        <f>DN48-(-DN43)</f>
        <v>-15160</v>
      </c>
      <c r="DZ49" s="1203">
        <f>DZ48-(-DZ43)</f>
        <v>-2205</v>
      </c>
      <c r="EL49" s="1203">
        <f>EL48-(-EL43)</f>
        <v>43835</v>
      </c>
      <c r="EX49" s="1203">
        <f>EX48-(-EX43)</f>
        <v>6485</v>
      </c>
    </row>
    <row r="50" spans="1:154" x14ac:dyDescent="0.25">
      <c r="E50" s="827"/>
      <c r="H50" s="956"/>
      <c r="V50" s="1203"/>
      <c r="AH50" s="1203"/>
      <c r="AQ50" s="783"/>
      <c r="AT50" s="1203"/>
      <c r="BF50" s="1203"/>
      <c r="BR50" s="1203"/>
      <c r="CD50" s="1203"/>
      <c r="CM50" s="783"/>
      <c r="CP50" s="1203"/>
      <c r="DB50" s="1203"/>
      <c r="DN50" s="1203"/>
      <c r="DZ50" s="1203"/>
      <c r="EL50" s="1203"/>
      <c r="EX50" s="1203"/>
    </row>
    <row r="51" spans="1:154" x14ac:dyDescent="0.25">
      <c r="E51" s="827"/>
      <c r="I51" s="783"/>
      <c r="V51" s="1203"/>
      <c r="AH51" s="1203"/>
      <c r="AT51" s="1203"/>
      <c r="BC51" s="783"/>
      <c r="BF51" s="1203"/>
      <c r="BO51" s="783"/>
      <c r="BR51" s="1203"/>
      <c r="CA51" s="783"/>
      <c r="CD51" s="1203"/>
      <c r="CP51" s="1203"/>
      <c r="DB51" s="1203"/>
      <c r="DN51" s="1203"/>
      <c r="DZ51" s="1203"/>
      <c r="EL51" s="1203"/>
      <c r="EX51" s="1203"/>
    </row>
    <row r="52" spans="1:154" x14ac:dyDescent="0.25">
      <c r="E52" s="827"/>
      <c r="S52" s="593"/>
      <c r="AE52" s="783"/>
      <c r="CY52" s="783"/>
      <c r="DW52" s="783"/>
      <c r="EK52" s="783"/>
    </row>
    <row r="53" spans="1:154" x14ac:dyDescent="0.25">
      <c r="E53" s="827"/>
      <c r="BO53" s="783"/>
      <c r="EI53" s="783"/>
      <c r="EU53" s="783"/>
    </row>
    <row r="54" spans="1:154" x14ac:dyDescent="0.25">
      <c r="E54" s="827"/>
      <c r="DK54" s="783">
        <f>+DK51+DK52+DK53+DK8</f>
        <v>184651</v>
      </c>
    </row>
    <row r="55" spans="1:154" x14ac:dyDescent="0.25">
      <c r="E55" s="827"/>
    </row>
    <row r="56" spans="1:154" x14ac:dyDescent="0.25">
      <c r="E56" s="827"/>
    </row>
    <row r="57" spans="1:154" x14ac:dyDescent="0.25">
      <c r="E57" s="827"/>
    </row>
    <row r="58" spans="1:154" x14ac:dyDescent="0.25">
      <c r="E58" s="827"/>
    </row>
    <row r="59" spans="1:154" x14ac:dyDescent="0.25">
      <c r="E59" s="827"/>
    </row>
    <row r="60" spans="1:154" x14ac:dyDescent="0.25">
      <c r="E60" s="827"/>
    </row>
    <row r="61" spans="1:154" x14ac:dyDescent="0.25">
      <c r="E61" s="827"/>
    </row>
    <row r="62" spans="1:154" x14ac:dyDescent="0.25">
      <c r="E62" s="827"/>
    </row>
    <row r="63" spans="1:154" x14ac:dyDescent="0.25">
      <c r="E63" s="827"/>
    </row>
  </sheetData>
  <customSheetViews>
    <customSheetView guid="{88621519-296E-4458-B04E-813E881018FE}" scale="90" hiddenRows="1">
      <pane xSplit="10" ySplit="9" topLeftCell="K40" activePane="bottomRight" state="frozen"/>
      <selection pane="bottomRight" activeCell="G43" sqref="G43"/>
      <pageMargins left="0.19685039370078741" right="0.19685039370078741" top="0.39370078740157483" bottom="0" header="0.19685039370078741" footer="0.19685039370078741"/>
      <printOptions horizontalCentered="1"/>
      <pageSetup paperSize="9" scale="80" orientation="landscape" r:id="rId1"/>
      <headerFooter alignWithMargins="0"/>
    </customSheetView>
  </customSheetViews>
  <mergeCells count="215">
    <mergeCell ref="A3:A6"/>
    <mergeCell ref="B3:B6"/>
    <mergeCell ref="C3:N3"/>
    <mergeCell ref="O3:Z3"/>
    <mergeCell ref="S4:T4"/>
    <mergeCell ref="U4:V4"/>
    <mergeCell ref="W4:Z4"/>
    <mergeCell ref="J5:J6"/>
    <mergeCell ref="K5:L5"/>
    <mergeCell ref="H5:H6"/>
    <mergeCell ref="R5:R6"/>
    <mergeCell ref="S5:S6"/>
    <mergeCell ref="M5:N5"/>
    <mergeCell ref="T5:T6"/>
    <mergeCell ref="U5:U6"/>
    <mergeCell ref="V5:V6"/>
    <mergeCell ref="W5:X5"/>
    <mergeCell ref="Y5:Z5"/>
    <mergeCell ref="AA3:AL3"/>
    <mergeCell ref="AM3:AX3"/>
    <mergeCell ref="AY3:BJ3"/>
    <mergeCell ref="AC4:AD4"/>
    <mergeCell ref="AE4:AF4"/>
    <mergeCell ref="AG4:AH4"/>
    <mergeCell ref="AI4:AL4"/>
    <mergeCell ref="AM4:AN4"/>
    <mergeCell ref="AO4:AP4"/>
    <mergeCell ref="AQ4:AR4"/>
    <mergeCell ref="BK3:BV3"/>
    <mergeCell ref="BW3:CH3"/>
    <mergeCell ref="CI3:CT3"/>
    <mergeCell ref="CU3:DF3"/>
    <mergeCell ref="DG3:DR3"/>
    <mergeCell ref="DS3:ED3"/>
    <mergeCell ref="EE3:EP3"/>
    <mergeCell ref="EQ3:FB3"/>
    <mergeCell ref="C4:D4"/>
    <mergeCell ref="E4:F4"/>
    <mergeCell ref="G4:H4"/>
    <mergeCell ref="I4:J4"/>
    <mergeCell ref="K4:N4"/>
    <mergeCell ref="O4:P4"/>
    <mergeCell ref="Q4:R4"/>
    <mergeCell ref="AA4:AB4"/>
    <mergeCell ref="AS4:AT4"/>
    <mergeCell ref="AU4:AX4"/>
    <mergeCell ref="AY4:AZ4"/>
    <mergeCell ref="BA4:BB4"/>
    <mergeCell ref="BC4:BD4"/>
    <mergeCell ref="BE4:BF4"/>
    <mergeCell ref="BG4:BJ4"/>
    <mergeCell ref="BK4:BL4"/>
    <mergeCell ref="CW4:CX4"/>
    <mergeCell ref="CY4:CZ4"/>
    <mergeCell ref="DA4:DB4"/>
    <mergeCell ref="BM4:BN4"/>
    <mergeCell ref="BO4:BP4"/>
    <mergeCell ref="BQ4:BR4"/>
    <mergeCell ref="BS4:BV4"/>
    <mergeCell ref="BW4:BX4"/>
    <mergeCell ref="BY4:BZ4"/>
    <mergeCell ref="CA4:CB4"/>
    <mergeCell ref="CC4:CD4"/>
    <mergeCell ref="CE4:CH4"/>
    <mergeCell ref="AB5:AB6"/>
    <mergeCell ref="AC5:AC6"/>
    <mergeCell ref="AD5:AD6"/>
    <mergeCell ref="DY4:DZ4"/>
    <mergeCell ref="EA4:ED4"/>
    <mergeCell ref="EE4:EF4"/>
    <mergeCell ref="EG4:EH4"/>
    <mergeCell ref="EI4:EJ4"/>
    <mergeCell ref="EK4:EL4"/>
    <mergeCell ref="DC4:DF4"/>
    <mergeCell ref="DG4:DH4"/>
    <mergeCell ref="DI4:DJ4"/>
    <mergeCell ref="DK4:DL4"/>
    <mergeCell ref="DM4:DN4"/>
    <mergeCell ref="DO4:DR4"/>
    <mergeCell ref="DS4:DT4"/>
    <mergeCell ref="DU4:DV4"/>
    <mergeCell ref="DW4:DX4"/>
    <mergeCell ref="CI4:CJ4"/>
    <mergeCell ref="CK4:CL4"/>
    <mergeCell ref="CM4:CN4"/>
    <mergeCell ref="CO4:CP4"/>
    <mergeCell ref="CQ4:CT4"/>
    <mergeCell ref="CU4:CV4"/>
    <mergeCell ref="AA5:AA6"/>
    <mergeCell ref="C5:C6"/>
    <mergeCell ref="D5:D6"/>
    <mergeCell ref="E5:E6"/>
    <mergeCell ref="F5:F6"/>
    <mergeCell ref="G5:G6"/>
    <mergeCell ref="I5:I6"/>
    <mergeCell ref="O5:O6"/>
    <mergeCell ref="P5:P6"/>
    <mergeCell ref="Q5:Q6"/>
    <mergeCell ref="AE5:AE6"/>
    <mergeCell ref="AF5:AF6"/>
    <mergeCell ref="AP5:AP6"/>
    <mergeCell ref="AK5:AL5"/>
    <mergeCell ref="AQ5:AQ6"/>
    <mergeCell ref="AM5:AM6"/>
    <mergeCell ref="AN5:AN6"/>
    <mergeCell ref="AO5:AO6"/>
    <mergeCell ref="AG5:AG6"/>
    <mergeCell ref="AH5:AH6"/>
    <mergeCell ref="AI5:AJ5"/>
    <mergeCell ref="AR5:AR6"/>
    <mergeCell ref="AS5:AS6"/>
    <mergeCell ref="AT5:AT6"/>
    <mergeCell ref="AU5:AV5"/>
    <mergeCell ref="AW5:AX5"/>
    <mergeCell ref="AY5:AY6"/>
    <mergeCell ref="AZ5:AZ6"/>
    <mergeCell ref="BA5:BA6"/>
    <mergeCell ref="BB5:BB6"/>
    <mergeCell ref="BC5:BC6"/>
    <mergeCell ref="BD5:BD6"/>
    <mergeCell ref="BE5:BE6"/>
    <mergeCell ref="BF5:BF6"/>
    <mergeCell ref="BG5:BH5"/>
    <mergeCell ref="BI5:BJ5"/>
    <mergeCell ref="BK5:BK6"/>
    <mergeCell ref="BL5:BL6"/>
    <mergeCell ref="BM5:BM6"/>
    <mergeCell ref="BN5:BN6"/>
    <mergeCell ref="BO5:BO6"/>
    <mergeCell ref="BP5:BP6"/>
    <mergeCell ref="BQ5:BQ6"/>
    <mergeCell ref="BR5:BR6"/>
    <mergeCell ref="BS5:BT5"/>
    <mergeCell ref="BU5:BV5"/>
    <mergeCell ref="BW5:BW6"/>
    <mergeCell ref="BX5:BX6"/>
    <mergeCell ref="BY5:BY6"/>
    <mergeCell ref="BZ5:BZ6"/>
    <mergeCell ref="CA5:CA6"/>
    <mergeCell ref="CB5:CB6"/>
    <mergeCell ref="CC5:CC6"/>
    <mergeCell ref="CD5:CD6"/>
    <mergeCell ref="CJ5:CJ6"/>
    <mergeCell ref="CE5:CF5"/>
    <mergeCell ref="CG5:CH5"/>
    <mergeCell ref="CI5:CI6"/>
    <mergeCell ref="CK5:CK6"/>
    <mergeCell ref="CL5:CL6"/>
    <mergeCell ref="CM5:CM6"/>
    <mergeCell ref="CN5:CN6"/>
    <mergeCell ref="CO5:CO6"/>
    <mergeCell ref="CP5:CP6"/>
    <mergeCell ref="CQ5:CR5"/>
    <mergeCell ref="CS5:CT5"/>
    <mergeCell ref="CU5:CU6"/>
    <mergeCell ref="CV5:CV6"/>
    <mergeCell ref="CW5:CW6"/>
    <mergeCell ref="CX5:CX6"/>
    <mergeCell ref="CY5:CY6"/>
    <mergeCell ref="CZ5:CZ6"/>
    <mergeCell ref="DA5:DA6"/>
    <mergeCell ref="DB5:DB6"/>
    <mergeCell ref="DC5:DD5"/>
    <mergeCell ref="DE5:DF5"/>
    <mergeCell ref="DG5:DG6"/>
    <mergeCell ref="DH5:DH6"/>
    <mergeCell ref="DI5:DI6"/>
    <mergeCell ref="DJ5:DJ6"/>
    <mergeCell ref="DK5:DK6"/>
    <mergeCell ref="DL5:DL6"/>
    <mergeCell ref="DM5:DM6"/>
    <mergeCell ref="DN5:DN6"/>
    <mergeCell ref="DO5:DP5"/>
    <mergeCell ref="DQ5:DR5"/>
    <mergeCell ref="DS5:DS6"/>
    <mergeCell ref="DT5:DT6"/>
    <mergeCell ref="DU5:DU6"/>
    <mergeCell ref="DV5:DV6"/>
    <mergeCell ref="DW5:DW6"/>
    <mergeCell ref="DX5:DX6"/>
    <mergeCell ref="DY5:DY6"/>
    <mergeCell ref="DZ5:DZ6"/>
    <mergeCell ref="EA5:EB5"/>
    <mergeCell ref="EC5:ED5"/>
    <mergeCell ref="EE5:EE6"/>
    <mergeCell ref="EF5:EF6"/>
    <mergeCell ref="EG5:EG6"/>
    <mergeCell ref="EH5:EH6"/>
    <mergeCell ref="EI5:EI6"/>
    <mergeCell ref="EJ5:EJ6"/>
    <mergeCell ref="EK5:EK6"/>
    <mergeCell ref="FC5:FC6"/>
    <mergeCell ref="FD5:FD6"/>
    <mergeCell ref="FE5:FE6"/>
    <mergeCell ref="FF5:FF6"/>
    <mergeCell ref="FC4:FF4"/>
    <mergeCell ref="EL5:EL6"/>
    <mergeCell ref="EM5:EN5"/>
    <mergeCell ref="EO5:EP5"/>
    <mergeCell ref="EQ5:EQ6"/>
    <mergeCell ref="ER5:ER6"/>
    <mergeCell ref="ES5:ES6"/>
    <mergeCell ref="EX5:EX6"/>
    <mergeCell ref="EY5:EZ5"/>
    <mergeCell ref="FA5:FB5"/>
    <mergeCell ref="ET5:ET6"/>
    <mergeCell ref="EU5:EU6"/>
    <mergeCell ref="EV5:EV6"/>
    <mergeCell ref="EW5:EW6"/>
    <mergeCell ref="EU4:EV4"/>
    <mergeCell ref="EW4:EX4"/>
    <mergeCell ref="EY4:FB4"/>
    <mergeCell ref="EM4:EP4"/>
    <mergeCell ref="EQ4:ER4"/>
    <mergeCell ref="ES4:ET4"/>
  </mergeCells>
  <phoneticPr fontId="5" type="noConversion"/>
  <printOptions horizontalCentered="1"/>
  <pageMargins left="0.19685039370078741" right="0.19685039370078741" top="0.39370078740157483" bottom="0" header="0.19685039370078741" footer="0.19685039370078741"/>
  <pageSetup paperSize="9" scale="80" orientation="landscape" r:id="rId2"/>
  <headerFooter alignWithMargins="0"/>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194"/>
  <sheetViews>
    <sheetView topLeftCell="A3" zoomScaleNormal="100" workbookViewId="0">
      <pane xSplit="8" ySplit="7" topLeftCell="L5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1217" customWidth="1"/>
    <col min="2" max="2" width="30.875" style="210" customWidth="1"/>
    <col min="3" max="11" width="8.625" style="210" hidden="1" customWidth="1"/>
    <col min="12" max="12" width="8.625" style="210" customWidth="1"/>
    <col min="13" max="14" width="8.625" style="210" hidden="1" customWidth="1"/>
    <col min="15" max="15" width="7.625" style="210" hidden="1" customWidth="1"/>
    <col min="16" max="17" width="7.375" style="210" customWidth="1"/>
    <col min="18" max="18" width="7.75" style="210" customWidth="1"/>
    <col min="19" max="19" width="8" style="210" customWidth="1"/>
    <col min="20" max="20" width="7.75" style="210" customWidth="1"/>
    <col min="21" max="21" width="8" style="210" customWidth="1"/>
    <col min="22" max="22" width="7.625" style="210" customWidth="1"/>
    <col min="23" max="23" width="7.25" style="210" customWidth="1"/>
    <col min="24" max="24" width="8.625" style="210" customWidth="1"/>
    <col min="25" max="25" width="6.875" style="210" customWidth="1"/>
    <col min="26" max="26" width="7" style="210" customWidth="1"/>
    <col min="27" max="27" width="7.5" style="210" customWidth="1"/>
    <col min="28" max="28" width="8" style="210" customWidth="1"/>
    <col min="29" max="30" width="8.625" style="210" customWidth="1"/>
    <col min="31" max="31" width="7.625" style="210" customWidth="1"/>
    <col min="32" max="32" width="6.375" style="210" customWidth="1"/>
    <col min="33" max="33" width="8.5" style="210" customWidth="1"/>
    <col min="34" max="16384" width="9" style="210"/>
  </cols>
  <sheetData>
    <row r="1" spans="1:99" s="1" customFormat="1" ht="47.25" customHeight="1" x14ac:dyDescent="0.25">
      <c r="A1" s="1362" t="s">
        <v>1054</v>
      </c>
      <c r="B1" s="1362"/>
      <c r="C1" s="1362"/>
      <c r="D1" s="1362"/>
      <c r="E1" s="1362"/>
      <c r="F1" s="1362"/>
      <c r="G1" s="1362"/>
      <c r="H1" s="1362"/>
      <c r="I1" s="1362"/>
      <c r="J1" s="1362"/>
      <c r="K1" s="1362"/>
      <c r="L1" s="1362"/>
      <c r="M1" s="1362"/>
      <c r="N1" s="1362"/>
      <c r="O1" s="1362"/>
      <c r="P1" s="1362"/>
      <c r="Q1" s="1362"/>
      <c r="R1" s="1362"/>
      <c r="S1" s="1362"/>
      <c r="T1" s="1362"/>
      <c r="U1" s="1362"/>
      <c r="V1" s="1362"/>
      <c r="W1" s="1362"/>
      <c r="X1" s="1362"/>
      <c r="Y1" s="1362"/>
      <c r="Z1" s="1362"/>
      <c r="AA1" s="1362"/>
      <c r="AB1" s="1362"/>
      <c r="AC1" s="1362"/>
      <c r="AD1" s="1362"/>
      <c r="AE1" s="1362"/>
      <c r="AF1" s="1362"/>
      <c r="AI1" s="1263"/>
      <c r="AQ1" s="1263"/>
      <c r="AY1" s="1263"/>
      <c r="BG1" s="1263"/>
      <c r="BO1" s="1263"/>
      <c r="BW1" s="1263"/>
      <c r="CE1" s="1263"/>
      <c r="CM1" s="1263"/>
      <c r="CU1" s="1263"/>
    </row>
    <row r="2" spans="1:99" x14ac:dyDescent="0.25">
      <c r="B2" s="243"/>
      <c r="C2" s="463"/>
      <c r="D2" s="463"/>
      <c r="E2" s="463"/>
      <c r="F2" s="463"/>
      <c r="G2" s="463"/>
      <c r="H2" s="463"/>
      <c r="I2" s="463"/>
      <c r="J2" s="463"/>
      <c r="K2" s="463"/>
      <c r="L2" s="463"/>
      <c r="M2" s="463"/>
      <c r="N2" s="463"/>
      <c r="O2" s="463"/>
      <c r="P2" s="463"/>
      <c r="Q2" s="463"/>
      <c r="R2" s="463"/>
      <c r="S2" s="463"/>
      <c r="V2" s="31"/>
      <c r="W2" s="31"/>
      <c r="X2" s="31"/>
      <c r="Y2" s="31"/>
    </row>
    <row r="3" spans="1:99" s="7" customFormat="1" ht="15.75" customHeight="1" x14ac:dyDescent="0.25">
      <c r="A3" s="1361" t="s">
        <v>400</v>
      </c>
      <c r="B3" s="1361" t="s">
        <v>401</v>
      </c>
      <c r="C3" s="1358" t="s">
        <v>1193</v>
      </c>
      <c r="D3" s="1358" t="s">
        <v>1194</v>
      </c>
      <c r="E3" s="1358" t="s">
        <v>1195</v>
      </c>
      <c r="F3" s="1358" t="s">
        <v>1196</v>
      </c>
      <c r="G3" s="1358" t="s">
        <v>1177</v>
      </c>
      <c r="H3" s="1358" t="s">
        <v>1041</v>
      </c>
      <c r="I3" s="1358" t="s">
        <v>1042</v>
      </c>
      <c r="J3" s="1358" t="s">
        <v>1043</v>
      </c>
      <c r="K3" s="1358" t="s">
        <v>1044</v>
      </c>
      <c r="L3" s="1358" t="s">
        <v>1031</v>
      </c>
      <c r="M3" s="1361" t="s">
        <v>1049</v>
      </c>
      <c r="N3" s="1358" t="s">
        <v>1055</v>
      </c>
      <c r="O3" s="1358" t="s">
        <v>429</v>
      </c>
      <c r="P3" s="1358" t="s">
        <v>1032</v>
      </c>
      <c r="Q3" s="1358" t="s">
        <v>1033</v>
      </c>
      <c r="R3" s="1358" t="s">
        <v>947</v>
      </c>
      <c r="S3" s="1358" t="s">
        <v>1424</v>
      </c>
      <c r="T3" s="1358" t="s">
        <v>1425</v>
      </c>
      <c r="U3" s="1361" t="s">
        <v>1035</v>
      </c>
      <c r="V3" s="1358" t="s">
        <v>1056</v>
      </c>
      <c r="W3" s="1358" t="s">
        <v>429</v>
      </c>
      <c r="X3" s="1358" t="s">
        <v>1079</v>
      </c>
      <c r="Y3" s="1361" t="s">
        <v>1023</v>
      </c>
      <c r="Z3" s="1361" t="s">
        <v>950</v>
      </c>
      <c r="AA3" s="1361" t="s">
        <v>972</v>
      </c>
      <c r="AB3" s="1361" t="s">
        <v>971</v>
      </c>
      <c r="AC3" s="1361" t="s">
        <v>970</v>
      </c>
      <c r="AD3" s="1361" t="s">
        <v>1036</v>
      </c>
      <c r="AE3" s="1358" t="s">
        <v>1057</v>
      </c>
      <c r="AF3" s="1358" t="s">
        <v>429</v>
      </c>
      <c r="AG3" s="1358" t="s">
        <v>1072</v>
      </c>
    </row>
    <row r="4" spans="1:99" s="7" customFormat="1" x14ac:dyDescent="0.25">
      <c r="A4" s="1363"/>
      <c r="B4" s="1363"/>
      <c r="C4" s="1359"/>
      <c r="D4" s="1359"/>
      <c r="E4" s="1359"/>
      <c r="F4" s="1359"/>
      <c r="G4" s="1359"/>
      <c r="H4" s="1359"/>
      <c r="I4" s="1359"/>
      <c r="J4" s="1359"/>
      <c r="K4" s="1359"/>
      <c r="L4" s="1359"/>
      <c r="M4" s="1361"/>
      <c r="N4" s="1359"/>
      <c r="O4" s="1359"/>
      <c r="P4" s="1359"/>
      <c r="Q4" s="1359"/>
      <c r="R4" s="1359"/>
      <c r="S4" s="1359"/>
      <c r="T4" s="1359"/>
      <c r="U4" s="1361"/>
      <c r="V4" s="1359"/>
      <c r="W4" s="1359"/>
      <c r="X4" s="1359"/>
      <c r="Y4" s="1361"/>
      <c r="Z4" s="1361"/>
      <c r="AA4" s="1361"/>
      <c r="AB4" s="1361"/>
      <c r="AC4" s="1361"/>
      <c r="AD4" s="1361"/>
      <c r="AE4" s="1359"/>
      <c r="AF4" s="1359"/>
      <c r="AG4" s="1359"/>
    </row>
    <row r="5" spans="1:99" s="7" customFormat="1" ht="135" customHeight="1" x14ac:dyDescent="0.25">
      <c r="A5" s="1363"/>
      <c r="B5" s="1363"/>
      <c r="C5" s="1360"/>
      <c r="D5" s="1360"/>
      <c r="E5" s="1360"/>
      <c r="F5" s="1360"/>
      <c r="G5" s="1360"/>
      <c r="H5" s="1360"/>
      <c r="I5" s="1360"/>
      <c r="J5" s="1360"/>
      <c r="K5" s="1360"/>
      <c r="L5" s="1360"/>
      <c r="M5" s="1361"/>
      <c r="N5" s="1360"/>
      <c r="O5" s="1360"/>
      <c r="P5" s="1360"/>
      <c r="Q5" s="1360"/>
      <c r="R5" s="1360"/>
      <c r="S5" s="1360"/>
      <c r="T5" s="1360"/>
      <c r="U5" s="1361"/>
      <c r="V5" s="1360"/>
      <c r="W5" s="1360"/>
      <c r="X5" s="1360"/>
      <c r="Y5" s="1361"/>
      <c r="Z5" s="1361"/>
      <c r="AA5" s="1361"/>
      <c r="AB5" s="1361"/>
      <c r="AC5" s="1361"/>
      <c r="AD5" s="1361"/>
      <c r="AE5" s="1360"/>
      <c r="AF5" s="1360"/>
      <c r="AG5" s="1360"/>
    </row>
    <row r="6" spans="1:99" s="465" customFormat="1" hidden="1" x14ac:dyDescent="0.25">
      <c r="A6" s="464">
        <v>1</v>
      </c>
      <c r="B6" s="464">
        <v>2</v>
      </c>
      <c r="C6" s="464"/>
      <c r="D6" s="464"/>
      <c r="E6" s="464"/>
      <c r="F6" s="464"/>
      <c r="G6" s="464"/>
      <c r="H6" s="464"/>
      <c r="I6" s="464"/>
      <c r="J6" s="464"/>
      <c r="K6" s="464"/>
      <c r="L6" s="464"/>
      <c r="M6" s="464"/>
      <c r="N6" s="464"/>
      <c r="O6" s="464"/>
      <c r="P6" s="464"/>
      <c r="Q6" s="464"/>
      <c r="R6" s="464"/>
      <c r="S6" s="464"/>
      <c r="T6" s="464"/>
      <c r="U6" s="464"/>
      <c r="V6" s="464"/>
      <c r="W6" s="464"/>
      <c r="X6" s="464"/>
      <c r="Y6" s="464"/>
      <c r="Z6" s="464"/>
      <c r="AA6" s="464"/>
      <c r="AB6" s="464"/>
      <c r="AC6" s="464"/>
      <c r="AD6" s="464"/>
      <c r="AE6" s="464"/>
      <c r="AF6" s="464"/>
      <c r="AG6" s="464"/>
    </row>
    <row r="7" spans="1:99" s="18" customFormat="1" x14ac:dyDescent="0.25">
      <c r="A7" s="1044" t="s">
        <v>407</v>
      </c>
      <c r="B7" s="1081" t="s">
        <v>408</v>
      </c>
      <c r="C7" s="212">
        <f t="shared" ref="C7:L7" si="0">SUM(C8,C28)</f>
        <v>1553480</v>
      </c>
      <c r="D7" s="212">
        <f t="shared" si="0"/>
        <v>2543746.399896</v>
      </c>
      <c r="E7" s="212">
        <f t="shared" si="0"/>
        <v>2504230</v>
      </c>
      <c r="F7" s="212">
        <f t="shared" si="0"/>
        <v>2936820</v>
      </c>
      <c r="G7" s="212">
        <f t="shared" si="0"/>
        <v>3970508.1362620005</v>
      </c>
      <c r="H7" s="212">
        <f t="shared" si="0"/>
        <v>4156306.1199669996</v>
      </c>
      <c r="I7" s="212">
        <f t="shared" si="0"/>
        <v>4518654.2436259994</v>
      </c>
      <c r="J7" s="212">
        <f t="shared" si="0"/>
        <v>4583182.5757370004</v>
      </c>
      <c r="K7" s="212">
        <f t="shared" si="0"/>
        <v>4112417.5781439999</v>
      </c>
      <c r="L7" s="212">
        <f t="shared" si="0"/>
        <v>5174957</v>
      </c>
      <c r="M7" s="212">
        <f>SUM(H7:L7)</f>
        <v>22545517.517473999</v>
      </c>
      <c r="N7" s="984"/>
      <c r="O7" s="984">
        <f>M7/$M$7</f>
        <v>1</v>
      </c>
      <c r="P7" s="212">
        <f>SUM(P8,P28)</f>
        <v>6334779</v>
      </c>
      <c r="Q7" s="212">
        <f>SUM(Q8,Q28)</f>
        <v>6851996</v>
      </c>
      <c r="R7" s="212">
        <f>SUM(R8,R28)</f>
        <v>6983868</v>
      </c>
      <c r="S7" s="212">
        <f>SUM(S8,S28)</f>
        <v>8771013</v>
      </c>
      <c r="T7" s="212">
        <f>SUM(T8,T28)</f>
        <v>8050000</v>
      </c>
      <c r="U7" s="212">
        <f>SUM(P7:T7)</f>
        <v>36991656</v>
      </c>
      <c r="V7" s="212"/>
      <c r="W7" s="984">
        <f>U7/$U$7</f>
        <v>1</v>
      </c>
      <c r="X7" s="984">
        <f t="shared" ref="X7:X23" si="1">U7/M7-1</f>
        <v>0.64075435267030167</v>
      </c>
      <c r="Y7" s="212">
        <f>SUM(Y8,Y28)</f>
        <v>8140900</v>
      </c>
      <c r="Z7" s="212">
        <f>SUM(Z8,Z28)</f>
        <v>8857000</v>
      </c>
      <c r="AA7" s="212">
        <f>SUM(AA8,AA28)</f>
        <v>9551000</v>
      </c>
      <c r="AB7" s="212">
        <f>SUM(AB8,AB28)</f>
        <v>10261000</v>
      </c>
      <c r="AC7" s="212">
        <f>SUM(AC8,AC28)</f>
        <v>11050000</v>
      </c>
      <c r="AD7" s="212">
        <f>SUM(Y7:AC7)</f>
        <v>47859900</v>
      </c>
      <c r="AE7" s="984"/>
      <c r="AF7" s="984">
        <f>AD7/$AD$7</f>
        <v>1</v>
      </c>
      <c r="AG7" s="984">
        <f>AD7/U7-1</f>
        <v>0.29380258077659449</v>
      </c>
    </row>
    <row r="8" spans="1:99" s="18" customFormat="1" x14ac:dyDescent="0.25">
      <c r="A8" s="1082" t="s">
        <v>409</v>
      </c>
      <c r="B8" s="1083" t="s">
        <v>410</v>
      </c>
      <c r="C8" s="225">
        <f t="shared" ref="C8:T8" si="2">SUM(C10,C11,C12,C13,C14:C27)</f>
        <v>1322540</v>
      </c>
      <c r="D8" s="225">
        <f t="shared" si="2"/>
        <v>2238026.399896</v>
      </c>
      <c r="E8" s="225">
        <f t="shared" si="2"/>
        <v>2175030</v>
      </c>
      <c r="F8" s="225">
        <f t="shared" si="2"/>
        <v>2627990</v>
      </c>
      <c r="G8" s="225">
        <f t="shared" si="2"/>
        <v>3663943.1287150006</v>
      </c>
      <c r="H8" s="225">
        <f t="shared" si="2"/>
        <v>3798739.5013269996</v>
      </c>
      <c r="I8" s="225">
        <f t="shared" si="2"/>
        <v>4099702.3977709995</v>
      </c>
      <c r="J8" s="225">
        <f t="shared" si="2"/>
        <v>4126341.428791</v>
      </c>
      <c r="K8" s="225">
        <f t="shared" si="2"/>
        <v>3972338.7808679999</v>
      </c>
      <c r="L8" s="225">
        <f t="shared" si="2"/>
        <v>4931116</v>
      </c>
      <c r="M8" s="225">
        <f t="shared" ref="M8:M28" si="3">SUM(H8:L8)</f>
        <v>20928238.108756997</v>
      </c>
      <c r="N8" s="985"/>
      <c r="O8" s="985">
        <f t="shared" ref="O8:O28" si="4">M8/$M$7</f>
        <v>0.92826603303900546</v>
      </c>
      <c r="P8" s="225">
        <f t="shared" si="2"/>
        <v>6237814</v>
      </c>
      <c r="Q8" s="225">
        <f t="shared" si="2"/>
        <v>6744580</v>
      </c>
      <c r="R8" s="225">
        <f t="shared" si="2"/>
        <v>6909606</v>
      </c>
      <c r="S8" s="225">
        <f t="shared" si="2"/>
        <v>8644723</v>
      </c>
      <c r="T8" s="225">
        <f t="shared" si="2"/>
        <v>7964000</v>
      </c>
      <c r="U8" s="212">
        <f>SUM(P8:T8)</f>
        <v>36500723</v>
      </c>
      <c r="V8" s="225"/>
      <c r="W8" s="985">
        <f t="shared" ref="W8:W63" si="5">U8/$U$7</f>
        <v>0.98672854764869133</v>
      </c>
      <c r="X8" s="985">
        <f t="shared" si="1"/>
        <v>0.74408962714959803</v>
      </c>
      <c r="Y8" s="225">
        <f>SUM(Y10,Y11,Y12,Y13,Y14:Y27)</f>
        <v>8035900</v>
      </c>
      <c r="Z8" s="225">
        <f>SUM(Z10,Z11,Z12,Z13,Z14:Z27)</f>
        <v>8740000</v>
      </c>
      <c r="AA8" s="225">
        <f>SUM(AA10,AA11,AA12,AA13,AA14:AA27)</f>
        <v>9422000</v>
      </c>
      <c r="AB8" s="225">
        <f>SUM(AB10,AB11,AB12,AB13,AB14:AB27)</f>
        <v>10120000</v>
      </c>
      <c r="AC8" s="225">
        <f>SUM(AC10,AC11,AC12,AC13,AC14:AC27)</f>
        <v>10897000</v>
      </c>
      <c r="AD8" s="225">
        <f t="shared" ref="AD8:AD71" si="6">SUM(Y8:AC8)</f>
        <v>47214900</v>
      </c>
      <c r="AE8" s="985"/>
      <c r="AF8" s="985">
        <f t="shared" ref="AF8:AF14" si="7">AD8/$AD$7</f>
        <v>0.98652316448634447</v>
      </c>
      <c r="AG8" s="985">
        <f t="shared" ref="AG8:AG28" si="8">AD8/U8-1</f>
        <v>0.29353328151883451</v>
      </c>
    </row>
    <row r="9" spans="1:99" s="9" customFormat="1" ht="31.5" x14ac:dyDescent="0.25">
      <c r="A9" s="1084"/>
      <c r="B9" s="823" t="s">
        <v>979</v>
      </c>
      <c r="C9" s="222">
        <f>C8-C20-C27</f>
        <v>781630</v>
      </c>
      <c r="D9" s="222">
        <f>D8-D20-D27</f>
        <v>1012420</v>
      </c>
      <c r="E9" s="222">
        <f>E8-E20-E27</f>
        <v>1278230</v>
      </c>
      <c r="F9" s="222">
        <f>F8-F20-F27</f>
        <v>1827240</v>
      </c>
      <c r="G9" s="222">
        <f t="shared" ref="G9:L9" si="9">G8-G20-G27</f>
        <v>2445921.4765880005</v>
      </c>
      <c r="H9" s="222">
        <f t="shared" si="9"/>
        <v>2716706.9705919996</v>
      </c>
      <c r="I9" s="222">
        <f t="shared" si="9"/>
        <v>2881335.0339119998</v>
      </c>
      <c r="J9" s="222">
        <f t="shared" si="9"/>
        <v>2871723.7974100001</v>
      </c>
      <c r="K9" s="222">
        <f t="shared" si="9"/>
        <v>2637997.8620639998</v>
      </c>
      <c r="L9" s="222">
        <f t="shared" si="9"/>
        <v>3357995</v>
      </c>
      <c r="M9" s="222">
        <f t="shared" si="3"/>
        <v>14465758.663977999</v>
      </c>
      <c r="N9" s="822"/>
      <c r="O9" s="822">
        <f t="shared" si="4"/>
        <v>0.64162460022335932</v>
      </c>
      <c r="P9" s="222">
        <f>P8-P20-P27</f>
        <v>4473231</v>
      </c>
      <c r="Q9" s="222">
        <f>Q8-Q20-Q27</f>
        <v>4627083</v>
      </c>
      <c r="R9" s="222">
        <f>R8-R20-R27</f>
        <v>4694910</v>
      </c>
      <c r="S9" s="222">
        <f>S8-S20-S27</f>
        <v>6156473</v>
      </c>
      <c r="T9" s="222">
        <f>T8-T20-T27</f>
        <v>5414000</v>
      </c>
      <c r="U9" s="212">
        <f>SUM(P9:T9)</f>
        <v>25365697</v>
      </c>
      <c r="V9" s="222"/>
      <c r="W9" s="822">
        <f t="shared" si="5"/>
        <v>0.68571401615542704</v>
      </c>
      <c r="X9" s="822">
        <f t="shared" si="1"/>
        <v>0.75349925221444147</v>
      </c>
      <c r="Y9" s="222">
        <f>Y8-Y20-Y27</f>
        <v>5785900</v>
      </c>
      <c r="Z9" s="222">
        <f>Z8-Z20-Z27</f>
        <v>6390000</v>
      </c>
      <c r="AA9" s="222">
        <f>AA8-AA20-AA27</f>
        <v>7022000</v>
      </c>
      <c r="AB9" s="222">
        <f>AB8-AB20-AB27</f>
        <v>7720000</v>
      </c>
      <c r="AC9" s="222">
        <f>AC8-AC20-AC27</f>
        <v>8497000</v>
      </c>
      <c r="AD9" s="222">
        <f t="shared" si="6"/>
        <v>35414900</v>
      </c>
      <c r="AE9" s="822"/>
      <c r="AF9" s="822">
        <f t="shared" si="7"/>
        <v>0.73997020470163954</v>
      </c>
      <c r="AG9" s="985">
        <f t="shared" si="8"/>
        <v>0.3961729496335149</v>
      </c>
    </row>
    <row r="10" spans="1:99" s="9" customFormat="1" x14ac:dyDescent="0.25">
      <c r="A10" s="1084">
        <v>1</v>
      </c>
      <c r="B10" s="551" t="s">
        <v>1157</v>
      </c>
      <c r="C10" s="222">
        <v>92540</v>
      </c>
      <c r="D10" s="222">
        <v>116990</v>
      </c>
      <c r="E10" s="222">
        <v>174910</v>
      </c>
      <c r="F10" s="222">
        <v>255100</v>
      </c>
      <c r="G10" s="222">
        <v>363111</v>
      </c>
      <c r="H10" s="222">
        <v>375470.05056100001</v>
      </c>
      <c r="I10" s="222">
        <v>392086.67269099999</v>
      </c>
      <c r="J10" s="222">
        <v>377894.530516</v>
      </c>
      <c r="K10" s="222">
        <v>203043.31661899999</v>
      </c>
      <c r="L10" s="222">
        <v>205240</v>
      </c>
      <c r="M10" s="222">
        <f t="shared" si="3"/>
        <v>1553734.570387</v>
      </c>
      <c r="N10" s="822"/>
      <c r="O10" s="822">
        <f t="shared" si="4"/>
        <v>6.8915453778462671E-2</v>
      </c>
      <c r="P10" s="222">
        <v>203694</v>
      </c>
      <c r="Q10" s="222">
        <v>198943</v>
      </c>
      <c r="R10" s="222">
        <v>203584</v>
      </c>
      <c r="S10" s="222">
        <v>223875</v>
      </c>
      <c r="T10" s="222">
        <f>'Phụ lục số 1'!H15</f>
        <v>190000</v>
      </c>
      <c r="U10" s="212">
        <f t="shared" ref="U10:U31" si="10">SUM(P10:T10)</f>
        <v>1020096</v>
      </c>
      <c r="V10" s="1159">
        <f>+T10/S10%</f>
        <v>84.868788386376323</v>
      </c>
      <c r="W10" s="822">
        <f t="shared" si="5"/>
        <v>2.7576381008733428E-2</v>
      </c>
      <c r="X10" s="822">
        <f t="shared" si="1"/>
        <v>-0.34345542704509868</v>
      </c>
      <c r="Y10" s="222">
        <f>'Phụ lục số 1'!N15</f>
        <v>210000</v>
      </c>
      <c r="Z10" s="222">
        <f>'Phụ lục số 1'!T15</f>
        <v>220000</v>
      </c>
      <c r="AA10" s="222">
        <f>'Phụ lục số 1'!Z15</f>
        <v>230000</v>
      </c>
      <c r="AB10" s="222">
        <f>'Phụ lục số 1'!AF15</f>
        <v>240000</v>
      </c>
      <c r="AC10" s="222">
        <f>'Phụ lục số 1'!AL15</f>
        <v>250000</v>
      </c>
      <c r="AD10" s="222">
        <f t="shared" si="6"/>
        <v>1150000</v>
      </c>
      <c r="AE10" s="822"/>
      <c r="AF10" s="822">
        <f t="shared" si="7"/>
        <v>2.4028466419695822E-2</v>
      </c>
      <c r="AG10" s="985">
        <f t="shared" si="8"/>
        <v>0.12734487734487732</v>
      </c>
    </row>
    <row r="11" spans="1:99" s="9" customFormat="1" x14ac:dyDescent="0.25">
      <c r="A11" s="1084">
        <v>2</v>
      </c>
      <c r="B11" s="551" t="s">
        <v>1156</v>
      </c>
      <c r="C11" s="222">
        <v>44800</v>
      </c>
      <c r="D11" s="222">
        <v>101880</v>
      </c>
      <c r="E11" s="222">
        <v>76050</v>
      </c>
      <c r="F11" s="222">
        <v>172870</v>
      </c>
      <c r="G11" s="222">
        <v>148607</v>
      </c>
      <c r="H11" s="222">
        <v>143351.48759800001</v>
      </c>
      <c r="I11" s="222">
        <v>229165.69016900001</v>
      </c>
      <c r="J11" s="222">
        <v>259813.95480400001</v>
      </c>
      <c r="K11" s="222">
        <v>268703.66079599998</v>
      </c>
      <c r="L11" s="222">
        <v>332356</v>
      </c>
      <c r="M11" s="222">
        <f t="shared" si="3"/>
        <v>1233390.7933670001</v>
      </c>
      <c r="N11" s="822"/>
      <c r="O11" s="822">
        <f t="shared" si="4"/>
        <v>5.4706696903766137E-2</v>
      </c>
      <c r="P11" s="222">
        <v>323641</v>
      </c>
      <c r="Q11" s="222">
        <v>384159</v>
      </c>
      <c r="R11" s="222">
        <v>385864</v>
      </c>
      <c r="S11" s="222">
        <v>479648</v>
      </c>
      <c r="T11" s="222">
        <f>'Phụ lục số 1'!H21</f>
        <v>500000</v>
      </c>
      <c r="U11" s="212">
        <f t="shared" si="10"/>
        <v>2073312</v>
      </c>
      <c r="V11" s="1159">
        <f>+T11/S11%</f>
        <v>104.24311161518447</v>
      </c>
      <c r="W11" s="822">
        <f t="shared" si="5"/>
        <v>5.6048099063204959E-2</v>
      </c>
      <c r="X11" s="822">
        <f t="shared" si="1"/>
        <v>0.68098546798790505</v>
      </c>
      <c r="Y11" s="222">
        <f>'Phụ lục số 1'!N21</f>
        <v>535000</v>
      </c>
      <c r="Z11" s="222">
        <f>'Phụ lục số 1'!T21</f>
        <v>573000</v>
      </c>
      <c r="AA11" s="222">
        <f>'Phụ lục số 1'!Z21</f>
        <v>620000</v>
      </c>
      <c r="AB11" s="222">
        <f>'Phụ lục số 1'!AF21</f>
        <v>669000</v>
      </c>
      <c r="AC11" s="222">
        <f>'Phụ lục số 1'!AL21</f>
        <v>723000</v>
      </c>
      <c r="AD11" s="222">
        <f t="shared" si="6"/>
        <v>3120000</v>
      </c>
      <c r="AE11" s="822"/>
      <c r="AF11" s="822">
        <f t="shared" si="7"/>
        <v>6.5190274112566046E-2</v>
      </c>
      <c r="AG11" s="985">
        <f t="shared" si="8"/>
        <v>0.50483863499560133</v>
      </c>
    </row>
    <row r="12" spans="1:99" s="9" customFormat="1" x14ac:dyDescent="0.25">
      <c r="A12" s="1084">
        <v>3</v>
      </c>
      <c r="B12" s="551" t="s">
        <v>1155</v>
      </c>
      <c r="C12" s="222">
        <v>580</v>
      </c>
      <c r="D12" s="222">
        <v>630</v>
      </c>
      <c r="E12" s="222">
        <v>2440</v>
      </c>
      <c r="F12" s="222">
        <v>780</v>
      </c>
      <c r="G12" s="222">
        <v>3761</v>
      </c>
      <c r="H12" s="222">
        <v>8028.6076819999998</v>
      </c>
      <c r="I12" s="222">
        <v>7377.2642779999996</v>
      </c>
      <c r="J12" s="222">
        <v>17351.560365000001</v>
      </c>
      <c r="K12" s="222">
        <v>25825.109232999999</v>
      </c>
      <c r="L12" s="222">
        <v>69494</v>
      </c>
      <c r="M12" s="222">
        <f t="shared" si="3"/>
        <v>128076.541558</v>
      </c>
      <c r="N12" s="822"/>
      <c r="O12" s="822">
        <f t="shared" si="4"/>
        <v>5.680798476181961E-3</v>
      </c>
      <c r="P12" s="222">
        <v>61938</v>
      </c>
      <c r="Q12" s="222">
        <v>49785</v>
      </c>
      <c r="R12" s="222">
        <v>35833</v>
      </c>
      <c r="S12" s="222">
        <v>76845</v>
      </c>
      <c r="T12" s="222">
        <f>'Phụ lục số 1'!H27</f>
        <v>70000</v>
      </c>
      <c r="U12" s="212">
        <f t="shared" si="10"/>
        <v>294401</v>
      </c>
      <c r="V12" s="222">
        <f>+V10-100</f>
        <v>-15.131211613623677</v>
      </c>
      <c r="W12" s="822">
        <f t="shared" si="5"/>
        <v>7.9585785507953477E-3</v>
      </c>
      <c r="X12" s="822">
        <f t="shared" si="1"/>
        <v>1.2986332736559669</v>
      </c>
      <c r="Y12" s="222">
        <f>'Phụ lục số 1'!N27</f>
        <v>70000</v>
      </c>
      <c r="Z12" s="222">
        <f>'Phụ lục số 1'!T27</f>
        <v>75000</v>
      </c>
      <c r="AA12" s="222">
        <f>'Phụ lục số 1'!Z27</f>
        <v>80000</v>
      </c>
      <c r="AB12" s="222">
        <f>'Phụ lục số 1'!AF27</f>
        <v>85000</v>
      </c>
      <c r="AC12" s="222">
        <f>'Phụ lục số 1'!AL27</f>
        <v>90000</v>
      </c>
      <c r="AD12" s="222">
        <f t="shared" si="6"/>
        <v>400000</v>
      </c>
      <c r="AE12" s="822"/>
      <c r="AF12" s="822">
        <f t="shared" si="7"/>
        <v>8.3577274503289813E-3</v>
      </c>
      <c r="AG12" s="985">
        <f t="shared" si="8"/>
        <v>0.35869103705490124</v>
      </c>
    </row>
    <row r="13" spans="1:99" s="9" customFormat="1" x14ac:dyDescent="0.25">
      <c r="A13" s="1084">
        <v>4</v>
      </c>
      <c r="B13" s="551" t="s">
        <v>1073</v>
      </c>
      <c r="C13" s="222">
        <v>271920</v>
      </c>
      <c r="D13" s="222">
        <v>369340</v>
      </c>
      <c r="E13" s="222">
        <v>554950</v>
      </c>
      <c r="F13" s="222">
        <v>654560</v>
      </c>
      <c r="G13" s="222">
        <v>873678</v>
      </c>
      <c r="H13" s="222">
        <v>1024104.439563</v>
      </c>
      <c r="I13" s="222">
        <v>1064747.6828060001</v>
      </c>
      <c r="J13" s="222">
        <v>1081721.420525</v>
      </c>
      <c r="K13" s="222">
        <v>744273.199104</v>
      </c>
      <c r="L13" s="222">
        <v>586685</v>
      </c>
      <c r="M13" s="222">
        <f t="shared" si="3"/>
        <v>4501531.7419980001</v>
      </c>
      <c r="N13" s="822"/>
      <c r="O13" s="822">
        <f t="shared" si="4"/>
        <v>0.19966415667810991</v>
      </c>
      <c r="P13" s="222">
        <v>674044</v>
      </c>
      <c r="Q13" s="222">
        <v>895287</v>
      </c>
      <c r="R13" s="222">
        <v>943679</v>
      </c>
      <c r="S13" s="222">
        <v>1430938</v>
      </c>
      <c r="T13" s="222">
        <f>'Phụ lục số 1'!H32</f>
        <v>1210000</v>
      </c>
      <c r="U13" s="212">
        <f t="shared" si="10"/>
        <v>5153948</v>
      </c>
      <c r="V13" s="222">
        <f>+V11-100</f>
        <v>4.2431116151844748</v>
      </c>
      <c r="W13" s="822">
        <f t="shared" si="5"/>
        <v>0.13932731208356824</v>
      </c>
      <c r="X13" s="822">
        <f t="shared" si="1"/>
        <v>0.14493205766276018</v>
      </c>
      <c r="Y13" s="222">
        <f>'Phụ lục số 1'!N32</f>
        <v>1315000</v>
      </c>
      <c r="Z13" s="222">
        <f>'Phụ lục số 1'!T32</f>
        <v>1511000</v>
      </c>
      <c r="AA13" s="222">
        <f>'Phụ lục số 1'!Z32</f>
        <v>1737000</v>
      </c>
      <c r="AB13" s="222">
        <f>'Phụ lục số 1'!AF32</f>
        <v>1996000</v>
      </c>
      <c r="AC13" s="222">
        <f>'Phụ lục số 1'!AL32</f>
        <v>2295000</v>
      </c>
      <c r="AD13" s="222">
        <f t="shared" si="6"/>
        <v>8854000</v>
      </c>
      <c r="AE13" s="822"/>
      <c r="AF13" s="822">
        <f t="shared" si="7"/>
        <v>0.18499829711303201</v>
      </c>
      <c r="AG13" s="985">
        <f t="shared" si="8"/>
        <v>0.71790635062674291</v>
      </c>
    </row>
    <row r="14" spans="1:99" s="9" customFormat="1" x14ac:dyDescent="0.25">
      <c r="A14" s="1084">
        <v>5</v>
      </c>
      <c r="B14" s="551" t="s">
        <v>416</v>
      </c>
      <c r="C14" s="222">
        <v>39220</v>
      </c>
      <c r="D14" s="222">
        <v>50330</v>
      </c>
      <c r="E14" s="222">
        <v>56660</v>
      </c>
      <c r="F14" s="222">
        <v>61750</v>
      </c>
      <c r="G14" s="222">
        <v>66384</v>
      </c>
      <c r="H14" s="222">
        <v>83707.295922000005</v>
      </c>
      <c r="I14" s="222">
        <v>85266.235153999995</v>
      </c>
      <c r="J14" s="222">
        <v>86018.719326999999</v>
      </c>
      <c r="K14" s="222">
        <v>102607.365288</v>
      </c>
      <c r="L14" s="222">
        <v>139966</v>
      </c>
      <c r="M14" s="222">
        <f t="shared" si="3"/>
        <v>497565.61569100001</v>
      </c>
      <c r="N14" s="822"/>
      <c r="O14" s="822">
        <f t="shared" si="4"/>
        <v>2.2069380989163796E-2</v>
      </c>
      <c r="P14" s="222">
        <v>184878</v>
      </c>
      <c r="Q14" s="222">
        <v>209558</v>
      </c>
      <c r="R14" s="222">
        <v>247450</v>
      </c>
      <c r="S14" s="222">
        <v>317324</v>
      </c>
      <c r="T14" s="222">
        <f>'Phụ lục số 1'!H38</f>
        <v>250000</v>
      </c>
      <c r="U14" s="212">
        <f t="shared" si="10"/>
        <v>1209210</v>
      </c>
      <c r="V14" s="222"/>
      <c r="W14" s="822">
        <f t="shared" si="5"/>
        <v>3.268872310014994E-2</v>
      </c>
      <c r="X14" s="822">
        <f t="shared" si="1"/>
        <v>1.4302523363088415</v>
      </c>
      <c r="Y14" s="222">
        <f>'Phụ lục số 1'!N38</f>
        <v>280000</v>
      </c>
      <c r="Z14" s="222">
        <f>'Phụ lục số 1'!T38</f>
        <v>322000</v>
      </c>
      <c r="AA14" s="222">
        <f>'Phụ lục số 1'!Z38</f>
        <v>354000</v>
      </c>
      <c r="AB14" s="222">
        <f>'Phụ lục số 1'!AF38</f>
        <v>389000</v>
      </c>
      <c r="AC14" s="222">
        <f>'Phụ lục số 1'!AL38</f>
        <v>428000</v>
      </c>
      <c r="AD14" s="222">
        <f t="shared" si="6"/>
        <v>1773000</v>
      </c>
      <c r="AE14" s="822"/>
      <c r="AF14" s="822">
        <f t="shared" si="7"/>
        <v>3.7045626923583208E-2</v>
      </c>
      <c r="AG14" s="985">
        <f t="shared" si="8"/>
        <v>0.46624655766988354</v>
      </c>
    </row>
    <row r="15" spans="1:99" s="9" customFormat="1" x14ac:dyDescent="0.25">
      <c r="A15" s="1084">
        <v>6</v>
      </c>
      <c r="B15" s="551" t="s">
        <v>468</v>
      </c>
      <c r="C15" s="222">
        <v>770</v>
      </c>
      <c r="D15" s="222">
        <v>880</v>
      </c>
      <c r="E15" s="222">
        <v>960</v>
      </c>
      <c r="F15" s="222">
        <v>770</v>
      </c>
      <c r="G15" s="222">
        <v>826.96921500000008</v>
      </c>
      <c r="H15" s="222">
        <v>708.54907600000001</v>
      </c>
      <c r="I15" s="222">
        <v>552.2912</v>
      </c>
      <c r="J15" s="222">
        <v>154.60680099999999</v>
      </c>
      <c r="K15" s="222">
        <v>529.35928999999999</v>
      </c>
      <c r="L15" s="222">
        <v>663</v>
      </c>
      <c r="M15" s="222">
        <f t="shared" si="3"/>
        <v>2607.8063669999997</v>
      </c>
      <c r="N15" s="822"/>
      <c r="O15" s="822">
        <f t="shared" si="4"/>
        <v>1.1566850771905361E-4</v>
      </c>
      <c r="P15" s="222">
        <v>909</v>
      </c>
      <c r="Q15" s="222">
        <v>694</v>
      </c>
      <c r="R15" s="222">
        <v>519</v>
      </c>
      <c r="S15" s="222">
        <v>1035</v>
      </c>
      <c r="T15" s="222">
        <f>'Phụ lục số 1'!H39</f>
        <v>800</v>
      </c>
      <c r="U15" s="212">
        <f t="shared" si="10"/>
        <v>3957</v>
      </c>
      <c r="V15" s="222"/>
      <c r="W15" s="822">
        <f t="shared" si="5"/>
        <v>1.0697006914207896E-4</v>
      </c>
      <c r="X15" s="822">
        <f t="shared" si="1"/>
        <v>0.51736725934606187</v>
      </c>
      <c r="Y15" s="222">
        <f>'Phụ lục số 1'!N39</f>
        <v>0</v>
      </c>
      <c r="Z15" s="222">
        <f>'Phụ lục số 1'!T39</f>
        <v>0</v>
      </c>
      <c r="AA15" s="222">
        <f>'Phụ lục số 1'!Z39</f>
        <v>0</v>
      </c>
      <c r="AB15" s="222">
        <f>'Phụ lục số 1'!AF39</f>
        <v>0</v>
      </c>
      <c r="AC15" s="222">
        <f>'Phụ lục số 1'!AL39</f>
        <v>0</v>
      </c>
      <c r="AD15" s="222">
        <f t="shared" si="6"/>
        <v>0</v>
      </c>
      <c r="AE15" s="822"/>
      <c r="AF15" s="822"/>
      <c r="AG15" s="985">
        <f t="shared" si="8"/>
        <v>-1</v>
      </c>
    </row>
    <row r="16" spans="1:99" s="9" customFormat="1" x14ac:dyDescent="0.25">
      <c r="A16" s="1084">
        <v>7</v>
      </c>
      <c r="B16" s="551" t="s">
        <v>277</v>
      </c>
      <c r="C16" s="222">
        <v>6300</v>
      </c>
      <c r="D16" s="222">
        <v>10340</v>
      </c>
      <c r="E16" s="222">
        <v>13690</v>
      </c>
      <c r="F16" s="222">
        <v>17250</v>
      </c>
      <c r="G16" s="222">
        <v>22513.990010999998</v>
      </c>
      <c r="H16" s="222">
        <v>22700.889665999999</v>
      </c>
      <c r="I16" s="222">
        <v>7232.069724</v>
      </c>
      <c r="J16" s="222">
        <v>9025.4512319999994</v>
      </c>
      <c r="K16" s="222">
        <v>8785.7481970000008</v>
      </c>
      <c r="L16" s="222">
        <v>8245</v>
      </c>
      <c r="M16" s="222">
        <f t="shared" si="3"/>
        <v>55989.158818999997</v>
      </c>
      <c r="N16" s="822"/>
      <c r="O16" s="822">
        <f t="shared" si="4"/>
        <v>2.4833831725355323E-3</v>
      </c>
      <c r="P16" s="222">
        <v>8374</v>
      </c>
      <c r="Q16" s="222">
        <v>9759</v>
      </c>
      <c r="R16" s="222">
        <v>10562</v>
      </c>
      <c r="S16" s="222">
        <v>11281</v>
      </c>
      <c r="T16" s="222">
        <f>'Phụ lục số 1'!H40</f>
        <v>8000</v>
      </c>
      <c r="U16" s="212">
        <f t="shared" si="10"/>
        <v>47976</v>
      </c>
      <c r="V16" s="222"/>
      <c r="W16" s="822">
        <f t="shared" si="5"/>
        <v>1.2969411263988831E-3</v>
      </c>
      <c r="X16" s="822">
        <f t="shared" si="1"/>
        <v>-0.1431198286958496</v>
      </c>
      <c r="Y16" s="222">
        <f>'Phụ lục số 1'!N40</f>
        <v>8000</v>
      </c>
      <c r="Z16" s="222">
        <f>'Phụ lục số 1'!T40</f>
        <v>8000</v>
      </c>
      <c r="AA16" s="222">
        <f>'Phụ lục số 1'!Z40</f>
        <v>8000</v>
      </c>
      <c r="AB16" s="222">
        <f>'Phụ lục số 1'!AF40</f>
        <v>8000</v>
      </c>
      <c r="AC16" s="222">
        <f>'Phụ lục số 1'!AL40</f>
        <v>8000</v>
      </c>
      <c r="AD16" s="222">
        <f t="shared" si="6"/>
        <v>40000</v>
      </c>
      <c r="AE16" s="822"/>
      <c r="AF16" s="822">
        <f t="shared" ref="AF16:AF21" si="11">AD16/$AD$7</f>
        <v>8.3577274503289815E-4</v>
      </c>
      <c r="AG16" s="985">
        <f t="shared" si="8"/>
        <v>-0.1662497915624479</v>
      </c>
    </row>
    <row r="17" spans="1:33" s="9" customFormat="1" x14ac:dyDescent="0.25">
      <c r="A17" s="1084">
        <v>8</v>
      </c>
      <c r="B17" s="551" t="s">
        <v>527</v>
      </c>
      <c r="C17" s="222">
        <f>38820+25460</f>
        <v>64280</v>
      </c>
      <c r="D17" s="222">
        <f>50550+36090</f>
        <v>86640</v>
      </c>
      <c r="E17" s="222">
        <f>66690+43730</f>
        <v>110420</v>
      </c>
      <c r="F17" s="222">
        <f>115840+0</f>
        <v>115840</v>
      </c>
      <c r="G17" s="222">
        <v>186978.995165</v>
      </c>
      <c r="H17" s="222">
        <v>211576.30287000001</v>
      </c>
      <c r="I17" s="222">
        <v>242659.928071</v>
      </c>
      <c r="J17" s="222">
        <v>238487.114038</v>
      </c>
      <c r="K17" s="222">
        <v>256057.09914899999</v>
      </c>
      <c r="L17" s="222">
        <v>310783</v>
      </c>
      <c r="M17" s="222">
        <f t="shared" si="3"/>
        <v>1259563.4441280002</v>
      </c>
      <c r="N17" s="822"/>
      <c r="O17" s="822">
        <f t="shared" si="4"/>
        <v>5.5867577364403821E-2</v>
      </c>
      <c r="P17" s="222">
        <v>341640</v>
      </c>
      <c r="Q17" s="222">
        <v>382262</v>
      </c>
      <c r="R17" s="222">
        <v>479310</v>
      </c>
      <c r="S17" s="222">
        <v>521482</v>
      </c>
      <c r="T17" s="222">
        <f>'Phụ lục số 1'!H41</f>
        <v>470000</v>
      </c>
      <c r="U17" s="212">
        <f t="shared" si="10"/>
        <v>2194694</v>
      </c>
      <c r="V17" s="222"/>
      <c r="W17" s="822">
        <f t="shared" si="5"/>
        <v>5.9329433643089673E-2</v>
      </c>
      <c r="X17" s="822">
        <f t="shared" si="1"/>
        <v>0.74242433775886041</v>
      </c>
      <c r="Y17" s="222">
        <f>'Phụ lục số 1'!N41</f>
        <v>465000</v>
      </c>
      <c r="Z17" s="222">
        <f>'Phụ lục số 1'!T41</f>
        <v>512000</v>
      </c>
      <c r="AA17" s="222">
        <f>'Phụ lục số 1'!Z41</f>
        <v>538000</v>
      </c>
      <c r="AB17" s="222">
        <f>'Phụ lục số 1'!AF41</f>
        <v>565000</v>
      </c>
      <c r="AC17" s="222">
        <f>'Phụ lục số 1'!AL41</f>
        <v>593000</v>
      </c>
      <c r="AD17" s="222">
        <f t="shared" si="6"/>
        <v>2673000</v>
      </c>
      <c r="AE17" s="822"/>
      <c r="AF17" s="822">
        <f t="shared" si="11"/>
        <v>5.5850513686823415E-2</v>
      </c>
      <c r="AG17" s="985">
        <f t="shared" si="8"/>
        <v>0.21793744367096268</v>
      </c>
    </row>
    <row r="18" spans="1:33" s="9" customFormat="1" x14ac:dyDescent="0.25">
      <c r="A18" s="1084">
        <v>9</v>
      </c>
      <c r="B18" s="551" t="s">
        <v>1034</v>
      </c>
      <c r="C18" s="222">
        <v>154600</v>
      </c>
      <c r="D18" s="222">
        <v>172040</v>
      </c>
      <c r="E18" s="222">
        <v>185420</v>
      </c>
      <c r="F18" s="222">
        <v>382620</v>
      </c>
      <c r="G18" s="222">
        <v>499448.84769999998</v>
      </c>
      <c r="H18" s="222">
        <v>650890.53007500002</v>
      </c>
      <c r="I18" s="222">
        <v>646721.78421900002</v>
      </c>
      <c r="J18" s="222">
        <v>553543.69900000002</v>
      </c>
      <c r="K18" s="222">
        <v>670403.16145000001</v>
      </c>
      <c r="L18" s="222">
        <v>1299030</v>
      </c>
      <c r="M18" s="222">
        <f t="shared" si="3"/>
        <v>3820589.1747440002</v>
      </c>
      <c r="N18" s="822"/>
      <c r="O18" s="822">
        <f t="shared" si="4"/>
        <v>0.16946114329745751</v>
      </c>
      <c r="P18" s="222">
        <v>2273225</v>
      </c>
      <c r="Q18" s="222">
        <v>1947905</v>
      </c>
      <c r="R18" s="222">
        <v>1700536</v>
      </c>
      <c r="S18" s="222">
        <v>2280939</v>
      </c>
      <c r="T18" s="222">
        <f>'Phụ lục số 1'!H42</f>
        <v>2130000</v>
      </c>
      <c r="U18" s="212">
        <f t="shared" si="10"/>
        <v>10332605</v>
      </c>
      <c r="V18" s="222"/>
      <c r="W18" s="822">
        <f t="shared" si="5"/>
        <v>0.27932258561227968</v>
      </c>
      <c r="X18" s="822">
        <f t="shared" si="1"/>
        <v>1.7044532995862713</v>
      </c>
      <c r="Y18" s="222">
        <f>'Phụ lục số 1'!N42</f>
        <v>2270000</v>
      </c>
      <c r="Z18" s="222">
        <f>'Phụ lục số 1'!T42</f>
        <v>2497000</v>
      </c>
      <c r="AA18" s="222">
        <f>'Phụ lục số 1'!Z42</f>
        <v>2747000</v>
      </c>
      <c r="AB18" s="222">
        <f>'Phụ lục số 1'!AF42</f>
        <v>3022000</v>
      </c>
      <c r="AC18" s="222">
        <f>'Phụ lục số 1'!AL42</f>
        <v>3324000</v>
      </c>
      <c r="AD18" s="222">
        <f t="shared" si="6"/>
        <v>13860000</v>
      </c>
      <c r="AE18" s="822"/>
      <c r="AF18" s="822">
        <f t="shared" si="11"/>
        <v>0.28959525615389919</v>
      </c>
      <c r="AG18" s="985">
        <f t="shared" si="8"/>
        <v>0.34138486857864003</v>
      </c>
    </row>
    <row r="19" spans="1:33" s="9" customFormat="1" x14ac:dyDescent="0.25">
      <c r="A19" s="1084">
        <v>10</v>
      </c>
      <c r="B19" s="551" t="s">
        <v>417</v>
      </c>
      <c r="C19" s="222">
        <v>83710</v>
      </c>
      <c r="D19" s="222">
        <v>65760</v>
      </c>
      <c r="E19" s="222">
        <v>62020</v>
      </c>
      <c r="F19" s="222">
        <v>108070</v>
      </c>
      <c r="G19" s="222">
        <v>147763</v>
      </c>
      <c r="H19" s="222">
        <v>129532.067836</v>
      </c>
      <c r="I19" s="222">
        <v>124106.44856800001</v>
      </c>
      <c r="J19" s="222">
        <v>151790.240028</v>
      </c>
      <c r="K19" s="222">
        <v>165870.497191</v>
      </c>
      <c r="L19" s="222">
        <v>212616</v>
      </c>
      <c r="M19" s="222">
        <f t="shared" si="3"/>
        <v>783915.253623</v>
      </c>
      <c r="N19" s="822"/>
      <c r="O19" s="822">
        <f t="shared" si="4"/>
        <v>3.4770337518995657E-2</v>
      </c>
      <c r="P19" s="222">
        <v>205555</v>
      </c>
      <c r="Q19" s="222">
        <v>256429</v>
      </c>
      <c r="R19" s="222">
        <v>154856</v>
      </c>
      <c r="S19" s="222">
        <v>172887</v>
      </c>
      <c r="T19" s="222">
        <f>'Phụ lục số 1'!H43</f>
        <v>165000</v>
      </c>
      <c r="U19" s="212">
        <f t="shared" si="10"/>
        <v>954727</v>
      </c>
      <c r="V19" s="222"/>
      <c r="W19" s="822">
        <f t="shared" si="5"/>
        <v>2.5809252767705237E-2</v>
      </c>
      <c r="X19" s="822">
        <f t="shared" si="1"/>
        <v>0.21789567888564987</v>
      </c>
      <c r="Y19" s="222">
        <f>'Phụ lục số 1'!N43</f>
        <v>192900</v>
      </c>
      <c r="Z19" s="222">
        <f>'Phụ lục số 1'!T43</f>
        <v>206000</v>
      </c>
      <c r="AA19" s="222">
        <f>'Phụ lục số 1'!Z43</f>
        <v>220000</v>
      </c>
      <c r="AB19" s="222">
        <f>'Phụ lục số 1'!AF43</f>
        <v>235000</v>
      </c>
      <c r="AC19" s="222">
        <f>'Phụ lục số 1'!AL43</f>
        <v>251000</v>
      </c>
      <c r="AD19" s="222">
        <f t="shared" si="6"/>
        <v>1104900</v>
      </c>
      <c r="AE19" s="822"/>
      <c r="AF19" s="822">
        <f t="shared" si="11"/>
        <v>2.3086132649671229E-2</v>
      </c>
      <c r="AG19" s="985">
        <f t="shared" si="8"/>
        <v>0.15729417938321633</v>
      </c>
    </row>
    <row r="20" spans="1:33" s="9" customFormat="1" x14ac:dyDescent="0.25">
      <c r="A20" s="1084">
        <v>11</v>
      </c>
      <c r="B20" s="551"/>
      <c r="C20" s="222">
        <v>191500</v>
      </c>
      <c r="D20" s="222">
        <v>415260</v>
      </c>
      <c r="E20" s="222">
        <v>444040</v>
      </c>
      <c r="F20" s="222">
        <v>300000</v>
      </c>
      <c r="G20" s="222">
        <v>407675.25223099999</v>
      </c>
      <c r="H20" s="222">
        <v>394171.66318199999</v>
      </c>
      <c r="I20" s="222">
        <v>413801.849995</v>
      </c>
      <c r="J20" s="222">
        <v>312735.00110200001</v>
      </c>
      <c r="K20" s="222">
        <v>379564.95398699999</v>
      </c>
      <c r="L20" s="222">
        <v>383777</v>
      </c>
      <c r="M20" s="222">
        <f t="shared" si="3"/>
        <v>1884050.468266</v>
      </c>
      <c r="N20" s="822"/>
      <c r="O20" s="822">
        <f t="shared" si="4"/>
        <v>8.3566521230029819E-2</v>
      </c>
      <c r="P20" s="222">
        <v>454422</v>
      </c>
      <c r="Q20" s="222">
        <v>639601</v>
      </c>
      <c r="R20" s="222">
        <v>843422</v>
      </c>
      <c r="S20" s="222">
        <v>964965</v>
      </c>
      <c r="T20" s="222">
        <f>'Phụ lục số 1'!H44</f>
        <v>750000</v>
      </c>
      <c r="U20" s="212">
        <f t="shared" si="10"/>
        <v>3652410</v>
      </c>
      <c r="V20" s="222"/>
      <c r="W20" s="822">
        <f t="shared" si="5"/>
        <v>9.8736050097351688E-2</v>
      </c>
      <c r="X20" s="822">
        <f t="shared" si="1"/>
        <v>0.93859456607949721</v>
      </c>
      <c r="Y20" s="222">
        <f>'Phụ lục số 1'!N44</f>
        <v>750000</v>
      </c>
      <c r="Z20" s="222">
        <f>'Phụ lục số 1'!T44</f>
        <v>800000</v>
      </c>
      <c r="AA20" s="222">
        <f>'Phụ lục số 1'!Z44</f>
        <v>800000</v>
      </c>
      <c r="AB20" s="222">
        <f>'Phụ lục số 1'!AF44</f>
        <v>800000</v>
      </c>
      <c r="AC20" s="222">
        <f>'Phụ lục số 1'!AL44</f>
        <v>800000</v>
      </c>
      <c r="AD20" s="222">
        <f t="shared" si="6"/>
        <v>3950000</v>
      </c>
      <c r="AE20" s="822"/>
      <c r="AF20" s="822">
        <f t="shared" si="11"/>
        <v>8.253255857199869E-2</v>
      </c>
      <c r="AG20" s="985">
        <f t="shared" si="8"/>
        <v>8.1477709238557461E-2</v>
      </c>
    </row>
    <row r="21" spans="1:33" s="9" customFormat="1" x14ac:dyDescent="0.25">
      <c r="A21" s="1084">
        <v>12</v>
      </c>
      <c r="B21" s="551" t="s">
        <v>529</v>
      </c>
      <c r="C21" s="222">
        <v>3650</v>
      </c>
      <c r="D21" s="222">
        <v>1290</v>
      </c>
      <c r="E21" s="222">
        <v>6350</v>
      </c>
      <c r="F21" s="222">
        <v>9960</v>
      </c>
      <c r="G21" s="222">
        <v>12272.982172</v>
      </c>
      <c r="H21" s="222">
        <v>14797.318150999999</v>
      </c>
      <c r="I21" s="222">
        <v>21280.122105999999</v>
      </c>
      <c r="J21" s="222">
        <v>25056.577998000001</v>
      </c>
      <c r="K21" s="222">
        <v>30109.314546000001</v>
      </c>
      <c r="L21" s="222">
        <v>35945</v>
      </c>
      <c r="M21" s="222">
        <f t="shared" si="3"/>
        <v>127188.332801</v>
      </c>
      <c r="N21" s="822"/>
      <c r="O21" s="822">
        <f t="shared" si="4"/>
        <v>5.6414022300629004E-3</v>
      </c>
      <c r="P21" s="222">
        <v>53095</v>
      </c>
      <c r="Q21" s="222">
        <v>61296</v>
      </c>
      <c r="R21" s="222">
        <v>194910</v>
      </c>
      <c r="S21" s="222">
        <v>177724</v>
      </c>
      <c r="T21" s="222">
        <f>'Phụ lục số 1'!H45</f>
        <v>72000</v>
      </c>
      <c r="U21" s="212">
        <f t="shared" si="10"/>
        <v>559025</v>
      </c>
      <c r="V21" s="222"/>
      <c r="W21" s="822">
        <f t="shared" si="5"/>
        <v>1.5112191787250616E-2</v>
      </c>
      <c r="X21" s="822">
        <f t="shared" si="1"/>
        <v>3.3952537759470083</v>
      </c>
      <c r="Y21" s="222">
        <f>'Phụ lục số 1'!N45</f>
        <v>76000</v>
      </c>
      <c r="Z21" s="222">
        <f>'Phụ lục số 1'!T45</f>
        <v>86000</v>
      </c>
      <c r="AA21" s="222">
        <f>'Phụ lục số 1'!Z45</f>
        <v>92000</v>
      </c>
      <c r="AB21" s="222">
        <f>'Phụ lục số 1'!AF45</f>
        <v>99000</v>
      </c>
      <c r="AC21" s="222">
        <f>'Phụ lục số 1'!AL45</f>
        <v>107000</v>
      </c>
      <c r="AD21" s="222">
        <f t="shared" si="6"/>
        <v>460000</v>
      </c>
      <c r="AE21" s="822"/>
      <c r="AF21" s="822">
        <f t="shared" si="11"/>
        <v>9.611386567878329E-3</v>
      </c>
      <c r="AG21" s="985">
        <f t="shared" si="8"/>
        <v>-0.17713876839139575</v>
      </c>
    </row>
    <row r="22" spans="1:33" s="9" customFormat="1" x14ac:dyDescent="0.25">
      <c r="A22" s="1084">
        <v>13</v>
      </c>
      <c r="B22" s="551" t="s">
        <v>518</v>
      </c>
      <c r="C22" s="222">
        <v>2970</v>
      </c>
      <c r="D22" s="222">
        <v>1390</v>
      </c>
      <c r="E22" s="222">
        <v>170</v>
      </c>
      <c r="F22" s="222">
        <v>1150</v>
      </c>
      <c r="G22" s="222">
        <v>1533.5377189999999</v>
      </c>
      <c r="H22" s="222">
        <v>1094.738333</v>
      </c>
      <c r="I22" s="222">
        <v>1681.6920950000001</v>
      </c>
      <c r="J22" s="222">
        <v>1120.580835</v>
      </c>
      <c r="K22" s="222">
        <v>258.28733599999998</v>
      </c>
      <c r="L22" s="222">
        <v>375</v>
      </c>
      <c r="M22" s="222">
        <f t="shared" si="3"/>
        <v>4530.2985990000006</v>
      </c>
      <c r="N22" s="822"/>
      <c r="O22" s="822">
        <f t="shared" si="4"/>
        <v>2.0094010241675637E-4</v>
      </c>
      <c r="P22" s="222">
        <v>382</v>
      </c>
      <c r="Q22" s="222">
        <v>2247</v>
      </c>
      <c r="R22" s="222">
        <v>702</v>
      </c>
      <c r="S22" s="222">
        <v>3951</v>
      </c>
      <c r="T22" s="222">
        <f>'Phụ lục số 1'!H46</f>
        <v>200</v>
      </c>
      <c r="U22" s="212">
        <f t="shared" si="10"/>
        <v>7482</v>
      </c>
      <c r="V22" s="222"/>
      <c r="W22" s="822">
        <f t="shared" si="5"/>
        <v>2.0226182899192184E-4</v>
      </c>
      <c r="X22" s="822">
        <f t="shared" si="1"/>
        <v>0.65154676595744609</v>
      </c>
      <c r="Y22" s="222">
        <f>'Phụ lục số 1'!N46</f>
        <v>0</v>
      </c>
      <c r="Z22" s="222">
        <f>'Phụ lục số 1'!T46</f>
        <v>0</v>
      </c>
      <c r="AA22" s="222">
        <f>'Phụ lục số 1'!Z46</f>
        <v>0</v>
      </c>
      <c r="AB22" s="222">
        <f>'Phụ lục số 1'!AF46</f>
        <v>0</v>
      </c>
      <c r="AC22" s="222">
        <f>'Phụ lục số 1'!AL46</f>
        <v>0</v>
      </c>
      <c r="AD22" s="222">
        <f t="shared" si="6"/>
        <v>0</v>
      </c>
      <c r="AE22" s="822"/>
      <c r="AF22" s="822"/>
      <c r="AG22" s="985">
        <f t="shared" si="8"/>
        <v>-1</v>
      </c>
    </row>
    <row r="23" spans="1:33" s="9" customFormat="1" x14ac:dyDescent="0.25">
      <c r="A23" s="1084">
        <v>14</v>
      </c>
      <c r="B23" s="551"/>
      <c r="C23" s="222">
        <v>16290</v>
      </c>
      <c r="D23" s="222">
        <v>34910</v>
      </c>
      <c r="E23" s="222">
        <v>34190</v>
      </c>
      <c r="F23" s="222">
        <v>46520</v>
      </c>
      <c r="G23" s="222">
        <v>100128.154606</v>
      </c>
      <c r="H23" s="222">
        <v>32762.876378000001</v>
      </c>
      <c r="I23" s="222">
        <v>42614.135322000002</v>
      </c>
      <c r="J23" s="222">
        <v>52575.311074999998</v>
      </c>
      <c r="K23" s="222">
        <v>145587.907744</v>
      </c>
      <c r="L23" s="222">
        <v>140912</v>
      </c>
      <c r="M23" s="222">
        <f t="shared" si="3"/>
        <v>414452.23051899998</v>
      </c>
      <c r="N23" s="822"/>
      <c r="O23" s="822">
        <f t="shared" si="4"/>
        <v>1.8382910491975935E-2</v>
      </c>
      <c r="P23" s="222">
        <v>126290</v>
      </c>
      <c r="Q23" s="222">
        <v>203509</v>
      </c>
      <c r="R23" s="222">
        <v>237551</v>
      </c>
      <c r="S23" s="222">
        <v>300917</v>
      </c>
      <c r="T23" s="222">
        <f>'Phụ lục số 1'!H47</f>
        <v>270000</v>
      </c>
      <c r="U23" s="212">
        <f t="shared" si="10"/>
        <v>1138267</v>
      </c>
      <c r="V23" s="222"/>
      <c r="W23" s="822">
        <f t="shared" si="5"/>
        <v>3.0770912229503865E-2</v>
      </c>
      <c r="X23" s="822">
        <f t="shared" si="1"/>
        <v>1.7464371432495347</v>
      </c>
      <c r="Y23" s="222">
        <f>'Phụ lục số 1'!N47</f>
        <v>280000</v>
      </c>
      <c r="Z23" s="222">
        <f>'Phụ lục số 1'!T47</f>
        <v>290000</v>
      </c>
      <c r="AA23" s="222">
        <f>'Phụ lục số 1'!Z47</f>
        <v>300000</v>
      </c>
      <c r="AB23" s="222">
        <f>'Phụ lục số 1'!AF47</f>
        <v>310000</v>
      </c>
      <c r="AC23" s="222">
        <f>'Phụ lục số 1'!AL47</f>
        <v>320000</v>
      </c>
      <c r="AD23" s="222">
        <f t="shared" si="6"/>
        <v>1500000</v>
      </c>
      <c r="AE23" s="822"/>
      <c r="AF23" s="822">
        <f t="shared" ref="AF23:AF28" si="12">AD23/$AD$7</f>
        <v>3.1341477938733681E-2</v>
      </c>
      <c r="AG23" s="985">
        <f t="shared" si="8"/>
        <v>0.31779274985570161</v>
      </c>
    </row>
    <row r="24" spans="1:33" s="9" customFormat="1" x14ac:dyDescent="0.25">
      <c r="A24" s="1084">
        <v>15</v>
      </c>
      <c r="B24" s="551" t="s">
        <v>632</v>
      </c>
      <c r="C24" s="222">
        <v>0</v>
      </c>
      <c r="D24" s="222">
        <v>0</v>
      </c>
      <c r="E24" s="222">
        <v>0</v>
      </c>
      <c r="F24" s="222">
        <v>0</v>
      </c>
      <c r="G24" s="222">
        <v>0</v>
      </c>
      <c r="H24" s="222">
        <v>0</v>
      </c>
      <c r="I24" s="222">
        <v>0</v>
      </c>
      <c r="J24" s="222">
        <v>0</v>
      </c>
      <c r="K24" s="222">
        <v>0</v>
      </c>
      <c r="L24" s="222">
        <v>0</v>
      </c>
      <c r="M24" s="222">
        <f t="shared" si="3"/>
        <v>0</v>
      </c>
      <c r="N24" s="822"/>
      <c r="O24" s="822">
        <f t="shared" si="4"/>
        <v>0</v>
      </c>
      <c r="P24" s="222">
        <v>0</v>
      </c>
      <c r="Q24" s="222">
        <v>5516</v>
      </c>
      <c r="R24" s="222">
        <v>46773</v>
      </c>
      <c r="S24" s="222">
        <v>25517</v>
      </c>
      <c r="T24" s="222">
        <f>'Phụ lục số 1'!H48</f>
        <v>11000</v>
      </c>
      <c r="U24" s="212">
        <f t="shared" si="10"/>
        <v>88806</v>
      </c>
      <c r="V24" s="222"/>
      <c r="W24" s="822">
        <f t="shared" si="5"/>
        <v>2.4007035532553614E-3</v>
      </c>
      <c r="X24" s="822"/>
      <c r="Y24" s="222">
        <f>'Phụ lục số 1'!N48</f>
        <v>11000</v>
      </c>
      <c r="Z24" s="222">
        <f>'Phụ lục số 1'!T48</f>
        <v>12000</v>
      </c>
      <c r="AA24" s="222">
        <f>'Phụ lục số 1'!Z48</f>
        <v>13000</v>
      </c>
      <c r="AB24" s="222">
        <f>'Phụ lục số 1'!AF48</f>
        <v>14000</v>
      </c>
      <c r="AC24" s="222">
        <f>'Phụ lục số 1'!AL48</f>
        <v>15000</v>
      </c>
      <c r="AD24" s="222">
        <f t="shared" si="6"/>
        <v>65000</v>
      </c>
      <c r="AE24" s="822"/>
      <c r="AF24" s="822">
        <f t="shared" si="12"/>
        <v>1.3581307106784594E-3</v>
      </c>
      <c r="AG24" s="985">
        <f t="shared" si="8"/>
        <v>-0.26806747291849653</v>
      </c>
    </row>
    <row r="25" spans="1:33" s="9" customFormat="1" x14ac:dyDescent="0.25">
      <c r="A25" s="1084">
        <v>16</v>
      </c>
      <c r="B25" s="551" t="s">
        <v>633</v>
      </c>
      <c r="C25" s="222">
        <v>0</v>
      </c>
      <c r="D25" s="222">
        <v>0</v>
      </c>
      <c r="E25" s="222">
        <v>0</v>
      </c>
      <c r="F25" s="222">
        <v>0</v>
      </c>
      <c r="G25" s="222">
        <v>0</v>
      </c>
      <c r="H25" s="222">
        <v>0</v>
      </c>
      <c r="I25" s="222">
        <v>0</v>
      </c>
      <c r="J25" s="222">
        <v>0</v>
      </c>
      <c r="K25" s="222">
        <v>0</v>
      </c>
      <c r="L25" s="222">
        <v>0</v>
      </c>
      <c r="M25" s="222">
        <f t="shared" si="3"/>
        <v>0</v>
      </c>
      <c r="N25" s="822"/>
      <c r="O25" s="822">
        <f t="shared" si="4"/>
        <v>0</v>
      </c>
      <c r="P25" s="222">
        <v>0</v>
      </c>
      <c r="Q25" s="222">
        <v>0</v>
      </c>
      <c r="R25" s="222">
        <v>47932</v>
      </c>
      <c r="S25" s="222">
        <v>129025</v>
      </c>
      <c r="T25" s="222">
        <f>'Phụ lục số 1'!H49</f>
        <v>64000</v>
      </c>
      <c r="U25" s="212">
        <f t="shared" si="10"/>
        <v>240957</v>
      </c>
      <c r="V25" s="222"/>
      <c r="W25" s="822">
        <f t="shared" si="5"/>
        <v>6.5138203058549204E-3</v>
      </c>
      <c r="X25" s="822"/>
      <c r="Y25" s="222">
        <f>'Phụ lục số 1'!N49</f>
        <v>70000</v>
      </c>
      <c r="Z25" s="222">
        <f>'Phụ lục số 1'!T49</f>
        <v>75000</v>
      </c>
      <c r="AA25" s="222">
        <f>'Phụ lục số 1'!Z49</f>
        <v>80000</v>
      </c>
      <c r="AB25" s="222">
        <f>'Phụ lục số 1'!AF49</f>
        <v>85000</v>
      </c>
      <c r="AC25" s="222">
        <f>'Phụ lục số 1'!AL49</f>
        <v>90000</v>
      </c>
      <c r="AD25" s="222">
        <f t="shared" si="6"/>
        <v>400000</v>
      </c>
      <c r="AE25" s="822"/>
      <c r="AF25" s="822">
        <f t="shared" si="12"/>
        <v>8.3577274503289813E-3</v>
      </c>
      <c r="AG25" s="985">
        <f t="shared" si="8"/>
        <v>0.66004722834364649</v>
      </c>
    </row>
    <row r="26" spans="1:33" s="9" customFormat="1" x14ac:dyDescent="0.25">
      <c r="A26" s="1084">
        <v>15</v>
      </c>
      <c r="B26" s="551"/>
      <c r="C26" s="222"/>
      <c r="D26" s="222"/>
      <c r="E26" s="222"/>
      <c r="F26" s="222"/>
      <c r="G26" s="222">
        <v>18914</v>
      </c>
      <c r="H26" s="222">
        <v>17981.816880999999</v>
      </c>
      <c r="I26" s="222">
        <v>15843.017508999999</v>
      </c>
      <c r="J26" s="222">
        <v>17170.030866000001</v>
      </c>
      <c r="K26" s="222">
        <v>15943.836121</v>
      </c>
      <c r="L26" s="222">
        <v>15685</v>
      </c>
      <c r="M26" s="222">
        <f t="shared" si="3"/>
        <v>82623.70137699999</v>
      </c>
      <c r="N26" s="822"/>
      <c r="O26" s="822">
        <f t="shared" si="4"/>
        <v>3.6647507121077235E-3</v>
      </c>
      <c r="P26" s="222">
        <v>15566</v>
      </c>
      <c r="Q26" s="222">
        <v>19734</v>
      </c>
      <c r="R26" s="222">
        <v>4849</v>
      </c>
      <c r="S26" s="222">
        <v>3085</v>
      </c>
      <c r="T26" s="222">
        <f>'Phụ lục số 1'!H50</f>
        <v>3000</v>
      </c>
      <c r="U26" s="212">
        <f t="shared" si="10"/>
        <v>46234</v>
      </c>
      <c r="V26" s="222"/>
      <c r="W26" s="822">
        <f t="shared" si="5"/>
        <v>1.2498494255028755E-3</v>
      </c>
      <c r="X26" s="822">
        <f>U26/M26-1</f>
        <v>-0.44042690862951117</v>
      </c>
      <c r="Y26" s="222">
        <f>'Phụ lục số 1'!N50</f>
        <v>3000</v>
      </c>
      <c r="Z26" s="222">
        <f>'Phụ lục số 1'!T50</f>
        <v>3000</v>
      </c>
      <c r="AA26" s="222">
        <f>'Phụ lục số 1'!Z50</f>
        <v>3000</v>
      </c>
      <c r="AB26" s="222">
        <f>'Phụ lục số 1'!AF50</f>
        <v>3000</v>
      </c>
      <c r="AC26" s="222">
        <f>'Phụ lục số 1'!AL50</f>
        <v>3000</v>
      </c>
      <c r="AD26" s="222">
        <f t="shared" si="6"/>
        <v>15000</v>
      </c>
      <c r="AE26" s="822"/>
      <c r="AF26" s="822">
        <f t="shared" si="12"/>
        <v>3.1341477938733676E-4</v>
      </c>
      <c r="AG26" s="985">
        <f t="shared" si="8"/>
        <v>-0.67556343816239139</v>
      </c>
    </row>
    <row r="27" spans="1:33" s="9" customFormat="1" x14ac:dyDescent="0.25">
      <c r="A27" s="1084">
        <v>16</v>
      </c>
      <c r="B27" s="551" t="s">
        <v>226</v>
      </c>
      <c r="C27" s="222">
        <v>349410</v>
      </c>
      <c r="D27" s="222">
        <v>810346.39989600005</v>
      </c>
      <c r="E27" s="222">
        <v>452760</v>
      </c>
      <c r="F27" s="222">
        <v>500750</v>
      </c>
      <c r="G27" s="222">
        <v>810346.39989600005</v>
      </c>
      <c r="H27" s="222">
        <v>687860.86755299999</v>
      </c>
      <c r="I27" s="222">
        <v>804565.51386399998</v>
      </c>
      <c r="J27" s="222">
        <v>941882.63027900003</v>
      </c>
      <c r="K27" s="222">
        <v>954775.96481699997</v>
      </c>
      <c r="L27" s="222">
        <v>1189344</v>
      </c>
      <c r="M27" s="222">
        <f t="shared" si="3"/>
        <v>4578428.9765130002</v>
      </c>
      <c r="N27" s="822"/>
      <c r="O27" s="822">
        <f t="shared" si="4"/>
        <v>0.2030749115856165</v>
      </c>
      <c r="P27" s="222">
        <v>1310161</v>
      </c>
      <c r="Q27" s="222">
        <v>1477896</v>
      </c>
      <c r="R27" s="222">
        <v>1371274</v>
      </c>
      <c r="S27" s="222">
        <v>1523285</v>
      </c>
      <c r="T27" s="222">
        <f>'Phụ lục số 1'!H51</f>
        <v>1800000</v>
      </c>
      <c r="U27" s="212">
        <f t="shared" si="10"/>
        <v>7482616</v>
      </c>
      <c r="V27" s="222"/>
      <c r="W27" s="822">
        <f t="shared" si="5"/>
        <v>0.20227848139591265</v>
      </c>
      <c r="X27" s="822">
        <f>U27/M27-1</f>
        <v>0.63431955336323065</v>
      </c>
      <c r="Y27" s="222">
        <f>'Phụ lục số 1'!N51</f>
        <v>1500000</v>
      </c>
      <c r="Z27" s="222">
        <f>'Phụ lục số 1'!T51</f>
        <v>1550000</v>
      </c>
      <c r="AA27" s="222">
        <f>'Phụ lục số 1'!Z51</f>
        <v>1600000</v>
      </c>
      <c r="AB27" s="222">
        <f>'Phụ lục số 1'!AF51</f>
        <v>1600000</v>
      </c>
      <c r="AC27" s="222">
        <f>'Phụ lục số 1'!AL51</f>
        <v>1600000</v>
      </c>
      <c r="AD27" s="222">
        <f t="shared" si="6"/>
        <v>7850000</v>
      </c>
      <c r="AE27" s="822"/>
      <c r="AF27" s="822">
        <f t="shared" si="12"/>
        <v>0.16402040121270625</v>
      </c>
      <c r="AG27" s="985">
        <f t="shared" si="8"/>
        <v>4.9098336731431935E-2</v>
      </c>
    </row>
    <row r="28" spans="1:33" s="18" customFormat="1" x14ac:dyDescent="0.25">
      <c r="A28" s="1082" t="s">
        <v>421</v>
      </c>
      <c r="B28" s="552" t="s">
        <v>775</v>
      </c>
      <c r="C28" s="225">
        <v>230940</v>
      </c>
      <c r="D28" s="225">
        <v>305720</v>
      </c>
      <c r="E28" s="225">
        <v>329200</v>
      </c>
      <c r="F28" s="225">
        <v>308830</v>
      </c>
      <c r="G28" s="225">
        <v>306565.00754700002</v>
      </c>
      <c r="H28" s="225">
        <v>357566.61864</v>
      </c>
      <c r="I28" s="225">
        <v>418951.84585500002</v>
      </c>
      <c r="J28" s="225">
        <v>456841.14694599999</v>
      </c>
      <c r="K28" s="225">
        <v>140078.797276</v>
      </c>
      <c r="L28" s="225">
        <v>243841</v>
      </c>
      <c r="M28" s="225">
        <f t="shared" si="3"/>
        <v>1617279.4087169999</v>
      </c>
      <c r="N28" s="985"/>
      <c r="O28" s="985">
        <f t="shared" si="4"/>
        <v>7.1733966960994378E-2</v>
      </c>
      <c r="P28" s="225">
        <v>96965</v>
      </c>
      <c r="Q28" s="225">
        <v>107416</v>
      </c>
      <c r="R28" s="225">
        <v>74262</v>
      </c>
      <c r="S28" s="225">
        <v>126290</v>
      </c>
      <c r="T28" s="225">
        <f>'Phụ lục số 1'!H52</f>
        <v>86000</v>
      </c>
      <c r="U28" s="212">
        <f t="shared" si="10"/>
        <v>490933</v>
      </c>
      <c r="V28" s="225"/>
      <c r="W28" s="985">
        <f t="shared" si="5"/>
        <v>1.3271452351308631E-2</v>
      </c>
      <c r="X28" s="985">
        <f>U28/M28-1</f>
        <v>-0.69644515514517003</v>
      </c>
      <c r="Y28" s="225">
        <f>'Phụ lục số 1'!N52</f>
        <v>105000</v>
      </c>
      <c r="Z28" s="225">
        <f>'Phụ lục số 1'!T52</f>
        <v>117000</v>
      </c>
      <c r="AA28" s="225">
        <f>'Phụ lục số 1'!Z52</f>
        <v>129000</v>
      </c>
      <c r="AB28" s="225">
        <f>'Phụ lục số 1'!AF52</f>
        <v>141000</v>
      </c>
      <c r="AC28" s="225">
        <f>'Phụ lục số 1'!AL52</f>
        <v>153000</v>
      </c>
      <c r="AD28" s="225">
        <f t="shared" si="6"/>
        <v>645000</v>
      </c>
      <c r="AE28" s="985"/>
      <c r="AF28" s="985">
        <f t="shared" si="12"/>
        <v>1.3476835513655482E-2</v>
      </c>
      <c r="AG28" s="985">
        <f t="shared" si="8"/>
        <v>0.31382490075020431</v>
      </c>
    </row>
    <row r="29" spans="1:33" s="18" customFormat="1" x14ac:dyDescent="0.25">
      <c r="A29" s="1082" t="s">
        <v>449</v>
      </c>
      <c r="B29" s="552" t="s">
        <v>1096</v>
      </c>
      <c r="C29" s="225"/>
      <c r="D29" s="225"/>
      <c r="E29" s="225"/>
      <c r="F29" s="225"/>
      <c r="G29" s="225"/>
      <c r="H29" s="225"/>
      <c r="I29" s="225"/>
      <c r="J29" s="225"/>
      <c r="K29" s="225"/>
      <c r="L29" s="225"/>
      <c r="M29" s="225"/>
      <c r="N29" s="985"/>
      <c r="O29" s="985"/>
      <c r="P29" s="225"/>
      <c r="Q29" s="225"/>
      <c r="R29" s="225"/>
      <c r="S29" s="225"/>
      <c r="T29" s="225"/>
      <c r="U29" s="212">
        <f t="shared" si="10"/>
        <v>0</v>
      </c>
      <c r="V29" s="225"/>
      <c r="W29" s="985">
        <f t="shared" si="5"/>
        <v>0</v>
      </c>
      <c r="X29" s="985"/>
      <c r="Y29" s="225"/>
      <c r="Z29" s="225"/>
      <c r="AA29" s="225"/>
      <c r="AB29" s="225"/>
      <c r="AC29" s="225"/>
      <c r="AD29" s="225">
        <f t="shared" si="6"/>
        <v>0</v>
      </c>
      <c r="AE29" s="985"/>
      <c r="AF29" s="985"/>
      <c r="AG29" s="985"/>
    </row>
    <row r="30" spans="1:33" s="61" customFormat="1" x14ac:dyDescent="0.25">
      <c r="A30" s="1085" t="s">
        <v>422</v>
      </c>
      <c r="B30" s="1086" t="s">
        <v>1540</v>
      </c>
      <c r="C30" s="225"/>
      <c r="D30" s="225"/>
      <c r="E30" s="225"/>
      <c r="F30" s="225"/>
      <c r="G30" s="225"/>
      <c r="H30" s="225"/>
      <c r="I30" s="225"/>
      <c r="J30" s="225"/>
      <c r="K30" s="225"/>
      <c r="L30" s="225"/>
      <c r="M30" s="225"/>
      <c r="N30" s="985"/>
      <c r="O30" s="985"/>
      <c r="P30" s="225"/>
      <c r="Q30" s="225"/>
      <c r="R30" s="225"/>
      <c r="S30" s="225"/>
      <c r="T30" s="225"/>
      <c r="U30" s="212">
        <f t="shared" si="10"/>
        <v>0</v>
      </c>
      <c r="V30" s="225"/>
      <c r="W30" s="985">
        <f t="shared" si="5"/>
        <v>0</v>
      </c>
      <c r="X30" s="985"/>
      <c r="Y30" s="225"/>
      <c r="Z30" s="225"/>
      <c r="AA30" s="225"/>
      <c r="AB30" s="225"/>
      <c r="AC30" s="225"/>
      <c r="AD30" s="225">
        <f t="shared" si="6"/>
        <v>0</v>
      </c>
      <c r="AE30" s="985"/>
      <c r="AF30" s="985"/>
      <c r="AG30" s="985"/>
    </row>
    <row r="31" spans="1:33" s="971" customFormat="1" ht="20.25" x14ac:dyDescent="0.55000000000000004">
      <c r="A31" s="1087">
        <v>1</v>
      </c>
      <c r="B31" s="1088" t="s">
        <v>1332</v>
      </c>
      <c r="C31" s="1089">
        <f>SUM(C32,C33,C36)</f>
        <v>12140916</v>
      </c>
      <c r="D31" s="1089">
        <f>SUM(D32,D33,D36)</f>
        <v>15688862</v>
      </c>
      <c r="E31" s="1089">
        <f>SUM(E32,E33,E36)</f>
        <v>20624075</v>
      </c>
      <c r="F31" s="1089">
        <f>SUM(F32,F33,F36)</f>
        <v>23241053</v>
      </c>
      <c r="G31" s="986">
        <v>30287000</v>
      </c>
      <c r="H31" s="986">
        <v>41703000</v>
      </c>
      <c r="I31" s="986">
        <v>44027000</v>
      </c>
      <c r="J31" s="986">
        <v>48316000</v>
      </c>
      <c r="K31" s="986">
        <v>53472000</v>
      </c>
      <c r="L31" s="986">
        <v>57208361</v>
      </c>
      <c r="M31" s="986">
        <f>SUM(H31:L31)</f>
        <v>244726361</v>
      </c>
      <c r="N31" s="987"/>
      <c r="O31" s="987">
        <f>L31/$L$31</f>
        <v>1</v>
      </c>
      <c r="P31" s="986">
        <v>62221079</v>
      </c>
      <c r="Q31" s="986">
        <v>68288574</v>
      </c>
      <c r="R31" s="986">
        <v>75875880</v>
      </c>
      <c r="S31" s="986">
        <f>SUM(S32,S33,S36)</f>
        <v>82283000</v>
      </c>
      <c r="T31" s="986">
        <f>SUM(T32,T33,T36)</f>
        <v>86575000</v>
      </c>
      <c r="U31" s="212">
        <f t="shared" si="10"/>
        <v>375243533</v>
      </c>
      <c r="V31" s="986"/>
      <c r="W31" s="987">
        <f t="shared" si="5"/>
        <v>10.144004718253219</v>
      </c>
      <c r="X31" s="987">
        <f>U31/M31-1</f>
        <v>0.53331881153579519</v>
      </c>
      <c r="Y31" s="990">
        <f>T31*1.07</f>
        <v>92635250</v>
      </c>
      <c r="Z31" s="990">
        <f>Y31*1.07</f>
        <v>99119717.5</v>
      </c>
      <c r="AA31" s="990">
        <f>Z31*1.07</f>
        <v>106058097.72500001</v>
      </c>
      <c r="AB31" s="990">
        <f>AA31*1.07</f>
        <v>113482164.56575002</v>
      </c>
      <c r="AC31" s="990">
        <f>AB31*1.07</f>
        <v>121425916.08535253</v>
      </c>
      <c r="AD31" s="990">
        <f>SUM(Y31:AC31)</f>
        <v>532721145.87610257</v>
      </c>
      <c r="AE31" s="987"/>
      <c r="AF31" s="987"/>
      <c r="AG31" s="985">
        <f>AD31/U31-1</f>
        <v>0.41966775980680948</v>
      </c>
    </row>
    <row r="32" spans="1:33" x14ac:dyDescent="0.25">
      <c r="A32" s="257" t="s">
        <v>434</v>
      </c>
      <c r="B32" s="915" t="s">
        <v>1051</v>
      </c>
      <c r="C32" s="1090">
        <v>6907745</v>
      </c>
      <c r="D32" s="1090">
        <v>8963673</v>
      </c>
      <c r="E32" s="1090">
        <v>11462136</v>
      </c>
      <c r="F32" s="1090">
        <v>12072143</v>
      </c>
      <c r="G32" s="965">
        <v>12433000</v>
      </c>
      <c r="H32" s="965">
        <v>18357000</v>
      </c>
      <c r="I32" s="965">
        <v>18479000</v>
      </c>
      <c r="J32" s="965">
        <v>19829000</v>
      </c>
      <c r="K32" s="965">
        <v>21568000</v>
      </c>
      <c r="L32" s="965">
        <v>22812751</v>
      </c>
      <c r="M32" s="965">
        <f t="shared" ref="M32:M38" si="13">SUM(H32:L32)</f>
        <v>101045751</v>
      </c>
      <c r="N32" s="992"/>
      <c r="O32" s="992">
        <f>L32/$L$31</f>
        <v>0.39876603002138095</v>
      </c>
      <c r="P32" s="965">
        <v>24048745</v>
      </c>
      <c r="Q32" s="965">
        <v>25053517</v>
      </c>
      <c r="R32" s="967">
        <v>27636696</v>
      </c>
      <c r="S32" s="967">
        <v>29135000</v>
      </c>
      <c r="T32" s="967">
        <v>28219000</v>
      </c>
      <c r="U32" s="967" t="e">
        <f>SUM(#REF!,T32)</f>
        <v>#REF!</v>
      </c>
      <c r="V32" s="967"/>
      <c r="W32" s="992" t="e">
        <f t="shared" si="5"/>
        <v>#REF!</v>
      </c>
      <c r="X32" s="992"/>
      <c r="Y32" s="968">
        <v>31486524.513443999</v>
      </c>
      <c r="Z32" s="968">
        <v>33516948.789955687</v>
      </c>
      <c r="AA32" s="968">
        <v>35695516.944354013</v>
      </c>
      <c r="AB32" s="968">
        <v>37942371.25841637</v>
      </c>
      <c r="AC32" s="968">
        <v>37942371.25841637</v>
      </c>
      <c r="AD32" s="968">
        <f t="shared" si="6"/>
        <v>176583732.76458645</v>
      </c>
      <c r="AE32" s="992"/>
      <c r="AF32" s="992"/>
      <c r="AG32" s="985" t="e">
        <f>AD32/U32-1</f>
        <v>#REF!</v>
      </c>
    </row>
    <row r="33" spans="1:33" x14ac:dyDescent="0.25">
      <c r="A33" s="257" t="s">
        <v>435</v>
      </c>
      <c r="B33" s="915" t="s">
        <v>1052</v>
      </c>
      <c r="C33" s="1090">
        <v>1949902</v>
      </c>
      <c r="D33" s="1090">
        <v>2645157</v>
      </c>
      <c r="E33" s="1090">
        <v>3949777</v>
      </c>
      <c r="F33" s="1090">
        <v>4993718</v>
      </c>
      <c r="G33" s="965">
        <v>5537000</v>
      </c>
      <c r="H33" s="965">
        <v>7684000</v>
      </c>
      <c r="I33" s="965">
        <v>7550000</v>
      </c>
      <c r="J33" s="965">
        <v>8222000</v>
      </c>
      <c r="K33" s="965">
        <v>9344000</v>
      </c>
      <c r="L33" s="965">
        <v>9956179</v>
      </c>
      <c r="M33" s="965">
        <f t="shared" si="13"/>
        <v>42756179</v>
      </c>
      <c r="N33" s="992"/>
      <c r="O33" s="992">
        <f>L33/$L$31</f>
        <v>0.17403363469895597</v>
      </c>
      <c r="P33" s="965">
        <v>10918344</v>
      </c>
      <c r="Q33" s="965">
        <v>12602909</v>
      </c>
      <c r="R33" s="967">
        <v>14241397</v>
      </c>
      <c r="S33" s="967">
        <v>15934000</v>
      </c>
      <c r="T33" s="967">
        <v>17300000</v>
      </c>
      <c r="U33" s="967" t="e">
        <f>SUM(#REF!,T33)</f>
        <v>#REF!</v>
      </c>
      <c r="V33" s="967"/>
      <c r="W33" s="992" t="e">
        <f t="shared" si="5"/>
        <v>#REF!</v>
      </c>
      <c r="X33" s="992"/>
      <c r="Y33" s="968">
        <v>19354560.143074997</v>
      </c>
      <c r="Z33" s="968">
        <v>21870181.051513352</v>
      </c>
      <c r="AA33" s="968">
        <v>24733621.047940463</v>
      </c>
      <c r="AB33" s="968">
        <v>27968987.070854526</v>
      </c>
      <c r="AC33" s="968">
        <v>27968987.070854526</v>
      </c>
      <c r="AD33" s="968">
        <f t="shared" si="6"/>
        <v>121896336.38423787</v>
      </c>
      <c r="AE33" s="992"/>
      <c r="AF33" s="992"/>
      <c r="AG33" s="985" t="e">
        <f>AD33/U33-1</f>
        <v>#REF!</v>
      </c>
    </row>
    <row r="34" spans="1:33" s="65" customFormat="1" hidden="1" x14ac:dyDescent="0.25">
      <c r="A34" s="1091"/>
      <c r="B34" s="916" t="s">
        <v>1050</v>
      </c>
      <c r="C34" s="713"/>
      <c r="D34" s="713"/>
      <c r="E34" s="713"/>
      <c r="F34" s="713"/>
      <c r="G34" s="1035">
        <v>4504000</v>
      </c>
      <c r="H34" s="1035">
        <v>6402000</v>
      </c>
      <c r="I34" s="1035">
        <v>5954000</v>
      </c>
      <c r="J34" s="1035">
        <v>6517000</v>
      </c>
      <c r="K34" s="1035">
        <v>7470000</v>
      </c>
      <c r="L34" s="1035">
        <v>7929072</v>
      </c>
      <c r="M34" s="1035">
        <f t="shared" si="13"/>
        <v>34272072</v>
      </c>
      <c r="N34" s="994"/>
      <c r="O34" s="994">
        <f>L34/$L$31</f>
        <v>0.13859988053144889</v>
      </c>
      <c r="P34" s="1035">
        <v>8682916</v>
      </c>
      <c r="Q34" s="1035">
        <v>9979782</v>
      </c>
      <c r="R34" s="1038">
        <v>11226790</v>
      </c>
      <c r="S34" s="1038">
        <v>11226790</v>
      </c>
      <c r="T34" s="1038">
        <v>12407642</v>
      </c>
      <c r="U34" s="1038" t="e">
        <f>SUM(#REF!,T34)</f>
        <v>#REF!</v>
      </c>
      <c r="V34" s="1038"/>
      <c r="W34" s="994" t="e">
        <f t="shared" si="5"/>
        <v>#REF!</v>
      </c>
      <c r="X34" s="994"/>
      <c r="Y34" s="969">
        <v>15294772.390274998</v>
      </c>
      <c r="Z34" s="969">
        <v>17183562.06968103</v>
      </c>
      <c r="AA34" s="969">
        <v>19323388.095313232</v>
      </c>
      <c r="AB34" s="969">
        <v>21779680.573048972</v>
      </c>
      <c r="AC34" s="969">
        <v>21779680.573048972</v>
      </c>
      <c r="AD34" s="969">
        <f t="shared" si="6"/>
        <v>95361083.701367199</v>
      </c>
      <c r="AE34" s="994"/>
      <c r="AF34" s="994"/>
      <c r="AG34" s="995"/>
    </row>
    <row r="35" spans="1:33" s="65" customFormat="1" hidden="1" x14ac:dyDescent="0.25">
      <c r="A35" s="1091"/>
      <c r="B35" s="916" t="s">
        <v>1364</v>
      </c>
      <c r="C35" s="713"/>
      <c r="D35" s="713"/>
      <c r="E35" s="713"/>
      <c r="F35" s="713"/>
      <c r="G35" s="1035">
        <v>1033000</v>
      </c>
      <c r="H35" s="1035">
        <v>1282000</v>
      </c>
      <c r="I35" s="1035">
        <v>1596000</v>
      </c>
      <c r="J35" s="1035">
        <v>1705000</v>
      </c>
      <c r="K35" s="1035">
        <v>1874000</v>
      </c>
      <c r="L35" s="1035">
        <v>2027108</v>
      </c>
      <c r="M35" s="1035">
        <f t="shared" si="13"/>
        <v>8484108</v>
      </c>
      <c r="N35" s="994"/>
      <c r="O35" s="994"/>
      <c r="P35" s="1035">
        <v>2235428</v>
      </c>
      <c r="Q35" s="1035">
        <v>2632127</v>
      </c>
      <c r="R35" s="1035">
        <v>3014608</v>
      </c>
      <c r="S35" s="1035">
        <v>3014608</v>
      </c>
      <c r="T35" s="1035">
        <v>3231658</v>
      </c>
      <c r="U35" s="1035" t="e">
        <f>SUM(#REF!,T35)</f>
        <v>#REF!</v>
      </c>
      <c r="V35" s="1035"/>
      <c r="W35" s="994" t="e">
        <f t="shared" si="5"/>
        <v>#REF!</v>
      </c>
      <c r="X35" s="994"/>
      <c r="Y35" s="969">
        <v>4059787.7528000004</v>
      </c>
      <c r="Z35" s="969">
        <v>4686618.9818323208</v>
      </c>
      <c r="AA35" s="969">
        <v>5410232.9526272314</v>
      </c>
      <c r="AB35" s="969">
        <v>6189306.4978055544</v>
      </c>
      <c r="AC35" s="969">
        <v>6189306.4978055544</v>
      </c>
      <c r="AD35" s="969">
        <f t="shared" si="6"/>
        <v>26535252.68287066</v>
      </c>
      <c r="AE35" s="994"/>
      <c r="AF35" s="994"/>
      <c r="AG35" s="995"/>
    </row>
    <row r="36" spans="1:33" s="65" customFormat="1" x14ac:dyDescent="0.25">
      <c r="A36" s="257" t="s">
        <v>436</v>
      </c>
      <c r="B36" s="915" t="s">
        <v>1053</v>
      </c>
      <c r="C36" s="1090">
        <v>3283269</v>
      </c>
      <c r="D36" s="1090">
        <v>4080032</v>
      </c>
      <c r="E36" s="1090">
        <v>5212162</v>
      </c>
      <c r="F36" s="1090">
        <v>6175192</v>
      </c>
      <c r="G36" s="965">
        <v>12318000</v>
      </c>
      <c r="H36" s="965">
        <v>15662000</v>
      </c>
      <c r="I36" s="965">
        <v>17997000</v>
      </c>
      <c r="J36" s="965">
        <v>20265000</v>
      </c>
      <c r="K36" s="965">
        <v>22560000</v>
      </c>
      <c r="L36" s="965">
        <v>24439431</v>
      </c>
      <c r="M36" s="965">
        <f t="shared" si="13"/>
        <v>100923431</v>
      </c>
      <c r="N36" s="992"/>
      <c r="O36" s="992">
        <f>L36/$L$31</f>
        <v>0.42720033527966306</v>
      </c>
      <c r="P36" s="965">
        <v>27253990</v>
      </c>
      <c r="Q36" s="965">
        <v>30632149</v>
      </c>
      <c r="R36" s="967">
        <v>33997786</v>
      </c>
      <c r="S36" s="967">
        <v>37214000</v>
      </c>
      <c r="T36" s="967">
        <v>41056000</v>
      </c>
      <c r="U36" s="967" t="e">
        <f>SUM(#REF!,T36)</f>
        <v>#REF!</v>
      </c>
      <c r="V36" s="967"/>
      <c r="W36" s="992" t="e">
        <f t="shared" si="5"/>
        <v>#REF!</v>
      </c>
      <c r="X36" s="992"/>
      <c r="Y36" s="969">
        <v>45472166.828947201</v>
      </c>
      <c r="Z36" s="969">
        <v>51150752.386760205</v>
      </c>
      <c r="AA36" s="969">
        <v>57584424.718697324</v>
      </c>
      <c r="AB36" s="969">
        <v>64879104.399336763</v>
      </c>
      <c r="AC36" s="969">
        <v>64879104.399336763</v>
      </c>
      <c r="AD36" s="969">
        <f t="shared" si="6"/>
        <v>283965552.73307824</v>
      </c>
      <c r="AE36" s="992"/>
      <c r="AF36" s="992"/>
      <c r="AG36" s="985" t="e">
        <f>AD36/U36-1</f>
        <v>#REF!</v>
      </c>
    </row>
    <row r="37" spans="1:33" s="65" customFormat="1" hidden="1" x14ac:dyDescent="0.25">
      <c r="A37" s="257"/>
      <c r="B37" s="915" t="s">
        <v>1365</v>
      </c>
      <c r="C37" s="1090"/>
      <c r="D37" s="1090"/>
      <c r="E37" s="1090"/>
      <c r="F37" s="1090"/>
      <c r="G37" s="965">
        <v>10250000</v>
      </c>
      <c r="H37" s="965">
        <v>13064000</v>
      </c>
      <c r="I37" s="965">
        <v>15397000</v>
      </c>
      <c r="J37" s="965">
        <v>17597000</v>
      </c>
      <c r="K37" s="965">
        <v>19550000</v>
      </c>
      <c r="L37" s="965">
        <v>21355327</v>
      </c>
      <c r="M37" s="965">
        <f t="shared" si="13"/>
        <v>86963327</v>
      </c>
      <c r="N37" s="992"/>
      <c r="O37" s="992"/>
      <c r="P37" s="965">
        <v>23812618</v>
      </c>
      <c r="Q37" s="965">
        <v>26587715</v>
      </c>
      <c r="R37" s="965">
        <v>29244625</v>
      </c>
      <c r="S37" s="965">
        <v>29244625</v>
      </c>
      <c r="T37" s="967">
        <v>31342234</v>
      </c>
      <c r="U37" s="967" t="e">
        <f>SUM(#REF!,T37)</f>
        <v>#REF!</v>
      </c>
      <c r="V37" s="965"/>
      <c r="W37" s="992" t="e">
        <f t="shared" si="5"/>
        <v>#REF!</v>
      </c>
      <c r="X37" s="992"/>
      <c r="Y37" s="969">
        <v>39218293.328947201</v>
      </c>
      <c r="Z37" s="969">
        <v>44131561.117197707</v>
      </c>
      <c r="AA37" s="969">
        <v>49706259.917522117</v>
      </c>
      <c r="AB37" s="969">
        <v>56036849.180617742</v>
      </c>
      <c r="AC37" s="969">
        <v>56036849.180617742</v>
      </c>
      <c r="AD37" s="969">
        <f t="shared" si="6"/>
        <v>245129812.72490251</v>
      </c>
      <c r="AE37" s="992"/>
      <c r="AF37" s="992"/>
      <c r="AG37" s="992"/>
    </row>
    <row r="38" spans="1:33" hidden="1" x14ac:dyDescent="0.25">
      <c r="A38" s="256"/>
      <c r="B38" s="915" t="s">
        <v>1366</v>
      </c>
      <c r="C38" s="478"/>
      <c r="D38" s="478"/>
      <c r="E38" s="478"/>
      <c r="F38" s="478"/>
      <c r="G38" s="1039">
        <v>2068000</v>
      </c>
      <c r="H38" s="1039">
        <v>2598000</v>
      </c>
      <c r="I38" s="1039">
        <v>2600000</v>
      </c>
      <c r="J38" s="1039">
        <v>2668000</v>
      </c>
      <c r="K38" s="1039">
        <v>3010000</v>
      </c>
      <c r="L38" s="1039">
        <v>3084104</v>
      </c>
      <c r="M38" s="1039">
        <f t="shared" si="13"/>
        <v>13960104</v>
      </c>
      <c r="N38" s="992"/>
      <c r="O38" s="992"/>
      <c r="P38" s="1039">
        <v>3441372</v>
      </c>
      <c r="Q38" s="1039">
        <v>4044434</v>
      </c>
      <c r="R38" s="1042">
        <v>4753161</v>
      </c>
      <c r="S38" s="1042">
        <v>4753161</v>
      </c>
      <c r="T38" s="1042">
        <v>5215166</v>
      </c>
      <c r="U38" s="1042" t="e">
        <f>SUM(#REF!,T38)</f>
        <v>#REF!</v>
      </c>
      <c r="V38" s="1042"/>
      <c r="W38" s="992" t="e">
        <f t="shared" si="5"/>
        <v>#REF!</v>
      </c>
      <c r="X38" s="992"/>
      <c r="Y38" s="1043">
        <v>6253873.4999999991</v>
      </c>
      <c r="Z38" s="1043">
        <v>7019191.2695624987</v>
      </c>
      <c r="AA38" s="1043">
        <v>7878164.8011752078</v>
      </c>
      <c r="AB38" s="1043">
        <v>8842255.2187190223</v>
      </c>
      <c r="AC38" s="1043">
        <v>8842255.2187190223</v>
      </c>
      <c r="AD38" s="1043">
        <f t="shared" si="6"/>
        <v>38835740.008175746</v>
      </c>
      <c r="AE38" s="992"/>
      <c r="AF38" s="992"/>
      <c r="AG38" s="992"/>
    </row>
    <row r="39" spans="1:33" ht="31.5" x14ac:dyDescent="0.25">
      <c r="A39" s="1085">
        <v>2</v>
      </c>
      <c r="B39" s="825" t="s">
        <v>862</v>
      </c>
      <c r="C39" s="1090"/>
      <c r="D39" s="1090"/>
      <c r="E39" s="1090"/>
      <c r="F39" s="1090"/>
      <c r="G39" s="219"/>
      <c r="H39" s="992">
        <f>H31/G31-1</f>
        <v>0.37692739459173907</v>
      </c>
      <c r="I39" s="992">
        <f>I31/H31-1</f>
        <v>5.5727405702227673E-2</v>
      </c>
      <c r="J39" s="992">
        <f>J31/I31-1</f>
        <v>9.7417493810616262E-2</v>
      </c>
      <c r="K39" s="992">
        <f>K31/J31-1</f>
        <v>0.10671413196456658</v>
      </c>
      <c r="L39" s="992">
        <f>L31/K31-1</f>
        <v>6.9875093506882147E-2</v>
      </c>
      <c r="M39" s="219"/>
      <c r="N39" s="992">
        <f>(H39*I39*J39*K39*L39)^(1/5)</f>
        <v>0.10881820651005422</v>
      </c>
      <c r="O39" s="992"/>
      <c r="P39" s="992">
        <f>P31/L31-1</f>
        <v>8.7622122227902999E-2</v>
      </c>
      <c r="Q39" s="992">
        <f>Q31/P31-1</f>
        <v>9.7515104165905031E-2</v>
      </c>
      <c r="R39" s="992">
        <f>R31/Q31-1</f>
        <v>0.11110652273980715</v>
      </c>
      <c r="S39" s="992">
        <f>S31/R31-1</f>
        <v>8.4442117837710828E-2</v>
      </c>
      <c r="T39" s="992">
        <f>T31/R31-1</f>
        <v>0.14100818336472676</v>
      </c>
      <c r="U39" s="992" t="e">
        <f>SUM(#REF!,T39)</f>
        <v>#REF!</v>
      </c>
      <c r="V39" s="992"/>
      <c r="W39" s="992" t="e">
        <f t="shared" si="5"/>
        <v>#REF!</v>
      </c>
      <c r="X39" s="992"/>
      <c r="Y39" s="996">
        <f>Y31/T31-1</f>
        <v>7.0000000000000062E-2</v>
      </c>
      <c r="Z39" s="996">
        <f>Z31/Y31-1</f>
        <v>7.0000000000000062E-2</v>
      </c>
      <c r="AA39" s="996">
        <f>AA31/Z31-1</f>
        <v>7.0000000000000062E-2</v>
      </c>
      <c r="AB39" s="996">
        <f>AB31/AA31-1</f>
        <v>7.0000000000000062E-2</v>
      </c>
      <c r="AC39" s="996">
        <f>AC31/AB31-1</f>
        <v>7.0000000000000062E-2</v>
      </c>
      <c r="AD39" s="996">
        <f t="shared" si="6"/>
        <v>0.35000000000000031</v>
      </c>
      <c r="AE39" s="992">
        <f>(Z39*AA39*AB39*AC39*Y39)^(1/5)</f>
        <v>7.0000000000000048E-2</v>
      </c>
      <c r="AF39" s="992"/>
      <c r="AG39" s="992"/>
    </row>
    <row r="40" spans="1:33" s="61" customFormat="1" x14ac:dyDescent="0.25">
      <c r="A40" s="1085">
        <v>3</v>
      </c>
      <c r="B40" s="1086" t="s">
        <v>1080</v>
      </c>
      <c r="C40" s="832">
        <f t="shared" ref="C40:H40" si="14">C7/C31</f>
        <v>0.12795410165097923</v>
      </c>
      <c r="D40" s="832">
        <f t="shared" si="14"/>
        <v>0.16213708807534927</v>
      </c>
      <c r="E40" s="832">
        <f t="shared" si="14"/>
        <v>0.12142265774343819</v>
      </c>
      <c r="F40" s="832">
        <f t="shared" si="14"/>
        <v>0.12636346554521433</v>
      </c>
      <c r="G40" s="985">
        <f t="shared" si="14"/>
        <v>0.13109611834324961</v>
      </c>
      <c r="H40" s="985">
        <f t="shared" si="14"/>
        <v>9.9664439487974474E-2</v>
      </c>
      <c r="I40" s="985">
        <f>I7/I31</f>
        <v>0.10263370758003042</v>
      </c>
      <c r="J40" s="985">
        <f>J7/J31</f>
        <v>9.4858485299631604E-2</v>
      </c>
      <c r="K40" s="985">
        <f>K7/K31</f>
        <v>7.6907869130460799E-2</v>
      </c>
      <c r="L40" s="985">
        <f>L7/L31</f>
        <v>9.0458053849855974E-2</v>
      </c>
      <c r="M40" s="985"/>
      <c r="N40" s="985">
        <f>(H40*I40*J40*K40*L40)^(1/5)</f>
        <v>9.2441054321229982E-2</v>
      </c>
      <c r="O40" s="985"/>
      <c r="P40" s="985">
        <f>P7/P31</f>
        <v>0.10181081880627625</v>
      </c>
      <c r="Q40" s="985">
        <f>Q7/Q31</f>
        <v>0.10033883560081369</v>
      </c>
      <c r="R40" s="985">
        <f>R7/R31</f>
        <v>9.204332127680101E-2</v>
      </c>
      <c r="S40" s="985">
        <f>S7/S31</f>
        <v>0.10659568805221005</v>
      </c>
      <c r="T40" s="985">
        <f>T7/T31</f>
        <v>9.298296274906151E-2</v>
      </c>
      <c r="U40" s="985"/>
      <c r="V40" s="985">
        <f>(P40*Q40*R40*T40*S40)^(1/5)</f>
        <v>9.8600622580066036E-2</v>
      </c>
      <c r="W40" s="985">
        <f t="shared" si="5"/>
        <v>0</v>
      </c>
      <c r="X40" s="985"/>
      <c r="Y40" s="985">
        <f>Y7/Y31</f>
        <v>8.7881233115903498E-2</v>
      </c>
      <c r="Z40" s="985">
        <f>Z7/Z31</f>
        <v>8.9356590428135554E-2</v>
      </c>
      <c r="AA40" s="985">
        <f>AA7/AA31</f>
        <v>9.0054415503142096E-2</v>
      </c>
      <c r="AB40" s="985">
        <f>AB7/AB31</f>
        <v>9.0419494898292291E-2</v>
      </c>
      <c r="AC40" s="985">
        <f>AC7/AC31</f>
        <v>9.1001989988963722E-2</v>
      </c>
      <c r="AD40" s="985">
        <f t="shared" si="6"/>
        <v>0.44871372393443709</v>
      </c>
      <c r="AE40" s="985"/>
      <c r="AF40" s="985"/>
      <c r="AG40" s="985"/>
    </row>
    <row r="41" spans="1:33" s="61" customFormat="1" x14ac:dyDescent="0.25">
      <c r="A41" s="1085">
        <v>4</v>
      </c>
      <c r="B41" s="1086" t="s">
        <v>1170</v>
      </c>
      <c r="C41" s="832"/>
      <c r="D41" s="832"/>
      <c r="E41" s="832"/>
      <c r="F41" s="832"/>
      <c r="G41" s="985"/>
      <c r="H41" s="985">
        <f>H7/G7</f>
        <v>1.046794510256291</v>
      </c>
      <c r="I41" s="985">
        <f>I7/H7</f>
        <v>1.0871803262801722</v>
      </c>
      <c r="J41" s="985">
        <f>J7/I7</f>
        <v>1.0142804314364227</v>
      </c>
      <c r="K41" s="985">
        <f>K7/J7</f>
        <v>0.89728425830443836</v>
      </c>
      <c r="L41" s="985">
        <f>L7/K7</f>
        <v>1.2583734267412459</v>
      </c>
      <c r="M41" s="985"/>
      <c r="N41" s="998">
        <f>(H41*I41*J41*K41*L41)^(1/5)-1</f>
        <v>5.441634872072143E-2</v>
      </c>
      <c r="O41" s="985"/>
      <c r="P41" s="985">
        <f>P7/L7</f>
        <v>1.2241220555069345</v>
      </c>
      <c r="Q41" s="985">
        <f>Q7/P7</f>
        <v>1.0816472050564037</v>
      </c>
      <c r="R41" s="985">
        <f>R7/Q7</f>
        <v>1.0192457788942084</v>
      </c>
      <c r="S41" s="985">
        <f>S7/R7</f>
        <v>1.2558961595494074</v>
      </c>
      <c r="T41" s="985">
        <f>T7/S7</f>
        <v>0.91779592619461403</v>
      </c>
      <c r="U41" s="985"/>
      <c r="V41" s="985">
        <f>(P41*Q41*R41*T41*S41)^(1/5)-1</f>
        <v>9.2390279519624974E-2</v>
      </c>
      <c r="W41" s="985">
        <f t="shared" si="5"/>
        <v>0</v>
      </c>
      <c r="X41" s="985"/>
      <c r="Y41" s="985">
        <f>Y7/T7</f>
        <v>1.0112919254658386</v>
      </c>
      <c r="Z41" s="985">
        <f>Z7/Y7</f>
        <v>1.0879632473068088</v>
      </c>
      <c r="AA41" s="985">
        <f>AA7/Z7</f>
        <v>1.0783561025177826</v>
      </c>
      <c r="AB41" s="985">
        <f>AB7/AA7</f>
        <v>1.0743377656789865</v>
      </c>
      <c r="AC41" s="985">
        <f>AC7/AB7</f>
        <v>1.0768930903420719</v>
      </c>
      <c r="AD41" s="985">
        <f t="shared" si="6"/>
        <v>5.3288421313114878</v>
      </c>
      <c r="AE41" s="998">
        <f>(Z41*AA41*AB41*AC41*Y41)^(1/5)-1</f>
        <v>6.5401440214975404E-2</v>
      </c>
      <c r="AF41" s="985"/>
      <c r="AG41" s="985">
        <f>+AE41-V41</f>
        <v>-2.698883930464957E-2</v>
      </c>
    </row>
    <row r="42" spans="1:33" s="61" customFormat="1" ht="31.5" x14ac:dyDescent="0.25">
      <c r="A42" s="1085">
        <v>5</v>
      </c>
      <c r="B42" s="825" t="s">
        <v>1171</v>
      </c>
      <c r="C42" s="832"/>
      <c r="D42" s="832"/>
      <c r="E42" s="832"/>
      <c r="F42" s="832"/>
      <c r="G42" s="985"/>
      <c r="H42" s="985">
        <f>H9/G9</f>
        <v>1.1107089890644151</v>
      </c>
      <c r="I42" s="985">
        <f>I9/H9</f>
        <v>1.0605983880860459</v>
      </c>
      <c r="J42" s="985">
        <f>J9/I9</f>
        <v>0.99666431137341549</v>
      </c>
      <c r="K42" s="985">
        <f>K9/J9</f>
        <v>0.91861127607160653</v>
      </c>
      <c r="L42" s="985">
        <f>L9/K9</f>
        <v>1.2729331771985084</v>
      </c>
      <c r="M42" s="985"/>
      <c r="N42" s="998">
        <f>(H42*I42*J42*K42*L42)^(1/5)-1</f>
        <v>6.5436343162004418E-2</v>
      </c>
      <c r="O42" s="985"/>
      <c r="P42" s="985">
        <f>P9/L9</f>
        <v>1.3321136571078873</v>
      </c>
      <c r="Q42" s="985">
        <f>Q9/P9</f>
        <v>1.0343939313663881</v>
      </c>
      <c r="R42" s="985">
        <f>R9/Q9</f>
        <v>1.0146586953378618</v>
      </c>
      <c r="S42" s="985">
        <f>S9/R9</f>
        <v>1.3113079909945025</v>
      </c>
      <c r="T42" s="985">
        <f>T9/S9</f>
        <v>0.87939961728086846</v>
      </c>
      <c r="U42" s="985"/>
      <c r="V42" s="985">
        <f>(P42*Q42*R42*T42*S42)^(1/5)-1</f>
        <v>0.10024053524440757</v>
      </c>
      <c r="W42" s="985">
        <f t="shared" si="5"/>
        <v>0</v>
      </c>
      <c r="X42" s="985"/>
      <c r="Y42" s="985">
        <f>Y9/T9</f>
        <v>1.0686922792759512</v>
      </c>
      <c r="Z42" s="985">
        <f>Z9/Y9</f>
        <v>1.1044089942791959</v>
      </c>
      <c r="AA42" s="985">
        <f>AA9/Z9</f>
        <v>1.098904538341158</v>
      </c>
      <c r="AB42" s="985">
        <f>AB9/AA9</f>
        <v>1.099401879806323</v>
      </c>
      <c r="AC42" s="985">
        <f>AC9/AB9</f>
        <v>1.1006476683937825</v>
      </c>
      <c r="AD42" s="985">
        <f t="shared" si="6"/>
        <v>5.4720553600964106</v>
      </c>
      <c r="AE42" s="998">
        <f>(Z42*AA42*AB42*AC42*Y42)^(1/5)-1</f>
        <v>9.4332943657184698E-2</v>
      </c>
      <c r="AF42" s="985"/>
      <c r="AG42" s="985"/>
    </row>
    <row r="43" spans="1:33" s="61" customFormat="1" x14ac:dyDescent="0.25">
      <c r="A43" s="1085">
        <v>6</v>
      </c>
      <c r="B43" s="552" t="s">
        <v>408</v>
      </c>
      <c r="C43" s="997">
        <f t="shared" ref="C43:L43" si="15">C7</f>
        <v>1553480</v>
      </c>
      <c r="D43" s="997">
        <f t="shared" si="15"/>
        <v>2543746.399896</v>
      </c>
      <c r="E43" s="997">
        <f t="shared" si="15"/>
        <v>2504230</v>
      </c>
      <c r="F43" s="997">
        <f t="shared" si="15"/>
        <v>2936820</v>
      </c>
      <c r="G43" s="997">
        <f t="shared" si="15"/>
        <v>3970508.1362620005</v>
      </c>
      <c r="H43" s="997">
        <f t="shared" si="15"/>
        <v>4156306.1199669996</v>
      </c>
      <c r="I43" s="997">
        <f t="shared" si="15"/>
        <v>4518654.2436259994</v>
      </c>
      <c r="J43" s="997">
        <f t="shared" si="15"/>
        <v>4583182.5757370004</v>
      </c>
      <c r="K43" s="997">
        <f t="shared" si="15"/>
        <v>4112417.5781439999</v>
      </c>
      <c r="L43" s="997">
        <f t="shared" si="15"/>
        <v>5174957</v>
      </c>
      <c r="M43" s="997">
        <f>SUM(H43:L43)</f>
        <v>22545517.517473999</v>
      </c>
      <c r="N43" s="985"/>
      <c r="O43" s="985"/>
      <c r="P43" s="225">
        <f>P7</f>
        <v>6334779</v>
      </c>
      <c r="Q43" s="225">
        <f>Q7</f>
        <v>6851996</v>
      </c>
      <c r="R43" s="225">
        <f>R7</f>
        <v>6983868</v>
      </c>
      <c r="S43" s="225">
        <f>S7</f>
        <v>8771013</v>
      </c>
      <c r="T43" s="225">
        <f>T7</f>
        <v>8050000</v>
      </c>
      <c r="U43" s="225"/>
      <c r="V43" s="225"/>
      <c r="W43" s="985">
        <f t="shared" si="5"/>
        <v>0</v>
      </c>
      <c r="X43" s="985"/>
      <c r="Y43" s="225">
        <f>Y7</f>
        <v>8140900</v>
      </c>
      <c r="Z43" s="225">
        <f>Z7</f>
        <v>8857000</v>
      </c>
      <c r="AA43" s="225">
        <f>AA7</f>
        <v>9551000</v>
      </c>
      <c r="AB43" s="225">
        <f>AB7</f>
        <v>10261000</v>
      </c>
      <c r="AC43" s="225">
        <f>AC7</f>
        <v>11050000</v>
      </c>
      <c r="AD43" s="225">
        <f t="shared" si="6"/>
        <v>47859900</v>
      </c>
      <c r="AE43" s="985"/>
      <c r="AF43" s="985"/>
      <c r="AG43" s="985"/>
    </row>
    <row r="44" spans="1:33" s="760" customFormat="1" x14ac:dyDescent="0.25">
      <c r="A44" s="1091" t="s">
        <v>564</v>
      </c>
      <c r="B44" s="1092" t="s">
        <v>1173</v>
      </c>
      <c r="C44" s="999"/>
      <c r="D44" s="999"/>
      <c r="E44" s="999"/>
      <c r="F44" s="999"/>
      <c r="G44" s="998"/>
      <c r="H44" s="998">
        <f>H43/G43</f>
        <v>1.046794510256291</v>
      </c>
      <c r="I44" s="998">
        <f>I43/H43</f>
        <v>1.0871803262801722</v>
      </c>
      <c r="J44" s="998">
        <f>J43/I43</f>
        <v>1.0142804314364227</v>
      </c>
      <c r="K44" s="998">
        <f>K43/J43</f>
        <v>0.89728425830443836</v>
      </c>
      <c r="L44" s="998">
        <f>L43/K43</f>
        <v>1.2583734267412459</v>
      </c>
      <c r="M44" s="998"/>
      <c r="N44" s="998">
        <f>(H44*I44*J44*K44*L44)^(1/5)-1</f>
        <v>5.441634872072143E-2</v>
      </c>
      <c r="O44" s="998"/>
      <c r="P44" s="998">
        <f>P43/L43</f>
        <v>1.2241220555069345</v>
      </c>
      <c r="Q44" s="998">
        <f>Q43/P43</f>
        <v>1.0816472050564037</v>
      </c>
      <c r="R44" s="998">
        <f>R43/Q43</f>
        <v>1.0192457788942084</v>
      </c>
      <c r="S44" s="998">
        <f>S43/R43</f>
        <v>1.2558961595494074</v>
      </c>
      <c r="T44" s="998">
        <f>T43/S43</f>
        <v>0.91779592619461403</v>
      </c>
      <c r="U44" s="998">
        <f>(P44*Q44*R44*S44)^(1/4)</f>
        <v>1.1410002834436419</v>
      </c>
      <c r="V44" s="998">
        <f>(P44*Q44*R44*T44*S44)^(1/5)-1</f>
        <v>9.2390279519624974E-2</v>
      </c>
      <c r="W44" s="998">
        <f t="shared" si="5"/>
        <v>3.0844801418018213E-8</v>
      </c>
      <c r="X44" s="998">
        <f>+T44-1</f>
        <v>-8.2204073805385969E-2</v>
      </c>
      <c r="Y44" s="998">
        <f>Y43/T43</f>
        <v>1.0112919254658386</v>
      </c>
      <c r="Z44" s="998">
        <f>Z43/Y43</f>
        <v>1.0879632473068088</v>
      </c>
      <c r="AA44" s="998">
        <f>AA43/Z43</f>
        <v>1.0783561025177826</v>
      </c>
      <c r="AB44" s="998">
        <f>AB43/AA43</f>
        <v>1.0743377656789865</v>
      </c>
      <c r="AC44" s="998">
        <f>AC43/AB43</f>
        <v>1.0768930903420719</v>
      </c>
      <c r="AD44" s="998">
        <f t="shared" si="6"/>
        <v>5.3288421313114878</v>
      </c>
      <c r="AE44" s="998">
        <f>(Z44*AA44*AB44*AC44*Y44)^(1/5)-1</f>
        <v>6.5401440214975404E-2</v>
      </c>
      <c r="AF44" s="998"/>
      <c r="AG44" s="985"/>
    </row>
    <row r="45" spans="1:33" s="61" customFormat="1" x14ac:dyDescent="0.25">
      <c r="A45" s="1085" t="s">
        <v>434</v>
      </c>
      <c r="B45" s="825" t="s">
        <v>410</v>
      </c>
      <c r="C45" s="225">
        <f t="shared" ref="C45:L45" si="16">C8</f>
        <v>1322540</v>
      </c>
      <c r="D45" s="225">
        <f t="shared" si="16"/>
        <v>2238026.399896</v>
      </c>
      <c r="E45" s="225">
        <f t="shared" si="16"/>
        <v>2175030</v>
      </c>
      <c r="F45" s="225">
        <f t="shared" si="16"/>
        <v>2627990</v>
      </c>
      <c r="G45" s="225">
        <f t="shared" si="16"/>
        <v>3663943.1287150006</v>
      </c>
      <c r="H45" s="225">
        <f t="shared" si="16"/>
        <v>3798739.5013269996</v>
      </c>
      <c r="I45" s="225">
        <f t="shared" si="16"/>
        <v>4099702.3977709995</v>
      </c>
      <c r="J45" s="225">
        <f t="shared" si="16"/>
        <v>4126341.428791</v>
      </c>
      <c r="K45" s="225">
        <f t="shared" si="16"/>
        <v>3972338.7808679999</v>
      </c>
      <c r="L45" s="225">
        <f t="shared" si="16"/>
        <v>4931116</v>
      </c>
      <c r="M45" s="225">
        <f>SUM(H45:L45)</f>
        <v>20928238.108756997</v>
      </c>
      <c r="N45" s="985"/>
      <c r="O45" s="985"/>
      <c r="P45" s="225">
        <f>P8</f>
        <v>6237814</v>
      </c>
      <c r="Q45" s="225">
        <f>Q8</f>
        <v>6744580</v>
      </c>
      <c r="R45" s="225">
        <f>R8</f>
        <v>6909606</v>
      </c>
      <c r="S45" s="225">
        <f>S8</f>
        <v>8644723</v>
      </c>
      <c r="T45" s="225">
        <f>T8</f>
        <v>7964000</v>
      </c>
      <c r="U45" s="225" t="e">
        <f>SUM(#REF!,T45)</f>
        <v>#REF!</v>
      </c>
      <c r="V45" s="225"/>
      <c r="W45" s="985" t="e">
        <f t="shared" si="5"/>
        <v>#REF!</v>
      </c>
      <c r="X45" s="985"/>
      <c r="Y45" s="225">
        <f>Y8</f>
        <v>8035900</v>
      </c>
      <c r="Z45" s="225">
        <f>Z8</f>
        <v>8740000</v>
      </c>
      <c r="AA45" s="225">
        <f>AA8</f>
        <v>9422000</v>
      </c>
      <c r="AB45" s="225">
        <f>AB8</f>
        <v>10120000</v>
      </c>
      <c r="AC45" s="225">
        <f>AC8</f>
        <v>10897000</v>
      </c>
      <c r="AD45" s="225">
        <f t="shared" si="6"/>
        <v>47214900</v>
      </c>
      <c r="AE45" s="985"/>
      <c r="AF45" s="985"/>
      <c r="AG45" s="985"/>
    </row>
    <row r="46" spans="1:33" s="760" customFormat="1" x14ac:dyDescent="0.25">
      <c r="A46" s="1091" t="s">
        <v>564</v>
      </c>
      <c r="B46" s="1092" t="s">
        <v>1173</v>
      </c>
      <c r="C46" s="999"/>
      <c r="D46" s="999"/>
      <c r="E46" s="999"/>
      <c r="F46" s="999"/>
      <c r="G46" s="998"/>
      <c r="H46" s="998">
        <f>H45/G45</f>
        <v>1.0367899740461513</v>
      </c>
      <c r="I46" s="998">
        <f>I45/H45</f>
        <v>1.0792270426384503</v>
      </c>
      <c r="J46" s="998">
        <f>J45/I45</f>
        <v>1.0064977962874779</v>
      </c>
      <c r="K46" s="998">
        <f>K45/J45</f>
        <v>0.96267816161588882</v>
      </c>
      <c r="L46" s="998">
        <f>L45/K45</f>
        <v>1.2413634063010348</v>
      </c>
      <c r="M46" s="998"/>
      <c r="N46" s="998">
        <f>(H46*I46*J46*K46*L46)^(1/5)-1</f>
        <v>6.1205028008409545E-2</v>
      </c>
      <c r="O46" s="998"/>
      <c r="P46" s="998">
        <f>P45/L45</f>
        <v>1.2649903186215858</v>
      </c>
      <c r="Q46" s="998">
        <f>Q45/P45</f>
        <v>1.0812409603749005</v>
      </c>
      <c r="R46" s="998">
        <f>R45/Q45</f>
        <v>1.0244679431484243</v>
      </c>
      <c r="S46" s="998">
        <f>S45/R45</f>
        <v>1.2511166338572706</v>
      </c>
      <c r="T46" s="998">
        <f>T45/S45</f>
        <v>0.92125566082337162</v>
      </c>
      <c r="U46" s="998"/>
      <c r="V46" s="998">
        <f>(P46*Q46*R46*T46*S46)^(1/5)-1</f>
        <v>0.10061950861144742</v>
      </c>
      <c r="W46" s="998">
        <f t="shared" si="5"/>
        <v>0</v>
      </c>
      <c r="X46" s="998"/>
      <c r="Y46" s="998">
        <f>Y45/T45</f>
        <v>1.0090281265695631</v>
      </c>
      <c r="Z46" s="998">
        <f>Z45/Y45</f>
        <v>1.0876193083537624</v>
      </c>
      <c r="AA46" s="998">
        <f>AA45/Z45</f>
        <v>1.0780320366132723</v>
      </c>
      <c r="AB46" s="998">
        <f>AB45/AA45</f>
        <v>1.0740819358947145</v>
      </c>
      <c r="AC46" s="998">
        <f>AC45/AB45</f>
        <v>1.0767786561264823</v>
      </c>
      <c r="AD46" s="998">
        <f t="shared" si="6"/>
        <v>5.3255400635577947</v>
      </c>
      <c r="AE46" s="998">
        <f>(Z46*AA46*AB46*AC46*Y46)^(1/5)-1</f>
        <v>6.4719332806619567E-2</v>
      </c>
      <c r="AF46" s="998"/>
      <c r="AG46" s="985"/>
    </row>
    <row r="47" spans="1:33" s="760" customFormat="1" x14ac:dyDescent="0.25">
      <c r="A47" s="1091" t="s">
        <v>564</v>
      </c>
      <c r="B47" s="1092" t="s">
        <v>1178</v>
      </c>
      <c r="C47" s="999">
        <f t="shared" ref="C47:L47" si="17">C45/C43</f>
        <v>0.85134021680356364</v>
      </c>
      <c r="D47" s="999">
        <f t="shared" si="17"/>
        <v>0.87981506332058135</v>
      </c>
      <c r="E47" s="999">
        <f t="shared" si="17"/>
        <v>0.86854242621484445</v>
      </c>
      <c r="F47" s="999">
        <f t="shared" si="17"/>
        <v>0.89484204002969203</v>
      </c>
      <c r="G47" s="998">
        <f t="shared" si="17"/>
        <v>0.92278947756152618</v>
      </c>
      <c r="H47" s="998">
        <f t="shared" si="17"/>
        <v>0.91397009548400665</v>
      </c>
      <c r="I47" s="998">
        <f t="shared" si="17"/>
        <v>0.90728393382919881</v>
      </c>
      <c r="J47" s="998">
        <f t="shared" si="17"/>
        <v>0.90032228928332891</v>
      </c>
      <c r="K47" s="998">
        <f t="shared" si="17"/>
        <v>0.96593760370530757</v>
      </c>
      <c r="L47" s="998">
        <f t="shared" si="17"/>
        <v>0.95288057465984743</v>
      </c>
      <c r="M47" s="998"/>
      <c r="N47" s="998">
        <f>M45/M43</f>
        <v>0.92826603303900546</v>
      </c>
      <c r="O47" s="998"/>
      <c r="P47" s="998">
        <f>P45/P43</f>
        <v>0.98469323081357696</v>
      </c>
      <c r="Q47" s="998">
        <f>Q45/Q43</f>
        <v>0.98432340007203745</v>
      </c>
      <c r="R47" s="998">
        <f>R45/R43</f>
        <v>0.98936663751376741</v>
      </c>
      <c r="S47" s="998">
        <f>S45/S43</f>
        <v>0.98560143509079279</v>
      </c>
      <c r="T47" s="998">
        <f>T45/T43</f>
        <v>0.98931677018633546</v>
      </c>
      <c r="U47" s="998"/>
      <c r="V47" s="998"/>
      <c r="W47" s="998">
        <f t="shared" si="5"/>
        <v>0</v>
      </c>
      <c r="X47" s="998"/>
      <c r="Y47" s="998">
        <f>Y45/Y43</f>
        <v>0.98710216315149435</v>
      </c>
      <c r="Z47" s="998">
        <f>Z45/Z43</f>
        <v>0.98679010951789548</v>
      </c>
      <c r="AA47" s="998">
        <f>AA45/AA43</f>
        <v>0.98649356088367712</v>
      </c>
      <c r="AB47" s="998">
        <f>AB45/AB43</f>
        <v>0.98625864925445861</v>
      </c>
      <c r="AC47" s="998">
        <f>AC45/AC43</f>
        <v>0.98615384615384616</v>
      </c>
      <c r="AD47" s="998">
        <f t="shared" si="6"/>
        <v>4.9327983289613719</v>
      </c>
      <c r="AE47" s="998"/>
      <c r="AF47" s="998"/>
      <c r="AG47" s="998"/>
    </row>
    <row r="48" spans="1:33" s="61" customFormat="1" x14ac:dyDescent="0.25">
      <c r="A48" s="1085"/>
      <c r="B48" s="26" t="s">
        <v>979</v>
      </c>
      <c r="C48" s="225">
        <f t="shared" ref="C48:L48" si="18">C9</f>
        <v>781630</v>
      </c>
      <c r="D48" s="225">
        <f t="shared" si="18"/>
        <v>1012420</v>
      </c>
      <c r="E48" s="225">
        <f t="shared" si="18"/>
        <v>1278230</v>
      </c>
      <c r="F48" s="225">
        <f t="shared" si="18"/>
        <v>1827240</v>
      </c>
      <c r="G48" s="225">
        <f t="shared" si="18"/>
        <v>2445921.4765880005</v>
      </c>
      <c r="H48" s="225">
        <f t="shared" si="18"/>
        <v>2716706.9705919996</v>
      </c>
      <c r="I48" s="225">
        <f t="shared" si="18"/>
        <v>2881335.0339119998</v>
      </c>
      <c r="J48" s="225">
        <f t="shared" si="18"/>
        <v>2871723.7974100001</v>
      </c>
      <c r="K48" s="225">
        <f t="shared" si="18"/>
        <v>2637997.8620639998</v>
      </c>
      <c r="L48" s="225">
        <f t="shared" si="18"/>
        <v>3357995</v>
      </c>
      <c r="M48" s="225">
        <f>SUM(H48:L48)</f>
        <v>14465758.663977999</v>
      </c>
      <c r="N48" s="985"/>
      <c r="O48" s="985"/>
      <c r="P48" s="225">
        <f>P9</f>
        <v>4473231</v>
      </c>
      <c r="Q48" s="225">
        <f>Q9</f>
        <v>4627083</v>
      </c>
      <c r="R48" s="225">
        <f>R9</f>
        <v>4694910</v>
      </c>
      <c r="S48" s="225">
        <f>S9</f>
        <v>6156473</v>
      </c>
      <c r="T48" s="225">
        <f>T9</f>
        <v>5414000</v>
      </c>
      <c r="U48" s="225" t="e">
        <f>SUM(#REF!,T48)</f>
        <v>#REF!</v>
      </c>
      <c r="V48" s="225"/>
      <c r="W48" s="985" t="e">
        <f t="shared" si="5"/>
        <v>#REF!</v>
      </c>
      <c r="X48" s="985"/>
      <c r="Y48" s="225">
        <f>Y9</f>
        <v>5785900</v>
      </c>
      <c r="Z48" s="225">
        <f>Z9</f>
        <v>6390000</v>
      </c>
      <c r="AA48" s="225">
        <f>AA9</f>
        <v>7022000</v>
      </c>
      <c r="AB48" s="225">
        <f>AB9</f>
        <v>7720000</v>
      </c>
      <c r="AC48" s="225">
        <f>AC9</f>
        <v>8497000</v>
      </c>
      <c r="AD48" s="225">
        <f t="shared" si="6"/>
        <v>35414900</v>
      </c>
      <c r="AE48" s="985"/>
      <c r="AF48" s="985"/>
      <c r="AG48" s="985"/>
    </row>
    <row r="49" spans="1:33" s="760" customFormat="1" x14ac:dyDescent="0.25">
      <c r="A49" s="1091" t="s">
        <v>564</v>
      </c>
      <c r="B49" s="1092" t="s">
        <v>1173</v>
      </c>
      <c r="C49" s="999"/>
      <c r="D49" s="999"/>
      <c r="E49" s="999"/>
      <c r="F49" s="999"/>
      <c r="G49" s="998"/>
      <c r="H49" s="998">
        <f>H48/G48</f>
        <v>1.1107089890644151</v>
      </c>
      <c r="I49" s="998">
        <f>I48/H48</f>
        <v>1.0605983880860459</v>
      </c>
      <c r="J49" s="998">
        <f>J48/I48</f>
        <v>0.99666431137341549</v>
      </c>
      <c r="K49" s="998">
        <f>K48/J48</f>
        <v>0.91861127607160653</v>
      </c>
      <c r="L49" s="998">
        <f>L48/K48</f>
        <v>1.2729331771985084</v>
      </c>
      <c r="M49" s="998"/>
      <c r="N49" s="998">
        <f>(H49*I49*J49*K49*L49)^(1/5)-1</f>
        <v>6.5436343162004418E-2</v>
      </c>
      <c r="O49" s="998"/>
      <c r="P49" s="998">
        <f>P48/L48</f>
        <v>1.3321136571078873</v>
      </c>
      <c r="Q49" s="998">
        <f>Q48/P48</f>
        <v>1.0343939313663881</v>
      </c>
      <c r="R49" s="998">
        <f>R48/Q48</f>
        <v>1.0146586953378618</v>
      </c>
      <c r="S49" s="998">
        <f>S48/R48</f>
        <v>1.3113079909945025</v>
      </c>
      <c r="T49" s="998">
        <f>T48/S48</f>
        <v>0.87939961728086846</v>
      </c>
      <c r="U49" s="998"/>
      <c r="V49" s="998">
        <f>(P49*Q49*R49*T49*S49)^(1/5)-1</f>
        <v>0.10024053524440757</v>
      </c>
      <c r="W49" s="998">
        <f t="shared" si="5"/>
        <v>0</v>
      </c>
      <c r="X49" s="998"/>
      <c r="Y49" s="998">
        <f>Y48/T48</f>
        <v>1.0686922792759512</v>
      </c>
      <c r="Z49" s="998">
        <f>Z48/Y48</f>
        <v>1.1044089942791959</v>
      </c>
      <c r="AA49" s="998">
        <f>AA48/Z48</f>
        <v>1.098904538341158</v>
      </c>
      <c r="AB49" s="998">
        <f>AB48/AA48</f>
        <v>1.099401879806323</v>
      </c>
      <c r="AC49" s="998">
        <f>AC48/AB48</f>
        <v>1.1006476683937825</v>
      </c>
      <c r="AD49" s="998">
        <f t="shared" si="6"/>
        <v>5.4720553600964106</v>
      </c>
      <c r="AE49" s="998">
        <f>(Z49*AA49*AB49*AC49*Y49)^(1/5)-1</f>
        <v>9.4332943657184698E-2</v>
      </c>
      <c r="AF49" s="998"/>
      <c r="AG49" s="985"/>
    </row>
    <row r="50" spans="1:33" s="760" customFormat="1" x14ac:dyDescent="0.25">
      <c r="A50" s="1091" t="s">
        <v>564</v>
      </c>
      <c r="B50" s="1092" t="s">
        <v>1178</v>
      </c>
      <c r="C50" s="999"/>
      <c r="D50" s="999"/>
      <c r="E50" s="999"/>
      <c r="F50" s="999"/>
      <c r="G50" s="998"/>
      <c r="H50" s="998">
        <f t="shared" ref="H50:M50" si="19">H48/H43</f>
        <v>0.6536349566604035</v>
      </c>
      <c r="I50" s="998">
        <f t="shared" si="19"/>
        <v>0.63765335397732692</v>
      </c>
      <c r="J50" s="998">
        <f t="shared" si="19"/>
        <v>0.62657852921083146</v>
      </c>
      <c r="K50" s="998">
        <f t="shared" si="19"/>
        <v>0.64147130293479837</v>
      </c>
      <c r="L50" s="998">
        <f t="shared" si="19"/>
        <v>0.64889331447584975</v>
      </c>
      <c r="M50" s="998">
        <f t="shared" si="19"/>
        <v>0.64162460022335932</v>
      </c>
      <c r="N50" s="998"/>
      <c r="O50" s="998"/>
      <c r="P50" s="998">
        <f>P48/P43</f>
        <v>0.70613844618730981</v>
      </c>
      <c r="Q50" s="998">
        <f>Q48/Q43</f>
        <v>0.67528979876812534</v>
      </c>
      <c r="R50" s="998">
        <f>R48/R43</f>
        <v>0.67225067827742446</v>
      </c>
      <c r="S50" s="998">
        <f>S48/S43</f>
        <v>0.70191128436361916</v>
      </c>
      <c r="T50" s="998">
        <f>T48/T43</f>
        <v>0.67254658385093169</v>
      </c>
      <c r="U50" s="998" t="e">
        <f>U48/$U$43</f>
        <v>#REF!</v>
      </c>
      <c r="V50" s="998"/>
      <c r="W50" s="998" t="e">
        <f t="shared" si="5"/>
        <v>#REF!</v>
      </c>
      <c r="X50" s="998"/>
      <c r="Y50" s="998">
        <f>Y48/Y43</f>
        <v>0.71071994496922941</v>
      </c>
      <c r="Z50" s="998">
        <f>Z48/Z43</f>
        <v>0.72146324940724849</v>
      </c>
      <c r="AA50" s="998">
        <f>AA48/AA43</f>
        <v>0.73521097267301849</v>
      </c>
      <c r="AB50" s="998">
        <f>AB48/AB43</f>
        <v>0.75236331741545659</v>
      </c>
      <c r="AC50" s="998">
        <f>AC48/AC43</f>
        <v>0.76895927601809955</v>
      </c>
      <c r="AD50" s="998">
        <f t="shared" si="6"/>
        <v>3.6887167604830524</v>
      </c>
      <c r="AE50" s="998"/>
      <c r="AF50" s="998"/>
      <c r="AG50" s="998"/>
    </row>
    <row r="51" spans="1:33" s="61" customFormat="1" x14ac:dyDescent="0.25">
      <c r="A51" s="1085" t="s">
        <v>435</v>
      </c>
      <c r="B51" s="825" t="s">
        <v>1179</v>
      </c>
      <c r="C51" s="225">
        <f t="shared" ref="C51:L51" si="20">C28</f>
        <v>230940</v>
      </c>
      <c r="D51" s="225">
        <f t="shared" si="20"/>
        <v>305720</v>
      </c>
      <c r="E51" s="225">
        <f t="shared" si="20"/>
        <v>329200</v>
      </c>
      <c r="F51" s="225">
        <f t="shared" si="20"/>
        <v>308830</v>
      </c>
      <c r="G51" s="225">
        <f t="shared" si="20"/>
        <v>306565.00754700002</v>
      </c>
      <c r="H51" s="225">
        <f t="shared" si="20"/>
        <v>357566.61864</v>
      </c>
      <c r="I51" s="225">
        <f t="shared" si="20"/>
        <v>418951.84585500002</v>
      </c>
      <c r="J51" s="225">
        <f t="shared" si="20"/>
        <v>456841.14694599999</v>
      </c>
      <c r="K51" s="225">
        <f t="shared" si="20"/>
        <v>140078.797276</v>
      </c>
      <c r="L51" s="225">
        <f t="shared" si="20"/>
        <v>243841</v>
      </c>
      <c r="M51" s="225">
        <f>SUM(H51:L51)</f>
        <v>1617279.4087169999</v>
      </c>
      <c r="N51" s="985"/>
      <c r="O51" s="985"/>
      <c r="P51" s="225">
        <f>P28</f>
        <v>96965</v>
      </c>
      <c r="Q51" s="225">
        <f>Q28</f>
        <v>107416</v>
      </c>
      <c r="R51" s="225">
        <f>R28</f>
        <v>74262</v>
      </c>
      <c r="S51" s="225">
        <f>S28</f>
        <v>126290</v>
      </c>
      <c r="T51" s="225">
        <f>T28</f>
        <v>86000</v>
      </c>
      <c r="U51" s="225" t="e">
        <f>SUM(#REF!,T51)</f>
        <v>#REF!</v>
      </c>
      <c r="V51" s="225"/>
      <c r="W51" s="985" t="e">
        <f t="shared" si="5"/>
        <v>#REF!</v>
      </c>
      <c r="X51" s="985"/>
      <c r="Y51" s="225">
        <f>Y28</f>
        <v>105000</v>
      </c>
      <c r="Z51" s="225">
        <f>Z28</f>
        <v>117000</v>
      </c>
      <c r="AA51" s="225">
        <f>AA28</f>
        <v>129000</v>
      </c>
      <c r="AB51" s="225">
        <f>AB28</f>
        <v>141000</v>
      </c>
      <c r="AC51" s="225">
        <f>AC28</f>
        <v>153000</v>
      </c>
      <c r="AD51" s="225">
        <f t="shared" si="6"/>
        <v>645000</v>
      </c>
      <c r="AE51" s="985"/>
      <c r="AF51" s="985"/>
      <c r="AG51" s="985"/>
    </row>
    <row r="52" spans="1:33" s="760" customFormat="1" x14ac:dyDescent="0.25">
      <c r="A52" s="1091" t="s">
        <v>564</v>
      </c>
      <c r="B52" s="1092" t="s">
        <v>1173</v>
      </c>
      <c r="C52" s="999"/>
      <c r="D52" s="999"/>
      <c r="E52" s="999"/>
      <c r="F52" s="999"/>
      <c r="G52" s="998"/>
      <c r="H52" s="998">
        <f>H51/G51</f>
        <v>1.1663647508275414</v>
      </c>
      <c r="I52" s="998">
        <f>I51/H51</f>
        <v>1.1716749383610749</v>
      </c>
      <c r="J52" s="998">
        <f>J51/I51</f>
        <v>1.0904383199784577</v>
      </c>
      <c r="K52" s="998">
        <f>K51/J51</f>
        <v>0.30662473862617662</v>
      </c>
      <c r="L52" s="998">
        <f>L51/K51</f>
        <v>1.7407416735564576</v>
      </c>
      <c r="M52" s="998"/>
      <c r="N52" s="998">
        <f>(H52*I52*J52*K52*L52)^(1/5)-1</f>
        <v>-4.4750476186834587E-2</v>
      </c>
      <c r="O52" s="998"/>
      <c r="P52" s="998">
        <f>P51/L51</f>
        <v>0.39765666971510122</v>
      </c>
      <c r="Q52" s="998">
        <f>Q51/P51</f>
        <v>1.1077811581498478</v>
      </c>
      <c r="R52" s="998">
        <f>R51/Q51</f>
        <v>0.69134951962463698</v>
      </c>
      <c r="S52" s="998">
        <f>S51/R51</f>
        <v>1.7006005763378309</v>
      </c>
      <c r="T52" s="998">
        <f>T51/S51</f>
        <v>0.6809723651912265</v>
      </c>
      <c r="U52" s="998"/>
      <c r="V52" s="998">
        <f>(P52*Q52*R52*T52*S52)^(1/5)-1</f>
        <v>-0.18814523483912449</v>
      </c>
      <c r="W52" s="998">
        <f t="shared" si="5"/>
        <v>0</v>
      </c>
      <c r="X52" s="998"/>
      <c r="Y52" s="998">
        <f>Y51/T51</f>
        <v>1.2209302325581395</v>
      </c>
      <c r="Z52" s="998">
        <f>Z51/Y51</f>
        <v>1.1142857142857143</v>
      </c>
      <c r="AA52" s="998">
        <f>AA51/Z51</f>
        <v>1.1025641025641026</v>
      </c>
      <c r="AB52" s="998">
        <f>AB51/AA51</f>
        <v>1.0930232558139534</v>
      </c>
      <c r="AC52" s="998">
        <f>AC51/AB51</f>
        <v>1.0851063829787233</v>
      </c>
      <c r="AD52" s="998">
        <f t="shared" si="6"/>
        <v>5.6159096882006327</v>
      </c>
      <c r="AE52" s="998">
        <f>(Z52*AA52*AB52*AC52*Y52)^(1/5)-1</f>
        <v>0.12211817293716432</v>
      </c>
      <c r="AF52" s="998"/>
      <c r="AG52" s="985"/>
    </row>
    <row r="53" spans="1:33" s="760" customFormat="1" x14ac:dyDescent="0.25">
      <c r="A53" s="1091" t="s">
        <v>564</v>
      </c>
      <c r="B53" s="1092" t="s">
        <v>1178</v>
      </c>
      <c r="C53" s="999">
        <f t="shared" ref="C53:M53" si="21">C51/C43</f>
        <v>0.14865978319643638</v>
      </c>
      <c r="D53" s="999">
        <f t="shared" si="21"/>
        <v>0.12018493667941868</v>
      </c>
      <c r="E53" s="999">
        <f t="shared" si="21"/>
        <v>0.13145757378515552</v>
      </c>
      <c r="F53" s="999">
        <f t="shared" si="21"/>
        <v>0.10515795997030802</v>
      </c>
      <c r="G53" s="998">
        <f t="shared" si="21"/>
        <v>7.7210522438473803E-2</v>
      </c>
      <c r="H53" s="998">
        <f t="shared" si="21"/>
        <v>8.6029904515993405E-2</v>
      </c>
      <c r="I53" s="998">
        <f t="shared" si="21"/>
        <v>9.2716066170801248E-2</v>
      </c>
      <c r="J53" s="998">
        <f t="shared" si="21"/>
        <v>9.9677710716671045E-2</v>
      </c>
      <c r="K53" s="998">
        <f t="shared" si="21"/>
        <v>3.4062396294692383E-2</v>
      </c>
      <c r="L53" s="998">
        <f t="shared" si="21"/>
        <v>4.7119425340152586E-2</v>
      </c>
      <c r="M53" s="998">
        <f t="shared" si="21"/>
        <v>7.1733966960994378E-2</v>
      </c>
      <c r="N53" s="998"/>
      <c r="O53" s="998"/>
      <c r="P53" s="998">
        <f>P51/P43</f>
        <v>1.5306769186423078E-2</v>
      </c>
      <c r="Q53" s="998">
        <f>Q51/Q43</f>
        <v>1.5676599927962595E-2</v>
      </c>
      <c r="R53" s="998">
        <f>R51/R43</f>
        <v>1.0633362486232558E-2</v>
      </c>
      <c r="S53" s="998">
        <f>S51/S43</f>
        <v>1.4398564909207181E-2</v>
      </c>
      <c r="T53" s="998">
        <f>T51/T43</f>
        <v>1.0683229813664596E-2</v>
      </c>
      <c r="U53" s="998" t="e">
        <f>U51/$U$43</f>
        <v>#REF!</v>
      </c>
      <c r="V53" s="998"/>
      <c r="W53" s="998" t="e">
        <f t="shared" si="5"/>
        <v>#REF!</v>
      </c>
      <c r="X53" s="998"/>
      <c r="Y53" s="998">
        <f>Y51/Y43</f>
        <v>1.2897836848505694E-2</v>
      </c>
      <c r="Z53" s="998">
        <f>Z51/Z43</f>
        <v>1.3209890482104551E-2</v>
      </c>
      <c r="AA53" s="998">
        <f>AA51/AA43</f>
        <v>1.3506439116322898E-2</v>
      </c>
      <c r="AB53" s="998">
        <f>AB51/AB43</f>
        <v>1.3741350745541371E-2</v>
      </c>
      <c r="AC53" s="998">
        <f>AC51/AC43</f>
        <v>1.3846153846153847E-2</v>
      </c>
      <c r="AD53" s="998">
        <f t="shared" si="6"/>
        <v>6.7201671038628355E-2</v>
      </c>
      <c r="AE53" s="998"/>
      <c r="AF53" s="998"/>
      <c r="AG53" s="998"/>
    </row>
    <row r="54" spans="1:33" s="61" customFormat="1" x14ac:dyDescent="0.25">
      <c r="A54" s="1085" t="s">
        <v>436</v>
      </c>
      <c r="B54" s="825" t="s">
        <v>1096</v>
      </c>
      <c r="C54" s="225">
        <f t="shared" ref="C54:L54" si="22">C29</f>
        <v>0</v>
      </c>
      <c r="D54" s="225">
        <f t="shared" si="22"/>
        <v>0</v>
      </c>
      <c r="E54" s="225">
        <f t="shared" si="22"/>
        <v>0</v>
      </c>
      <c r="F54" s="225">
        <f t="shared" si="22"/>
        <v>0</v>
      </c>
      <c r="G54" s="225">
        <f t="shared" si="22"/>
        <v>0</v>
      </c>
      <c r="H54" s="225">
        <f t="shared" si="22"/>
        <v>0</v>
      </c>
      <c r="I54" s="225">
        <f t="shared" si="22"/>
        <v>0</v>
      </c>
      <c r="J54" s="225">
        <f t="shared" si="22"/>
        <v>0</v>
      </c>
      <c r="K54" s="225">
        <f t="shared" si="22"/>
        <v>0</v>
      </c>
      <c r="L54" s="225">
        <f t="shared" si="22"/>
        <v>0</v>
      </c>
      <c r="M54" s="225">
        <f>SUM(H54:L54)</f>
        <v>0</v>
      </c>
      <c r="N54" s="985"/>
      <c r="O54" s="985"/>
      <c r="P54" s="225"/>
      <c r="Q54" s="225"/>
      <c r="R54" s="225"/>
      <c r="S54" s="225"/>
      <c r="T54" s="225"/>
      <c r="U54" s="225" t="e">
        <f>SUM(#REF!,T54)</f>
        <v>#REF!</v>
      </c>
      <c r="V54" s="225"/>
      <c r="W54" s="985" t="e">
        <f t="shared" si="5"/>
        <v>#REF!</v>
      </c>
      <c r="X54" s="985"/>
      <c r="Y54" s="225"/>
      <c r="Z54" s="225"/>
      <c r="AA54" s="225"/>
      <c r="AB54" s="225"/>
      <c r="AC54" s="225"/>
      <c r="AD54" s="225">
        <f t="shared" si="6"/>
        <v>0</v>
      </c>
      <c r="AE54" s="985"/>
      <c r="AF54" s="985"/>
      <c r="AG54" s="985"/>
    </row>
    <row r="55" spans="1:33" s="760" customFormat="1" x14ac:dyDescent="0.25">
      <c r="A55" s="1091" t="s">
        <v>564</v>
      </c>
      <c r="B55" s="1092" t="s">
        <v>1173</v>
      </c>
      <c r="C55" s="999"/>
      <c r="D55" s="999"/>
      <c r="E55" s="999"/>
      <c r="F55" s="999"/>
      <c r="G55" s="999"/>
      <c r="H55" s="999"/>
      <c r="I55" s="999"/>
      <c r="J55" s="999"/>
      <c r="K55" s="999"/>
      <c r="L55" s="999"/>
      <c r="M55" s="999"/>
      <c r="N55" s="998"/>
      <c r="O55" s="998"/>
      <c r="P55" s="999"/>
      <c r="Q55" s="999"/>
      <c r="R55" s="999"/>
      <c r="S55" s="999"/>
      <c r="T55" s="999"/>
      <c r="U55" s="999" t="e">
        <f>SUM(#REF!,T55)</f>
        <v>#REF!</v>
      </c>
      <c r="V55" s="999"/>
      <c r="W55" s="998" t="e">
        <f t="shared" si="5"/>
        <v>#REF!</v>
      </c>
      <c r="X55" s="998"/>
      <c r="Y55" s="999"/>
      <c r="Z55" s="999"/>
      <c r="AA55" s="999"/>
      <c r="AB55" s="999"/>
      <c r="AC55" s="999"/>
      <c r="AD55" s="999">
        <f t="shared" si="6"/>
        <v>0</v>
      </c>
      <c r="AE55" s="998"/>
      <c r="AF55" s="998"/>
      <c r="AG55" s="998"/>
    </row>
    <row r="56" spans="1:33" s="760" customFormat="1" x14ac:dyDescent="0.25">
      <c r="A56" s="1091" t="s">
        <v>564</v>
      </c>
      <c r="B56" s="1092" t="s">
        <v>1178</v>
      </c>
      <c r="C56" s="999"/>
      <c r="D56" s="999"/>
      <c r="E56" s="999"/>
      <c r="F56" s="999"/>
      <c r="G56" s="999"/>
      <c r="H56" s="999"/>
      <c r="I56" s="999"/>
      <c r="J56" s="999"/>
      <c r="K56" s="999"/>
      <c r="L56" s="999"/>
      <c r="M56" s="999"/>
      <c r="N56" s="998"/>
      <c r="O56" s="998"/>
      <c r="P56" s="999"/>
      <c r="Q56" s="999"/>
      <c r="R56" s="999"/>
      <c r="S56" s="999"/>
      <c r="T56" s="999"/>
      <c r="U56" s="999" t="e">
        <f>SUM(#REF!,T56)</f>
        <v>#REF!</v>
      </c>
      <c r="V56" s="999"/>
      <c r="W56" s="998" t="e">
        <f t="shared" si="5"/>
        <v>#REF!</v>
      </c>
      <c r="X56" s="998"/>
      <c r="Y56" s="999"/>
      <c r="Z56" s="999"/>
      <c r="AA56" s="999"/>
      <c r="AB56" s="999"/>
      <c r="AC56" s="999"/>
      <c r="AD56" s="999">
        <f t="shared" si="6"/>
        <v>0</v>
      </c>
      <c r="AE56" s="998"/>
      <c r="AF56" s="998"/>
      <c r="AG56" s="998"/>
    </row>
    <row r="57" spans="1:33" s="61" customFormat="1" x14ac:dyDescent="0.25">
      <c r="A57" s="1085">
        <v>7</v>
      </c>
      <c r="B57" s="1086" t="s">
        <v>1047</v>
      </c>
      <c r="C57" s="225">
        <f t="shared" ref="C57:M57" si="23">C7</f>
        <v>1553480</v>
      </c>
      <c r="D57" s="225">
        <f t="shared" si="23"/>
        <v>2543746.399896</v>
      </c>
      <c r="E57" s="225">
        <f t="shared" si="23"/>
        <v>2504230</v>
      </c>
      <c r="F57" s="225">
        <f t="shared" si="23"/>
        <v>2936820</v>
      </c>
      <c r="G57" s="225">
        <f t="shared" si="23"/>
        <v>3970508.1362620005</v>
      </c>
      <c r="H57" s="225">
        <f t="shared" si="23"/>
        <v>4156306.1199669996</v>
      </c>
      <c r="I57" s="225">
        <f t="shared" si="23"/>
        <v>4518654.2436259994</v>
      </c>
      <c r="J57" s="225">
        <f t="shared" si="23"/>
        <v>4583182.5757370004</v>
      </c>
      <c r="K57" s="225">
        <f t="shared" si="23"/>
        <v>4112417.5781439999</v>
      </c>
      <c r="L57" s="225">
        <f t="shared" si="23"/>
        <v>5174957</v>
      </c>
      <c r="M57" s="225">
        <f t="shared" si="23"/>
        <v>22545517.517473999</v>
      </c>
      <c r="N57" s="985">
        <f>((L57/H57))^(1/(5-1))-1</f>
        <v>5.6330463780306372E-2</v>
      </c>
      <c r="O57" s="985">
        <f t="shared" ref="O57:O64" si="24">M57/$M$57</f>
        <v>1</v>
      </c>
      <c r="P57" s="225">
        <f>P7</f>
        <v>6334779</v>
      </c>
      <c r="Q57" s="225">
        <f>Q7</f>
        <v>6851996</v>
      </c>
      <c r="R57" s="225">
        <f>R7</f>
        <v>6983868</v>
      </c>
      <c r="S57" s="225">
        <f>S7</f>
        <v>8771013</v>
      </c>
      <c r="T57" s="225">
        <f>T7</f>
        <v>8050000</v>
      </c>
      <c r="U57" s="225" t="e">
        <f>SUM(#REF!,T57)</f>
        <v>#REF!</v>
      </c>
      <c r="V57" s="985">
        <f t="shared" ref="V57:V64" si="25">((T57/P57))^(1/(5-1))-1</f>
        <v>6.1734924047332385E-2</v>
      </c>
      <c r="W57" s="985" t="e">
        <f t="shared" si="5"/>
        <v>#REF!</v>
      </c>
      <c r="X57" s="985" t="e">
        <f t="shared" ref="X57:X64" si="26">U57/M57-1</f>
        <v>#REF!</v>
      </c>
      <c r="Y57" s="225">
        <f>Y7</f>
        <v>8140900</v>
      </c>
      <c r="Z57" s="225">
        <f>Z7</f>
        <v>8857000</v>
      </c>
      <c r="AA57" s="225">
        <f>AA7</f>
        <v>9551000</v>
      </c>
      <c r="AB57" s="225">
        <f>AB7</f>
        <v>10261000</v>
      </c>
      <c r="AC57" s="225">
        <f>AC7</f>
        <v>11050000</v>
      </c>
      <c r="AD57" s="225">
        <f t="shared" si="6"/>
        <v>47859900</v>
      </c>
      <c r="AE57" s="985"/>
      <c r="AF57" s="985">
        <f t="shared" ref="AF57:AF64" si="27">AD57/$AD$57</f>
        <v>1</v>
      </c>
      <c r="AG57" s="985" t="e">
        <f t="shared" ref="AG57:AG64" si="28">AD57/U57-1</f>
        <v>#REF!</v>
      </c>
    </row>
    <row r="58" spans="1:33" s="59" customFormat="1" x14ac:dyDescent="0.25">
      <c r="A58" s="1093" t="s">
        <v>434</v>
      </c>
      <c r="B58" s="1094" t="s">
        <v>1187</v>
      </c>
      <c r="C58" s="1000">
        <f t="shared" ref="C58:H58" si="29">SUM(C59:C62)</f>
        <v>641350</v>
      </c>
      <c r="D58" s="1000">
        <f t="shared" si="29"/>
        <v>1201256.399896</v>
      </c>
      <c r="E58" s="1000">
        <f t="shared" si="29"/>
        <v>889140</v>
      </c>
      <c r="F58" s="1000">
        <f t="shared" si="29"/>
        <v>1311340</v>
      </c>
      <c r="G58" s="1000">
        <f t="shared" si="29"/>
        <v>1821513.2475960001</v>
      </c>
      <c r="H58" s="1000">
        <f t="shared" si="29"/>
        <v>1857572.9357869998</v>
      </c>
      <c r="I58" s="1000">
        <f>SUM(I59:I62)</f>
        <v>2072539.6609430001</v>
      </c>
      <c r="J58" s="1000">
        <f>SUM(J59:J62)</f>
        <v>2133134.8145989999</v>
      </c>
      <c r="K58" s="1000">
        <f>SUM(K59:K62)</f>
        <v>2096926.1036820002</v>
      </c>
      <c r="L58" s="1000">
        <f>SUM(L59:L62)</f>
        <v>3025970</v>
      </c>
      <c r="M58" s="1000">
        <f>SUM(M59:M62)</f>
        <v>11186143.515011001</v>
      </c>
      <c r="N58" s="1001">
        <f t="shared" ref="N58:N64" si="30">((L58/H58))^(1/(5-1))-1</f>
        <v>0.12974306945637393</v>
      </c>
      <c r="O58" s="1001">
        <f>M58/$M$57</f>
        <v>0.49615820556530288</v>
      </c>
      <c r="P58" s="1000">
        <f>SUM(P59:P62)</f>
        <v>4110721</v>
      </c>
      <c r="Q58" s="1000">
        <f>SUM(Q59:Q62)</f>
        <v>4008903</v>
      </c>
      <c r="R58" s="1000">
        <f>SUM(R59:R62)</f>
        <v>3661258</v>
      </c>
      <c r="S58" s="1000">
        <f>SUM(S59:S62)</f>
        <v>4507747</v>
      </c>
      <c r="T58" s="1000">
        <f>SUM(T59:T62)</f>
        <v>4620000</v>
      </c>
      <c r="U58" s="1000" t="e">
        <f>SUM(#REF!,T58)</f>
        <v>#REF!</v>
      </c>
      <c r="V58" s="1001">
        <f t="shared" si="25"/>
        <v>2.9629538870614702E-2</v>
      </c>
      <c r="W58" s="1001" t="e">
        <f t="shared" si="5"/>
        <v>#REF!</v>
      </c>
      <c r="X58" s="1001" t="e">
        <f t="shared" si="26"/>
        <v>#REF!</v>
      </c>
      <c r="Y58" s="1000">
        <f>SUM(Y59:Y62)</f>
        <v>4515000</v>
      </c>
      <c r="Z58" s="1000">
        <f>SUM(Z59:Z62)</f>
        <v>4840000</v>
      </c>
      <c r="AA58" s="1000">
        <f>SUM(AA59:AA62)</f>
        <v>5197000</v>
      </c>
      <c r="AB58" s="1000">
        <f>SUM(AB59:AB62)</f>
        <v>5531000</v>
      </c>
      <c r="AC58" s="1000">
        <f>SUM(AC59:AC62)</f>
        <v>5897000</v>
      </c>
      <c r="AD58" s="1000">
        <f t="shared" si="6"/>
        <v>25980000</v>
      </c>
      <c r="AE58" s="1001"/>
      <c r="AF58" s="1001">
        <f t="shared" si="27"/>
        <v>0.54283439789886734</v>
      </c>
      <c r="AG58" s="985" t="e">
        <f t="shared" si="28"/>
        <v>#REF!</v>
      </c>
    </row>
    <row r="59" spans="1:33" s="65" customFormat="1" x14ac:dyDescent="0.25">
      <c r="A59" s="1091" t="s">
        <v>564</v>
      </c>
      <c r="B59" s="1095" t="s">
        <v>771</v>
      </c>
      <c r="C59" s="713">
        <f t="shared" ref="C59:M60" si="31">C10</f>
        <v>92540</v>
      </c>
      <c r="D59" s="713">
        <f t="shared" si="31"/>
        <v>116990</v>
      </c>
      <c r="E59" s="713">
        <f t="shared" si="31"/>
        <v>174910</v>
      </c>
      <c r="F59" s="713">
        <f t="shared" si="31"/>
        <v>255100</v>
      </c>
      <c r="G59" s="713">
        <f t="shared" si="31"/>
        <v>363111</v>
      </c>
      <c r="H59" s="713">
        <f t="shared" si="31"/>
        <v>375470.05056100001</v>
      </c>
      <c r="I59" s="713">
        <f t="shared" si="31"/>
        <v>392086.67269099999</v>
      </c>
      <c r="J59" s="713">
        <f t="shared" si="31"/>
        <v>377894.530516</v>
      </c>
      <c r="K59" s="713">
        <f t="shared" si="31"/>
        <v>203043.31661899999</v>
      </c>
      <c r="L59" s="713">
        <f t="shared" si="31"/>
        <v>205240</v>
      </c>
      <c r="M59" s="713">
        <f t="shared" si="31"/>
        <v>1553734.570387</v>
      </c>
      <c r="N59" s="994">
        <f t="shared" si="30"/>
        <v>-0.14015201826253876</v>
      </c>
      <c r="O59" s="994">
        <f t="shared" si="24"/>
        <v>6.8915453778462671E-2</v>
      </c>
      <c r="P59" s="713">
        <f t="shared" ref="P59:S60" si="32">P10</f>
        <v>203694</v>
      </c>
      <c r="Q59" s="713">
        <f t="shared" si="32"/>
        <v>198943</v>
      </c>
      <c r="R59" s="713">
        <f t="shared" si="32"/>
        <v>203584</v>
      </c>
      <c r="S59" s="713">
        <f t="shared" si="32"/>
        <v>223875</v>
      </c>
      <c r="T59" s="713">
        <f>T10</f>
        <v>190000</v>
      </c>
      <c r="U59" s="713" t="e">
        <f>SUM(#REF!,T59)</f>
        <v>#REF!</v>
      </c>
      <c r="V59" s="994">
        <f t="shared" si="25"/>
        <v>-1.724821552996969E-2</v>
      </c>
      <c r="W59" s="994" t="e">
        <f>U59/$U$7</f>
        <v>#REF!</v>
      </c>
      <c r="X59" s="994" t="e">
        <f t="shared" si="26"/>
        <v>#REF!</v>
      </c>
      <c r="Y59" s="713">
        <f t="shared" ref="Y59:AC60" si="33">Y10</f>
        <v>210000</v>
      </c>
      <c r="Z59" s="713">
        <f t="shared" si="33"/>
        <v>220000</v>
      </c>
      <c r="AA59" s="713">
        <f t="shared" si="33"/>
        <v>230000</v>
      </c>
      <c r="AB59" s="713">
        <f t="shared" si="33"/>
        <v>240000</v>
      </c>
      <c r="AC59" s="713">
        <f t="shared" si="33"/>
        <v>250000</v>
      </c>
      <c r="AD59" s="713">
        <f t="shared" si="6"/>
        <v>1150000</v>
      </c>
      <c r="AE59" s="994"/>
      <c r="AF59" s="994">
        <f t="shared" si="27"/>
        <v>2.4028466419695822E-2</v>
      </c>
      <c r="AG59" s="985" t="e">
        <f t="shared" si="28"/>
        <v>#REF!</v>
      </c>
    </row>
    <row r="60" spans="1:33" s="65" customFormat="1" x14ac:dyDescent="0.25">
      <c r="A60" s="1091" t="s">
        <v>564</v>
      </c>
      <c r="B60" s="1095" t="s">
        <v>772</v>
      </c>
      <c r="C60" s="713">
        <f t="shared" si="31"/>
        <v>44800</v>
      </c>
      <c r="D60" s="713">
        <f t="shared" si="31"/>
        <v>101880</v>
      </c>
      <c r="E60" s="713">
        <f t="shared" si="31"/>
        <v>76050</v>
      </c>
      <c r="F60" s="713">
        <f t="shared" si="31"/>
        <v>172870</v>
      </c>
      <c r="G60" s="713">
        <f t="shared" si="31"/>
        <v>148607</v>
      </c>
      <c r="H60" s="713">
        <f t="shared" si="31"/>
        <v>143351.48759800001</v>
      </c>
      <c r="I60" s="713">
        <f t="shared" si="31"/>
        <v>229165.69016900001</v>
      </c>
      <c r="J60" s="713">
        <f t="shared" si="31"/>
        <v>259813.95480400001</v>
      </c>
      <c r="K60" s="713">
        <f t="shared" si="31"/>
        <v>268703.66079599998</v>
      </c>
      <c r="L60" s="713">
        <f t="shared" si="31"/>
        <v>332356</v>
      </c>
      <c r="M60" s="713">
        <f t="shared" si="31"/>
        <v>1233390.7933670001</v>
      </c>
      <c r="N60" s="994">
        <f t="shared" si="30"/>
        <v>0.23395786331815405</v>
      </c>
      <c r="O60" s="994">
        <f t="shared" si="24"/>
        <v>5.4706696903766137E-2</v>
      </c>
      <c r="P60" s="713">
        <f t="shared" si="32"/>
        <v>323641</v>
      </c>
      <c r="Q60" s="713">
        <f t="shared" si="32"/>
        <v>384159</v>
      </c>
      <c r="R60" s="713">
        <f t="shared" si="32"/>
        <v>385864</v>
      </c>
      <c r="S60" s="713">
        <f t="shared" si="32"/>
        <v>479648</v>
      </c>
      <c r="T60" s="713">
        <f>T11</f>
        <v>500000</v>
      </c>
      <c r="U60" s="713" t="e">
        <f>SUM(#REF!,T60)</f>
        <v>#REF!</v>
      </c>
      <c r="V60" s="994">
        <f t="shared" si="25"/>
        <v>0.11487613093464177</v>
      </c>
      <c r="W60" s="994" t="e">
        <f>U60/$U$7</f>
        <v>#REF!</v>
      </c>
      <c r="X60" s="994" t="e">
        <f t="shared" si="26"/>
        <v>#REF!</v>
      </c>
      <c r="Y60" s="713">
        <f t="shared" si="33"/>
        <v>535000</v>
      </c>
      <c r="Z60" s="713">
        <f t="shared" si="33"/>
        <v>573000</v>
      </c>
      <c r="AA60" s="713">
        <f t="shared" si="33"/>
        <v>620000</v>
      </c>
      <c r="AB60" s="713">
        <f t="shared" si="33"/>
        <v>669000</v>
      </c>
      <c r="AC60" s="713">
        <f t="shared" si="33"/>
        <v>723000</v>
      </c>
      <c r="AD60" s="713">
        <f t="shared" si="6"/>
        <v>3120000</v>
      </c>
      <c r="AE60" s="994"/>
      <c r="AF60" s="994">
        <f t="shared" si="27"/>
        <v>6.5190274112566046E-2</v>
      </c>
      <c r="AG60" s="985" t="e">
        <f t="shared" si="28"/>
        <v>#REF!</v>
      </c>
    </row>
    <row r="61" spans="1:33" s="65" customFormat="1" x14ac:dyDescent="0.25">
      <c r="A61" s="1091" t="s">
        <v>564</v>
      </c>
      <c r="B61" s="1095" t="s">
        <v>1034</v>
      </c>
      <c r="C61" s="713">
        <f t="shared" ref="C61:M61" si="34">C18</f>
        <v>154600</v>
      </c>
      <c r="D61" s="713">
        <f t="shared" si="34"/>
        <v>172040</v>
      </c>
      <c r="E61" s="713">
        <f t="shared" si="34"/>
        <v>185420</v>
      </c>
      <c r="F61" s="713">
        <f t="shared" si="34"/>
        <v>382620</v>
      </c>
      <c r="G61" s="713">
        <f t="shared" si="34"/>
        <v>499448.84769999998</v>
      </c>
      <c r="H61" s="713">
        <f t="shared" si="34"/>
        <v>650890.53007500002</v>
      </c>
      <c r="I61" s="713">
        <f t="shared" si="34"/>
        <v>646721.78421900002</v>
      </c>
      <c r="J61" s="713">
        <f t="shared" si="34"/>
        <v>553543.69900000002</v>
      </c>
      <c r="K61" s="713">
        <f t="shared" si="34"/>
        <v>670403.16145000001</v>
      </c>
      <c r="L61" s="713">
        <f t="shared" si="34"/>
        <v>1299030</v>
      </c>
      <c r="M61" s="713">
        <f t="shared" si="34"/>
        <v>3820589.1747440002</v>
      </c>
      <c r="N61" s="994">
        <f t="shared" si="30"/>
        <v>0.18857832720237511</v>
      </c>
      <c r="O61" s="994">
        <f t="shared" si="24"/>
        <v>0.16946114329745751</v>
      </c>
      <c r="P61" s="713">
        <f>P18</f>
        <v>2273225</v>
      </c>
      <c r="Q61" s="713">
        <f>Q18</f>
        <v>1947905</v>
      </c>
      <c r="R61" s="713">
        <f>R18</f>
        <v>1700536</v>
      </c>
      <c r="S61" s="713">
        <f>S18</f>
        <v>2280939</v>
      </c>
      <c r="T61" s="713">
        <f>T18</f>
        <v>2130000</v>
      </c>
      <c r="U61" s="713" t="e">
        <f>SUM(#REF!,T61)</f>
        <v>#REF!</v>
      </c>
      <c r="V61" s="994">
        <f t="shared" si="25"/>
        <v>-1.613775543692153E-2</v>
      </c>
      <c r="W61" s="994" t="e">
        <f t="shared" si="5"/>
        <v>#REF!</v>
      </c>
      <c r="X61" s="994" t="e">
        <f t="shared" si="26"/>
        <v>#REF!</v>
      </c>
      <c r="Y61" s="713">
        <f>Y18</f>
        <v>2270000</v>
      </c>
      <c r="Z61" s="713">
        <f>Z18</f>
        <v>2497000</v>
      </c>
      <c r="AA61" s="713">
        <f>AA18</f>
        <v>2747000</v>
      </c>
      <c r="AB61" s="713">
        <f>AB18</f>
        <v>3022000</v>
      </c>
      <c r="AC61" s="713">
        <f>AC18</f>
        <v>3324000</v>
      </c>
      <c r="AD61" s="713">
        <f t="shared" si="6"/>
        <v>13860000</v>
      </c>
      <c r="AE61" s="994"/>
      <c r="AF61" s="994">
        <f t="shared" si="27"/>
        <v>0.28959525615389919</v>
      </c>
      <c r="AG61" s="985" t="e">
        <f t="shared" si="28"/>
        <v>#REF!</v>
      </c>
    </row>
    <row r="62" spans="1:33" s="65" customFormat="1" x14ac:dyDescent="0.25">
      <c r="A62" s="1091" t="s">
        <v>564</v>
      </c>
      <c r="B62" s="1095" t="s">
        <v>226</v>
      </c>
      <c r="C62" s="713">
        <f t="shared" ref="C62:M62" si="35">C27</f>
        <v>349410</v>
      </c>
      <c r="D62" s="713">
        <f t="shared" si="35"/>
        <v>810346.39989600005</v>
      </c>
      <c r="E62" s="713">
        <f t="shared" si="35"/>
        <v>452760</v>
      </c>
      <c r="F62" s="713">
        <f t="shared" si="35"/>
        <v>500750</v>
      </c>
      <c r="G62" s="713">
        <f t="shared" si="35"/>
        <v>810346.39989600005</v>
      </c>
      <c r="H62" s="713">
        <f t="shared" si="35"/>
        <v>687860.86755299999</v>
      </c>
      <c r="I62" s="713">
        <f t="shared" si="35"/>
        <v>804565.51386399998</v>
      </c>
      <c r="J62" s="713">
        <f t="shared" si="35"/>
        <v>941882.63027900003</v>
      </c>
      <c r="K62" s="713">
        <f t="shared" si="35"/>
        <v>954775.96481699997</v>
      </c>
      <c r="L62" s="713">
        <f t="shared" si="35"/>
        <v>1189344</v>
      </c>
      <c r="M62" s="713">
        <f t="shared" si="35"/>
        <v>4578428.9765130002</v>
      </c>
      <c r="N62" s="994">
        <f t="shared" si="30"/>
        <v>0.14670503839993909</v>
      </c>
      <c r="O62" s="994">
        <f t="shared" si="24"/>
        <v>0.2030749115856165</v>
      </c>
      <c r="P62" s="713">
        <f>P27</f>
        <v>1310161</v>
      </c>
      <c r="Q62" s="713">
        <f>Q27</f>
        <v>1477896</v>
      </c>
      <c r="R62" s="713">
        <f>R27</f>
        <v>1371274</v>
      </c>
      <c r="S62" s="713">
        <f>S27</f>
        <v>1523285</v>
      </c>
      <c r="T62" s="713">
        <f>T27</f>
        <v>1800000</v>
      </c>
      <c r="U62" s="713" t="e">
        <f>SUM(#REF!,T62)</f>
        <v>#REF!</v>
      </c>
      <c r="V62" s="994">
        <f t="shared" si="25"/>
        <v>8.2647205895270748E-2</v>
      </c>
      <c r="W62" s="994" t="e">
        <f t="shared" si="5"/>
        <v>#REF!</v>
      </c>
      <c r="X62" s="994" t="e">
        <f t="shared" si="26"/>
        <v>#REF!</v>
      </c>
      <c r="Y62" s="713">
        <f>Y27</f>
        <v>1500000</v>
      </c>
      <c r="Z62" s="713">
        <f>Z27</f>
        <v>1550000</v>
      </c>
      <c r="AA62" s="713">
        <f>AA27</f>
        <v>1600000</v>
      </c>
      <c r="AB62" s="713">
        <f>AB27</f>
        <v>1600000</v>
      </c>
      <c r="AC62" s="713">
        <f>AC27</f>
        <v>1600000</v>
      </c>
      <c r="AD62" s="713">
        <f t="shared" si="6"/>
        <v>7850000</v>
      </c>
      <c r="AE62" s="994"/>
      <c r="AF62" s="994">
        <f t="shared" si="27"/>
        <v>0.16402040121270625</v>
      </c>
      <c r="AG62" s="985" t="e">
        <f t="shared" si="28"/>
        <v>#REF!</v>
      </c>
    </row>
    <row r="63" spans="1:33" s="59" customFormat="1" x14ac:dyDescent="0.25">
      <c r="A63" s="1093" t="s">
        <v>435</v>
      </c>
      <c r="B63" s="1094" t="s">
        <v>1184</v>
      </c>
      <c r="C63" s="1000">
        <f t="shared" ref="C63:H63" si="36">C57-C58-C64</f>
        <v>911550</v>
      </c>
      <c r="D63" s="1000">
        <f t="shared" si="36"/>
        <v>1341860</v>
      </c>
      <c r="E63" s="1000">
        <f t="shared" si="36"/>
        <v>1612650</v>
      </c>
      <c r="F63" s="1000">
        <f t="shared" si="36"/>
        <v>1624700</v>
      </c>
      <c r="G63" s="1000">
        <f t="shared" si="36"/>
        <v>2145233.8886660002</v>
      </c>
      <c r="H63" s="1000">
        <f t="shared" si="36"/>
        <v>2290704.576498</v>
      </c>
      <c r="I63" s="1000">
        <f>I57-I58-I64</f>
        <v>2438737.3184049991</v>
      </c>
      <c r="J63" s="1000">
        <f>J57-J58-J64</f>
        <v>2432696.2007730007</v>
      </c>
      <c r="K63" s="1000">
        <f>K57-K58-K64</f>
        <v>1989666.3652289996</v>
      </c>
      <c r="L63" s="1000">
        <f>L57-L58-L64</f>
        <v>2079493</v>
      </c>
      <c r="M63" s="1000">
        <f>M57-M58-M64</f>
        <v>11231297.460904999</v>
      </c>
      <c r="N63" s="1001">
        <f t="shared" si="30"/>
        <v>-2.3893747172246682E-2</v>
      </c>
      <c r="O63" s="1001">
        <f t="shared" si="24"/>
        <v>0.49816099595851521</v>
      </c>
      <c r="P63" s="1000">
        <f>P57-P58-P64</f>
        <v>2162120</v>
      </c>
      <c r="Q63" s="1000">
        <f>Q57-Q58-Q64</f>
        <v>2793308</v>
      </c>
      <c r="R63" s="1000">
        <f>R57-R58-R64</f>
        <v>3286777</v>
      </c>
      <c r="S63" s="1000">
        <f>S57-S58-S64</f>
        <v>4186421</v>
      </c>
      <c r="T63" s="1000">
        <f>T57-T58-T64</f>
        <v>3360000</v>
      </c>
      <c r="U63" s="1000" t="e">
        <f>SUM(#REF!,T63)</f>
        <v>#REF!</v>
      </c>
      <c r="V63" s="1001">
        <f t="shared" si="25"/>
        <v>0.11651579382575061</v>
      </c>
      <c r="W63" s="1001" t="e">
        <f t="shared" si="5"/>
        <v>#REF!</v>
      </c>
      <c r="X63" s="1001" t="e">
        <f t="shared" si="26"/>
        <v>#REF!</v>
      </c>
      <c r="Y63" s="1000">
        <f>Y57-Y58-Y64</f>
        <v>3555900</v>
      </c>
      <c r="Z63" s="1000">
        <f>Z57-Z58-Z64</f>
        <v>3942000</v>
      </c>
      <c r="AA63" s="1000">
        <f>AA57-AA58-AA64</f>
        <v>4274000</v>
      </c>
      <c r="AB63" s="1000">
        <f>AB57-AB58-AB64</f>
        <v>4645000</v>
      </c>
      <c r="AC63" s="1000">
        <f>AC57-AC58-AC64</f>
        <v>5063000</v>
      </c>
      <c r="AD63" s="1000">
        <f t="shared" si="6"/>
        <v>21479900</v>
      </c>
      <c r="AE63" s="1001"/>
      <c r="AF63" s="1001">
        <f t="shared" si="27"/>
        <v>0.44880787465080368</v>
      </c>
      <c r="AG63" s="985" t="e">
        <f t="shared" si="28"/>
        <v>#REF!</v>
      </c>
    </row>
    <row r="64" spans="1:33" s="59" customFormat="1" x14ac:dyDescent="0.25">
      <c r="A64" s="1093" t="s">
        <v>436</v>
      </c>
      <c r="B64" s="1094" t="s">
        <v>1048</v>
      </c>
      <c r="C64" s="1000">
        <f t="shared" ref="C64:M64" si="37">C12</f>
        <v>580</v>
      </c>
      <c r="D64" s="1000">
        <f t="shared" si="37"/>
        <v>630</v>
      </c>
      <c r="E64" s="1000">
        <f t="shared" si="37"/>
        <v>2440</v>
      </c>
      <c r="F64" s="1000">
        <f t="shared" si="37"/>
        <v>780</v>
      </c>
      <c r="G64" s="1000">
        <f t="shared" si="37"/>
        <v>3761</v>
      </c>
      <c r="H64" s="1000">
        <f t="shared" si="37"/>
        <v>8028.6076819999998</v>
      </c>
      <c r="I64" s="1000">
        <f t="shared" si="37"/>
        <v>7377.2642779999996</v>
      </c>
      <c r="J64" s="1000">
        <f t="shared" si="37"/>
        <v>17351.560365000001</v>
      </c>
      <c r="K64" s="1000">
        <f t="shared" si="37"/>
        <v>25825.109232999999</v>
      </c>
      <c r="L64" s="1000">
        <f t="shared" si="37"/>
        <v>69494</v>
      </c>
      <c r="M64" s="1000">
        <f t="shared" si="37"/>
        <v>128076.541558</v>
      </c>
      <c r="N64" s="1001">
        <f t="shared" si="30"/>
        <v>0.71524739460908648</v>
      </c>
      <c r="O64" s="1001">
        <f t="shared" si="24"/>
        <v>5.680798476181961E-3</v>
      </c>
      <c r="P64" s="1000">
        <f>P12</f>
        <v>61938</v>
      </c>
      <c r="Q64" s="1000">
        <f>Q12</f>
        <v>49785</v>
      </c>
      <c r="R64" s="1000">
        <f>R12</f>
        <v>35833</v>
      </c>
      <c r="S64" s="1000">
        <f>S12</f>
        <v>76845</v>
      </c>
      <c r="T64" s="1000">
        <f>T12</f>
        <v>70000</v>
      </c>
      <c r="U64" s="1000" t="e">
        <f>SUM(#REF!,T64)</f>
        <v>#REF!</v>
      </c>
      <c r="V64" s="1001">
        <f t="shared" si="25"/>
        <v>3.1063031389598983E-2</v>
      </c>
      <c r="W64" s="1001" t="e">
        <f>U64/$U$7</f>
        <v>#REF!</v>
      </c>
      <c r="X64" s="1001" t="e">
        <f t="shared" si="26"/>
        <v>#REF!</v>
      </c>
      <c r="Y64" s="1000">
        <f>Y12</f>
        <v>70000</v>
      </c>
      <c r="Z64" s="1000">
        <f>Z12</f>
        <v>75000</v>
      </c>
      <c r="AA64" s="1000">
        <f>AA12</f>
        <v>80000</v>
      </c>
      <c r="AB64" s="1000">
        <f>AB12</f>
        <v>85000</v>
      </c>
      <c r="AC64" s="1000">
        <f>AC12</f>
        <v>90000</v>
      </c>
      <c r="AD64" s="1000">
        <f t="shared" si="6"/>
        <v>400000</v>
      </c>
      <c r="AE64" s="1001"/>
      <c r="AF64" s="1001">
        <f t="shared" si="27"/>
        <v>8.3577274503289813E-3</v>
      </c>
      <c r="AG64" s="985" t="e">
        <f t="shared" si="28"/>
        <v>#REF!</v>
      </c>
    </row>
    <row r="65" spans="1:33" s="61" customFormat="1" x14ac:dyDescent="0.25">
      <c r="A65" s="1085">
        <v>8</v>
      </c>
      <c r="B65" s="1086" t="s">
        <v>1172</v>
      </c>
      <c r="C65" s="832">
        <f t="shared" ref="C65:H65" si="38">C57/C57</f>
        <v>1</v>
      </c>
      <c r="D65" s="832">
        <f t="shared" si="38"/>
        <v>1</v>
      </c>
      <c r="E65" s="832">
        <f t="shared" si="38"/>
        <v>1</v>
      </c>
      <c r="F65" s="832">
        <f t="shared" si="38"/>
        <v>1</v>
      </c>
      <c r="G65" s="832">
        <f t="shared" si="38"/>
        <v>1</v>
      </c>
      <c r="H65" s="832">
        <f t="shared" si="38"/>
        <v>1</v>
      </c>
      <c r="I65" s="832">
        <f>I57/I57</f>
        <v>1</v>
      </c>
      <c r="J65" s="832">
        <f>J57/J57</f>
        <v>1</v>
      </c>
      <c r="K65" s="832">
        <f>K57/K57</f>
        <v>1</v>
      </c>
      <c r="L65" s="832">
        <f>L57/L57</f>
        <v>1</v>
      </c>
      <c r="M65" s="225"/>
      <c r="N65" s="985"/>
      <c r="O65" s="985">
        <f>AVERAGE(H65:L65)</f>
        <v>1</v>
      </c>
      <c r="P65" s="832">
        <f>P57/P57</f>
        <v>1</v>
      </c>
      <c r="Q65" s="832">
        <f>Q57/Q57</f>
        <v>1</v>
      </c>
      <c r="R65" s="832">
        <f>R57/R57</f>
        <v>1</v>
      </c>
      <c r="S65" s="832">
        <f>S57/S57</f>
        <v>1</v>
      </c>
      <c r="T65" s="832">
        <f>T57/T57</f>
        <v>1</v>
      </c>
      <c r="U65" s="832"/>
      <c r="V65" s="832"/>
      <c r="W65" s="985">
        <f>AVERAGE(P65,Q65,R65,S65,T65)</f>
        <v>1</v>
      </c>
      <c r="X65" s="985"/>
      <c r="Y65" s="832">
        <f>Y57/Y57</f>
        <v>1</v>
      </c>
      <c r="Z65" s="832">
        <f>Z57/Z57</f>
        <v>1</v>
      </c>
      <c r="AA65" s="832">
        <f>AA57/AA57</f>
        <v>1</v>
      </c>
      <c r="AB65" s="832">
        <f>AB57/AB57</f>
        <v>1</v>
      </c>
      <c r="AC65" s="832">
        <f>AC57/AC57</f>
        <v>1</v>
      </c>
      <c r="AD65" s="832">
        <f t="shared" si="6"/>
        <v>5</v>
      </c>
      <c r="AE65" s="985"/>
      <c r="AF65" s="985">
        <f>AVERAGE(Z65:AC65)</f>
        <v>1</v>
      </c>
      <c r="AG65" s="985"/>
    </row>
    <row r="66" spans="1:33" x14ac:dyDescent="0.25">
      <c r="A66" s="257" t="s">
        <v>434</v>
      </c>
      <c r="B66" s="1096" t="s">
        <v>1187</v>
      </c>
      <c r="C66" s="830">
        <f t="shared" ref="C66:H66" si="39">C58/C57</f>
        <v>0.41284728480572652</v>
      </c>
      <c r="D66" s="830">
        <f t="shared" si="39"/>
        <v>0.47223905651330372</v>
      </c>
      <c r="E66" s="830">
        <f t="shared" si="39"/>
        <v>0.35505524652288328</v>
      </c>
      <c r="F66" s="830">
        <f t="shared" si="39"/>
        <v>0.44651698095218639</v>
      </c>
      <c r="G66" s="992">
        <f t="shared" si="39"/>
        <v>0.45876073920121657</v>
      </c>
      <c r="H66" s="992">
        <f t="shared" si="39"/>
        <v>0.44692880701524185</v>
      </c>
      <c r="I66" s="992">
        <f>I58/I57</f>
        <v>0.45866303310692969</v>
      </c>
      <c r="J66" s="992">
        <f>J58/J57</f>
        <v>0.46542654134959488</v>
      </c>
      <c r="K66" s="992">
        <f>K58/K57</f>
        <v>0.50990106520952494</v>
      </c>
      <c r="L66" s="992">
        <f>L58/L57</f>
        <v>0.5847333610694736</v>
      </c>
      <c r="M66" s="992"/>
      <c r="N66" s="992"/>
      <c r="O66" s="992">
        <f>AVERAGE(H66:L66)</f>
        <v>0.49313056155015306</v>
      </c>
      <c r="P66" s="992">
        <f>P58/P57</f>
        <v>0.64891308757574651</v>
      </c>
      <c r="Q66" s="992">
        <f>Q58/Q57</f>
        <v>0.58507083191525511</v>
      </c>
      <c r="R66" s="992">
        <f>R58/R57</f>
        <v>0.52424501723113892</v>
      </c>
      <c r="S66" s="992">
        <f>S58/S57</f>
        <v>0.51393687365416063</v>
      </c>
      <c r="T66" s="992">
        <f>T58/T57</f>
        <v>0.57391304347826089</v>
      </c>
      <c r="U66" s="992"/>
      <c r="V66" s="992"/>
      <c r="W66" s="992">
        <f>AVERAGE(P66,Q66,R66,S66,T66)</f>
        <v>0.56921577077091245</v>
      </c>
      <c r="X66" s="992"/>
      <c r="Y66" s="992">
        <f>Y58/Y57</f>
        <v>0.55460698448574486</v>
      </c>
      <c r="Z66" s="992">
        <f>Z58/Z57</f>
        <v>0.54646042678107709</v>
      </c>
      <c r="AA66" s="992">
        <f>AA58/AA57</f>
        <v>0.54413150455449688</v>
      </c>
      <c r="AB66" s="992">
        <f>AB58/AB57</f>
        <v>0.53903128350063345</v>
      </c>
      <c r="AC66" s="992">
        <f>AC58/AC57</f>
        <v>0.53366515837104067</v>
      </c>
      <c r="AD66" s="992">
        <f t="shared" si="6"/>
        <v>2.717895357692993</v>
      </c>
      <c r="AE66" s="992"/>
      <c r="AF66" s="992">
        <f>AVERAGE(Z66:AC66)</f>
        <v>0.54082209330181197</v>
      </c>
      <c r="AG66" s="992"/>
    </row>
    <row r="67" spans="1:33" x14ac:dyDescent="0.25">
      <c r="A67" s="257" t="s">
        <v>435</v>
      </c>
      <c r="B67" s="1096" t="s">
        <v>1184</v>
      </c>
      <c r="C67" s="830">
        <f t="shared" ref="C67:H67" si="40">C63/C57</f>
        <v>0.58677935988876584</v>
      </c>
      <c r="D67" s="830">
        <f t="shared" si="40"/>
        <v>0.52751327728851483</v>
      </c>
      <c r="E67" s="830">
        <f t="shared" si="40"/>
        <v>0.64397040207968115</v>
      </c>
      <c r="F67" s="830">
        <f t="shared" si="40"/>
        <v>0.55321742565087406</v>
      </c>
      <c r="G67" s="992">
        <f t="shared" si="40"/>
        <v>0.54029202687533373</v>
      </c>
      <c r="H67" s="992">
        <f t="shared" si="40"/>
        <v>0.55113952398582899</v>
      </c>
      <c r="I67" s="992">
        <f>I63/I57</f>
        <v>0.53970434269120615</v>
      </c>
      <c r="J67" s="992">
        <f>J63/J57</f>
        <v>0.53078753913306853</v>
      </c>
      <c r="K67" s="992">
        <f>K63/K57</f>
        <v>0.48381914711272295</v>
      </c>
      <c r="L67" s="992">
        <f>L63/L57</f>
        <v>0.40183773507683251</v>
      </c>
      <c r="M67" s="992"/>
      <c r="N67" s="992"/>
      <c r="O67" s="992">
        <f>AVERAGE(H67:L67)</f>
        <v>0.50145765759993177</v>
      </c>
      <c r="P67" s="992">
        <f>P63/P57</f>
        <v>0.3413094600458832</v>
      </c>
      <c r="Q67" s="992">
        <f>Q63/Q57</f>
        <v>0.40766340202183421</v>
      </c>
      <c r="R67" s="992">
        <f>R63/R57</f>
        <v>0.47062415841765626</v>
      </c>
      <c r="S67" s="992">
        <f>S63/S57</f>
        <v>0.47730188063796053</v>
      </c>
      <c r="T67" s="992">
        <f>T63/T57</f>
        <v>0.41739130434782606</v>
      </c>
      <c r="U67" s="992"/>
      <c r="V67" s="992"/>
      <c r="W67" s="992">
        <f>AVERAGE(P67,Q67,R67,S67,T67)</f>
        <v>0.42285804109423203</v>
      </c>
      <c r="X67" s="992"/>
      <c r="Y67" s="992">
        <f>Y63/Y57</f>
        <v>0.43679445761525137</v>
      </c>
      <c r="Z67" s="992">
        <f>Z63/Z57</f>
        <v>0.44507169470475333</v>
      </c>
      <c r="AA67" s="992">
        <f>AA63/AA57</f>
        <v>0.44749240917181449</v>
      </c>
      <c r="AB67" s="992">
        <f>AB63/AB57</f>
        <v>0.45268492349673523</v>
      </c>
      <c r="AC67" s="992">
        <f>AC63/AC57</f>
        <v>0.4581900452488688</v>
      </c>
      <c r="AD67" s="992">
        <f t="shared" si="6"/>
        <v>2.2402335302374232</v>
      </c>
      <c r="AE67" s="992"/>
      <c r="AF67" s="992">
        <f>AVERAGE(Z67:AC67)</f>
        <v>0.45085976815554296</v>
      </c>
      <c r="AG67" s="992"/>
    </row>
    <row r="68" spans="1:33" x14ac:dyDescent="0.25">
      <c r="A68" s="257" t="s">
        <v>436</v>
      </c>
      <c r="B68" s="1096" t="s">
        <v>1048</v>
      </c>
      <c r="C68" s="830">
        <f t="shared" ref="C68:H68" si="41">C64/C57</f>
        <v>3.7335530550763446E-4</v>
      </c>
      <c r="D68" s="830">
        <f t="shared" si="41"/>
        <v>2.4766619818145287E-4</v>
      </c>
      <c r="E68" s="830">
        <f t="shared" si="41"/>
        <v>9.7435139743553905E-4</v>
      </c>
      <c r="F68" s="830">
        <f t="shared" si="41"/>
        <v>2.6559339693954688E-4</v>
      </c>
      <c r="G68" s="992">
        <f t="shared" si="41"/>
        <v>9.4723392344959654E-4</v>
      </c>
      <c r="H68" s="992">
        <f t="shared" si="41"/>
        <v>1.9316689989292092E-3</v>
      </c>
      <c r="I68" s="992">
        <f>I64/I57</f>
        <v>1.6326242018641606E-3</v>
      </c>
      <c r="J68" s="992">
        <f>J64/J57</f>
        <v>3.785919517336657E-3</v>
      </c>
      <c r="K68" s="992">
        <f>K64/K57</f>
        <v>6.2797876777521428E-3</v>
      </c>
      <c r="L68" s="992">
        <f>L64/L57</f>
        <v>1.3428903853693858E-2</v>
      </c>
      <c r="M68" s="992"/>
      <c r="N68" s="992"/>
      <c r="O68" s="992">
        <f>AVERAGE(H68:L68)</f>
        <v>5.4117808499152056E-3</v>
      </c>
      <c r="P68" s="992">
        <f>P64/P57</f>
        <v>9.7774523783702629E-3</v>
      </c>
      <c r="Q68" s="992">
        <f>Q64/Q57</f>
        <v>7.2657660629107199E-3</v>
      </c>
      <c r="R68" s="992">
        <f>R64/R57</f>
        <v>5.1308243512048048E-3</v>
      </c>
      <c r="S68" s="992">
        <f>S64/S57</f>
        <v>8.7612457078788952E-3</v>
      </c>
      <c r="T68" s="992">
        <f>T64/T57</f>
        <v>8.6956521739130436E-3</v>
      </c>
      <c r="U68" s="992"/>
      <c r="V68" s="992"/>
      <c r="W68" s="992">
        <f>AVERAGE(P68,Q68,R68,S68,T68)</f>
        <v>7.9261881348555458E-3</v>
      </c>
      <c r="X68" s="992"/>
      <c r="Y68" s="992">
        <f>Y64/Y57</f>
        <v>8.5985578990037965E-3</v>
      </c>
      <c r="Z68" s="992">
        <f>Z64/Z57</f>
        <v>8.4678785141695835E-3</v>
      </c>
      <c r="AA68" s="992">
        <f>AA64/AA57</f>
        <v>8.3760862736886182E-3</v>
      </c>
      <c r="AB68" s="992">
        <f>AB64/AB57</f>
        <v>8.2837930026313233E-3</v>
      </c>
      <c r="AC68" s="992">
        <f>AC64/AC57</f>
        <v>8.1447963800904983E-3</v>
      </c>
      <c r="AD68" s="992">
        <f t="shared" si="6"/>
        <v>4.187111206958382E-2</v>
      </c>
      <c r="AE68" s="992"/>
      <c r="AF68" s="992">
        <f>AVERAGE(Z68:AC68)</f>
        <v>8.3181385426450063E-3</v>
      </c>
      <c r="AG68" s="992"/>
    </row>
    <row r="69" spans="1:33" s="1" customFormat="1" ht="31.5" x14ac:dyDescent="0.25">
      <c r="A69" s="1097">
        <v>9</v>
      </c>
      <c r="B69" s="823" t="s">
        <v>1176</v>
      </c>
      <c r="C69" s="1005"/>
      <c r="D69" s="1005"/>
      <c r="E69" s="1005"/>
      <c r="F69" s="1005"/>
      <c r="G69" s="822"/>
      <c r="H69" s="822">
        <f>H7/G7</f>
        <v>1.046794510256291</v>
      </c>
      <c r="I69" s="822">
        <f>I7/H7</f>
        <v>1.0871803262801722</v>
      </c>
      <c r="J69" s="822">
        <f>J7/I7</f>
        <v>1.0142804314364227</v>
      </c>
      <c r="K69" s="822">
        <f>K7/J7</f>
        <v>0.89728425830443836</v>
      </c>
      <c r="L69" s="822">
        <f>L7/K7</f>
        <v>1.2583734267412459</v>
      </c>
      <c r="M69" s="822"/>
      <c r="N69" s="822">
        <f>(H69*I69*J69*K69*L69)^(1/5)-1</f>
        <v>5.441634872072143E-2</v>
      </c>
      <c r="O69" s="822"/>
      <c r="P69" s="822">
        <f>P7/L7</f>
        <v>1.2241220555069345</v>
      </c>
      <c r="Q69" s="822">
        <f>Q7/P7</f>
        <v>1.0816472050564037</v>
      </c>
      <c r="R69" s="822">
        <f>R7/Q7</f>
        <v>1.0192457788942084</v>
      </c>
      <c r="S69" s="822">
        <f>S7/R7</f>
        <v>1.2558961595494074</v>
      </c>
      <c r="T69" s="822">
        <f>T7/S7</f>
        <v>0.91779592619461403</v>
      </c>
      <c r="U69" s="822"/>
      <c r="V69" s="822">
        <f>(P69*Q69*R69*T69*S69)^(1/5)-1</f>
        <v>9.2390279519624974E-2</v>
      </c>
      <c r="W69" s="822"/>
      <c r="X69" s="822"/>
      <c r="Y69" s="822">
        <f>Y7/T7</f>
        <v>1.0112919254658386</v>
      </c>
      <c r="Z69" s="822">
        <f>Z7/Y7</f>
        <v>1.0879632473068088</v>
      </c>
      <c r="AA69" s="822">
        <f>AA7/Z7</f>
        <v>1.0783561025177826</v>
      </c>
      <c r="AB69" s="822">
        <f>AB7/AA7</f>
        <v>1.0743377656789865</v>
      </c>
      <c r="AC69" s="822">
        <f>AC7/AB7</f>
        <v>1.0768930903420719</v>
      </c>
      <c r="AD69" s="822">
        <f t="shared" si="6"/>
        <v>5.3288421313114878</v>
      </c>
      <c r="AE69" s="822">
        <f>(Z69*AA69*AB69*AC69*Y69)^(1/5)-1</f>
        <v>6.5401440214975404E-2</v>
      </c>
      <c r="AF69" s="822"/>
      <c r="AG69" s="822"/>
    </row>
    <row r="70" spans="1:33" x14ac:dyDescent="0.25">
      <c r="A70" s="257" t="s">
        <v>434</v>
      </c>
      <c r="B70" s="1096" t="s">
        <v>1187</v>
      </c>
      <c r="C70" s="830"/>
      <c r="D70" s="830"/>
      <c r="E70" s="830"/>
      <c r="F70" s="830"/>
      <c r="G70" s="992"/>
      <c r="H70" s="992">
        <f>H58/G58</f>
        <v>1.0197965555499475</v>
      </c>
      <c r="I70" s="992">
        <f>I58/H58</f>
        <v>1.1157245139690437</v>
      </c>
      <c r="J70" s="992">
        <f>J58/I58</f>
        <v>1.0292371503416389</v>
      </c>
      <c r="K70" s="992">
        <f>K58/J58</f>
        <v>0.9830255871925252</v>
      </c>
      <c r="L70" s="992">
        <f>L58/K58</f>
        <v>1.4430503748733388</v>
      </c>
      <c r="M70" s="992"/>
      <c r="N70" s="992">
        <f>(H70*I70*J70*K70*L70)^(1/5)-1</f>
        <v>0.1068441060267149</v>
      </c>
      <c r="O70" s="992"/>
      <c r="P70" s="992">
        <f>P58/L58</f>
        <v>1.3584804211542083</v>
      </c>
      <c r="Q70" s="992">
        <f>Q58/P58</f>
        <v>0.97523110909254118</v>
      </c>
      <c r="R70" s="992">
        <f>R58/Q58</f>
        <v>0.91328176311574516</v>
      </c>
      <c r="S70" s="992">
        <f>S58/R58</f>
        <v>1.231201679859764</v>
      </c>
      <c r="T70" s="992">
        <f>T58/S58</f>
        <v>1.0249022405205972</v>
      </c>
      <c r="U70" s="992"/>
      <c r="V70" s="992">
        <f>(P70*Q70*R70*T70*S70)^(1/5)-1</f>
        <v>8.8317146357122622E-2</v>
      </c>
      <c r="W70" s="992"/>
      <c r="X70" s="992"/>
      <c r="Y70" s="992">
        <f>Y58/T58</f>
        <v>0.97727272727272729</v>
      </c>
      <c r="Z70" s="992">
        <f>Z58/Y58</f>
        <v>1.0719822812846069</v>
      </c>
      <c r="AA70" s="992">
        <f>AA58/Z58</f>
        <v>1.0737603305785124</v>
      </c>
      <c r="AB70" s="992">
        <f>AB58/AA58</f>
        <v>1.0642678468347124</v>
      </c>
      <c r="AC70" s="992">
        <f>AC58/AB58</f>
        <v>1.0661724823720846</v>
      </c>
      <c r="AD70" s="992">
        <f t="shared" si="6"/>
        <v>5.2534556683426432</v>
      </c>
      <c r="AE70" s="992">
        <f>(Z70*AA70*AB70*AC70*Y70)^(1/5)-1</f>
        <v>5.0020626628883846E-2</v>
      </c>
      <c r="AF70" s="992"/>
      <c r="AG70" s="992"/>
    </row>
    <row r="71" spans="1:33" x14ac:dyDescent="0.25">
      <c r="A71" s="257" t="s">
        <v>435</v>
      </c>
      <c r="B71" s="1096" t="s">
        <v>1184</v>
      </c>
      <c r="C71" s="830"/>
      <c r="D71" s="830"/>
      <c r="E71" s="830"/>
      <c r="F71" s="830"/>
      <c r="G71" s="992"/>
      <c r="H71" s="992">
        <f t="shared" ref="H71:L72" si="42">H63/G63</f>
        <v>1.0678111084299808</v>
      </c>
      <c r="I71" s="992">
        <f t="shared" si="42"/>
        <v>1.0646232357615095</v>
      </c>
      <c r="J71" s="992">
        <f t="shared" si="42"/>
        <v>0.99752285021170328</v>
      </c>
      <c r="K71" s="992">
        <f t="shared" si="42"/>
        <v>0.81788526022968822</v>
      </c>
      <c r="L71" s="992">
        <f t="shared" si="42"/>
        <v>1.045146581527834</v>
      </c>
      <c r="M71" s="992"/>
      <c r="N71" s="992">
        <f>(H71*I71*J71*K71*L71)^(1/5)-1</f>
        <v>-6.205559772676783E-3</v>
      </c>
      <c r="O71" s="992"/>
      <c r="P71" s="992">
        <f>P63/L63</f>
        <v>1.0397342044431022</v>
      </c>
      <c r="Q71" s="992">
        <f t="shared" ref="Q71:S72" si="43">Q63/P63</f>
        <v>1.2919301426377814</v>
      </c>
      <c r="R71" s="992">
        <f t="shared" si="43"/>
        <v>1.1766611487168619</v>
      </c>
      <c r="S71" s="992">
        <f t="shared" si="43"/>
        <v>1.2737161663234227</v>
      </c>
      <c r="T71" s="992">
        <f>T63/S63</f>
        <v>0.80259486563821458</v>
      </c>
      <c r="U71" s="992"/>
      <c r="V71" s="992">
        <f>(P71*Q71*R71*T71*S71)^(1/5)-1</f>
        <v>0.10071874612358922</v>
      </c>
      <c r="W71" s="992"/>
      <c r="X71" s="992"/>
      <c r="Y71" s="992">
        <f>Y63/T63</f>
        <v>1.0583035714285713</v>
      </c>
      <c r="Z71" s="992">
        <f t="shared" ref="Z71:AC72" si="44">Z63/Y63</f>
        <v>1.1085801063022021</v>
      </c>
      <c r="AA71" s="992">
        <f t="shared" si="44"/>
        <v>1.0842212075088788</v>
      </c>
      <c r="AB71" s="992">
        <f t="shared" si="44"/>
        <v>1.0868039307440336</v>
      </c>
      <c r="AC71" s="992">
        <f t="shared" si="44"/>
        <v>1.089989235737352</v>
      </c>
      <c r="AD71" s="992">
        <f t="shared" si="6"/>
        <v>5.4278980517210371</v>
      </c>
      <c r="AE71" s="992">
        <f>(Z71*AA71*AB71*AC71*Y71)^(1/5)-1</f>
        <v>8.5459765023383039E-2</v>
      </c>
      <c r="AF71" s="992"/>
      <c r="AG71" s="992"/>
    </row>
    <row r="72" spans="1:33" x14ac:dyDescent="0.25">
      <c r="A72" s="257" t="s">
        <v>436</v>
      </c>
      <c r="B72" s="1096" t="s">
        <v>1048</v>
      </c>
      <c r="C72" s="830"/>
      <c r="D72" s="830"/>
      <c r="E72" s="830"/>
      <c r="F72" s="830"/>
      <c r="G72" s="992"/>
      <c r="H72" s="992">
        <f t="shared" si="42"/>
        <v>2.1347002611007708</v>
      </c>
      <c r="I72" s="992">
        <f t="shared" si="42"/>
        <v>0.91887218434395534</v>
      </c>
      <c r="J72" s="992">
        <f t="shared" si="42"/>
        <v>2.3520318252315704</v>
      </c>
      <c r="K72" s="992">
        <f t="shared" si="42"/>
        <v>1.4883450646370728</v>
      </c>
      <c r="L72" s="992">
        <f t="shared" si="42"/>
        <v>2.6909469916664959</v>
      </c>
      <c r="M72" s="992"/>
      <c r="N72" s="992">
        <f>(H72*I72*J72*K72*L72)^(1/5)-1</f>
        <v>0.79196199769437925</v>
      </c>
      <c r="O72" s="992"/>
      <c r="P72" s="992">
        <f>P64/L64</f>
        <v>0.89127118887961554</v>
      </c>
      <c r="Q72" s="992">
        <f t="shared" si="43"/>
        <v>0.80378765862636825</v>
      </c>
      <c r="R72" s="992">
        <f t="shared" si="43"/>
        <v>0.71975494626895653</v>
      </c>
      <c r="S72" s="992">
        <f t="shared" si="43"/>
        <v>2.1445315770379261</v>
      </c>
      <c r="T72" s="992">
        <f>T64/S64</f>
        <v>0.91092458845728419</v>
      </c>
      <c r="U72" s="992"/>
      <c r="V72" s="992">
        <f>(P72*Q72*R72*T72*S72)^(1/5)-1</f>
        <v>1.4520179868888761E-3</v>
      </c>
      <c r="W72" s="992"/>
      <c r="X72" s="992"/>
      <c r="Y72" s="992">
        <f>Y64/T64</f>
        <v>1</v>
      </c>
      <c r="Z72" s="992">
        <f t="shared" si="44"/>
        <v>1.0714285714285714</v>
      </c>
      <c r="AA72" s="992">
        <f t="shared" si="44"/>
        <v>1.0666666666666667</v>
      </c>
      <c r="AB72" s="992">
        <f t="shared" si="44"/>
        <v>1.0625</v>
      </c>
      <c r="AC72" s="992">
        <f t="shared" si="44"/>
        <v>1.0588235294117647</v>
      </c>
      <c r="AD72" s="992">
        <f t="shared" ref="AD72:AD135" si="45">SUM(Y72:AC72)</f>
        <v>5.2594187675070021</v>
      </c>
      <c r="AE72" s="992">
        <f>(Z72*AA72*AB72*AC72*Y72)^(1/5)-1</f>
        <v>5.1547496797280434E-2</v>
      </c>
      <c r="AF72" s="992"/>
      <c r="AG72" s="992"/>
    </row>
    <row r="73" spans="1:33" s="1" customFormat="1" x14ac:dyDescent="0.25">
      <c r="A73" s="1097">
        <v>10</v>
      </c>
      <c r="B73" s="1098" t="s">
        <v>1074</v>
      </c>
      <c r="C73" s="26">
        <f t="shared" ref="C73:L73" si="46">C7</f>
        <v>1553480</v>
      </c>
      <c r="D73" s="26">
        <f t="shared" si="46"/>
        <v>2543746.399896</v>
      </c>
      <c r="E73" s="26">
        <f t="shared" si="46"/>
        <v>2504230</v>
      </c>
      <c r="F73" s="26">
        <f t="shared" si="46"/>
        <v>2936820</v>
      </c>
      <c r="G73" s="26">
        <f t="shared" si="46"/>
        <v>3970508.1362620005</v>
      </c>
      <c r="H73" s="26">
        <f t="shared" si="46"/>
        <v>4156306.1199669996</v>
      </c>
      <c r="I73" s="26">
        <f t="shared" si="46"/>
        <v>4518654.2436259994</v>
      </c>
      <c r="J73" s="26">
        <f t="shared" si="46"/>
        <v>4583182.5757370004</v>
      </c>
      <c r="K73" s="26">
        <f t="shared" si="46"/>
        <v>4112417.5781439999</v>
      </c>
      <c r="L73" s="26">
        <f t="shared" si="46"/>
        <v>5174957</v>
      </c>
      <c r="M73" s="26">
        <f>SUM(H73:L73)</f>
        <v>22545517.517473999</v>
      </c>
      <c r="N73" s="822"/>
      <c r="O73" s="822">
        <f>M73/$M$73</f>
        <v>1</v>
      </c>
      <c r="P73" s="26">
        <f>P7</f>
        <v>6334779</v>
      </c>
      <c r="Q73" s="26">
        <f>Q7</f>
        <v>6851996</v>
      </c>
      <c r="R73" s="26">
        <f>R7</f>
        <v>6983868</v>
      </c>
      <c r="S73" s="26">
        <f>S7</f>
        <v>8771013</v>
      </c>
      <c r="T73" s="26">
        <f>T7</f>
        <v>8050000</v>
      </c>
      <c r="U73" s="212">
        <f>SUM(P73:T73)</f>
        <v>36991656</v>
      </c>
      <c r="V73" s="26"/>
      <c r="W73" s="822">
        <f>U73/$U$7</f>
        <v>1</v>
      </c>
      <c r="X73" s="822">
        <f>U73/M73-1</f>
        <v>0.64075435267030167</v>
      </c>
      <c r="Y73" s="26">
        <f>Y7</f>
        <v>8140900</v>
      </c>
      <c r="Z73" s="26">
        <f>Z7</f>
        <v>8857000</v>
      </c>
      <c r="AA73" s="26">
        <f>AA7</f>
        <v>9551000</v>
      </c>
      <c r="AB73" s="26">
        <f>AB7</f>
        <v>10261000</v>
      </c>
      <c r="AC73" s="26">
        <f>AC7</f>
        <v>11050000</v>
      </c>
      <c r="AD73" s="26">
        <f t="shared" si="45"/>
        <v>47859900</v>
      </c>
      <c r="AE73" s="822"/>
      <c r="AF73" s="822">
        <f>AD73/$AD$73</f>
        <v>1</v>
      </c>
      <c r="AG73" s="985">
        <f>AD73/U73-1</f>
        <v>0.29380258077659449</v>
      </c>
    </row>
    <row r="74" spans="1:33" s="65" customFormat="1" x14ac:dyDescent="0.25">
      <c r="A74" s="1091" t="s">
        <v>564</v>
      </c>
      <c r="B74" s="1092" t="s">
        <v>1173</v>
      </c>
      <c r="C74" s="1010"/>
      <c r="D74" s="1010"/>
      <c r="E74" s="1010"/>
      <c r="F74" s="1010"/>
      <c r="G74" s="994"/>
      <c r="H74" s="994">
        <f>H73/G73</f>
        <v>1.046794510256291</v>
      </c>
      <c r="I74" s="994">
        <f>I73/H73</f>
        <v>1.0871803262801722</v>
      </c>
      <c r="J74" s="994">
        <f>J73/I73</f>
        <v>1.0142804314364227</v>
      </c>
      <c r="K74" s="994">
        <f>K73/J73</f>
        <v>0.89728425830443836</v>
      </c>
      <c r="L74" s="994">
        <f>L73/K73</f>
        <v>1.2583734267412459</v>
      </c>
      <c r="M74" s="994"/>
      <c r="N74" s="998">
        <f>(H74*I74*J74*K74*L74)^(1/5)-1</f>
        <v>5.441634872072143E-2</v>
      </c>
      <c r="O74" s="994"/>
      <c r="P74" s="994">
        <f>P73/L73</f>
        <v>1.2241220555069345</v>
      </c>
      <c r="Q74" s="994">
        <f>Q73/P73</f>
        <v>1.0816472050564037</v>
      </c>
      <c r="R74" s="994">
        <f>R73/Q73</f>
        <v>1.0192457788942084</v>
      </c>
      <c r="S74" s="994">
        <f>S73/R73</f>
        <v>1.2558961595494074</v>
      </c>
      <c r="T74" s="994">
        <f>T73/S73</f>
        <v>0.91779592619461403</v>
      </c>
      <c r="U74" s="994"/>
      <c r="V74" s="994">
        <f>(P74*Q74*R74*T74*S74)^(1/5)-1</f>
        <v>9.2390279519624974E-2</v>
      </c>
      <c r="W74" s="994"/>
      <c r="X74" s="994"/>
      <c r="Y74" s="994">
        <f>Y73/T73</f>
        <v>1.0112919254658386</v>
      </c>
      <c r="Z74" s="994">
        <f>Z73/Y73</f>
        <v>1.0879632473068088</v>
      </c>
      <c r="AA74" s="994">
        <f>AA73/Z73</f>
        <v>1.0783561025177826</v>
      </c>
      <c r="AB74" s="994">
        <f>AB73/AA73</f>
        <v>1.0743377656789865</v>
      </c>
      <c r="AC74" s="994">
        <f>AC73/AB73</f>
        <v>1.0768930903420719</v>
      </c>
      <c r="AD74" s="994">
        <f t="shared" si="45"/>
        <v>5.3288421313114878</v>
      </c>
      <c r="AE74" s="992">
        <f>(Z74*AA74*AB74*AC74*Y74)^(1/5)-1</f>
        <v>6.5401440214975404E-2</v>
      </c>
      <c r="AF74" s="994"/>
      <c r="AG74" s="994">
        <f>+AE74-V74</f>
        <v>-2.698883930464957E-2</v>
      </c>
    </row>
    <row r="75" spans="1:33" s="65" customFormat="1" x14ac:dyDescent="0.25">
      <c r="A75" s="1091" t="s">
        <v>564</v>
      </c>
      <c r="B75" s="1092" t="s">
        <v>1178</v>
      </c>
      <c r="C75" s="1010"/>
      <c r="D75" s="1010"/>
      <c r="E75" s="1010"/>
      <c r="F75" s="1010"/>
      <c r="G75" s="994"/>
      <c r="H75" s="994">
        <f t="shared" ref="H75:M75" si="47">H73/H73</f>
        <v>1</v>
      </c>
      <c r="I75" s="994">
        <f t="shared" si="47"/>
        <v>1</v>
      </c>
      <c r="J75" s="994">
        <f t="shared" si="47"/>
        <v>1</v>
      </c>
      <c r="K75" s="994">
        <f t="shared" si="47"/>
        <v>1</v>
      </c>
      <c r="L75" s="994">
        <f t="shared" si="47"/>
        <v>1</v>
      </c>
      <c r="M75" s="994">
        <f t="shared" si="47"/>
        <v>1</v>
      </c>
      <c r="N75" s="994"/>
      <c r="O75" s="994"/>
      <c r="P75" s="994"/>
      <c r="Q75" s="994"/>
      <c r="R75" s="994"/>
      <c r="S75" s="994"/>
      <c r="T75" s="994"/>
      <c r="U75" s="994">
        <f>U73/$U$73</f>
        <v>1</v>
      </c>
      <c r="V75" s="994"/>
      <c r="W75" s="994"/>
      <c r="X75" s="994"/>
      <c r="Y75" s="994"/>
      <c r="Z75" s="994"/>
      <c r="AA75" s="994"/>
      <c r="AB75" s="994"/>
      <c r="AC75" s="994"/>
      <c r="AD75" s="994">
        <f t="shared" si="45"/>
        <v>0</v>
      </c>
      <c r="AE75" s="994"/>
      <c r="AF75" s="994"/>
      <c r="AG75" s="994"/>
    </row>
    <row r="76" spans="1:33" s="1" customFormat="1" x14ac:dyDescent="0.25">
      <c r="A76" s="1097" t="s">
        <v>434</v>
      </c>
      <c r="B76" s="1098" t="s">
        <v>787</v>
      </c>
      <c r="C76" s="26">
        <f t="shared" ref="C76:H76" si="48">C79+C82</f>
        <v>137340</v>
      </c>
      <c r="D76" s="26">
        <f t="shared" si="48"/>
        <v>218870</v>
      </c>
      <c r="E76" s="26">
        <f t="shared" si="48"/>
        <v>250960</v>
      </c>
      <c r="F76" s="26">
        <f t="shared" si="48"/>
        <v>427970</v>
      </c>
      <c r="G76" s="26">
        <f t="shared" si="48"/>
        <v>511718</v>
      </c>
      <c r="H76" s="26">
        <f t="shared" si="48"/>
        <v>518821.53815899999</v>
      </c>
      <c r="I76" s="26">
        <f>I79+I82</f>
        <v>621252.36285999999</v>
      </c>
      <c r="J76" s="26">
        <f>J79+J82</f>
        <v>637708.48531999998</v>
      </c>
      <c r="K76" s="26">
        <f>K79+K82</f>
        <v>471746.97741499997</v>
      </c>
      <c r="L76" s="26">
        <f>L79+L82</f>
        <v>537596</v>
      </c>
      <c r="M76" s="26">
        <f>M79+M82</f>
        <v>2787125.363754</v>
      </c>
      <c r="N76" s="822"/>
      <c r="O76" s="822">
        <f>M76/$M$73</f>
        <v>0.12362215068222882</v>
      </c>
      <c r="P76" s="26">
        <f>P79+P82</f>
        <v>527335</v>
      </c>
      <c r="Q76" s="26">
        <f>Q79+Q82</f>
        <v>583102</v>
      </c>
      <c r="R76" s="26">
        <f>R79+R82</f>
        <v>589448</v>
      </c>
      <c r="S76" s="26">
        <f>S79+S82</f>
        <v>703523</v>
      </c>
      <c r="T76" s="26">
        <f>T79+T82</f>
        <v>690000</v>
      </c>
      <c r="U76" s="212">
        <f>SUM(P76:T76)</f>
        <v>3093408</v>
      </c>
      <c r="V76" s="26"/>
      <c r="W76" s="822">
        <f>U76/$U$7</f>
        <v>8.3624480071938387E-2</v>
      </c>
      <c r="X76" s="822"/>
      <c r="Y76" s="26">
        <f>Y79+Y82</f>
        <v>745000</v>
      </c>
      <c r="Z76" s="26">
        <f>Z79+Z82</f>
        <v>793000</v>
      </c>
      <c r="AA76" s="26">
        <f>AA79+AA82</f>
        <v>850000</v>
      </c>
      <c r="AB76" s="26">
        <f>AB79+AB82</f>
        <v>909000</v>
      </c>
      <c r="AC76" s="26">
        <f>AC79+AC82</f>
        <v>973000</v>
      </c>
      <c r="AD76" s="26">
        <f t="shared" si="45"/>
        <v>4270000</v>
      </c>
      <c r="AE76" s="822"/>
      <c r="AF76" s="822"/>
      <c r="AG76" s="822"/>
    </row>
    <row r="77" spans="1:33" s="65" customFormat="1" x14ac:dyDescent="0.25">
      <c r="A77" s="1091" t="s">
        <v>564</v>
      </c>
      <c r="B77" s="1092" t="s">
        <v>1173</v>
      </c>
      <c r="C77" s="1010"/>
      <c r="D77" s="1010"/>
      <c r="E77" s="1010"/>
      <c r="F77" s="1010"/>
      <c r="G77" s="994"/>
      <c r="H77" s="994">
        <f>H76/G76</f>
        <v>1.0138817437709833</v>
      </c>
      <c r="I77" s="994">
        <f>I76/H76</f>
        <v>1.1974297849400553</v>
      </c>
      <c r="J77" s="994">
        <f>J76/I76</f>
        <v>1.0264886275590848</v>
      </c>
      <c r="K77" s="994">
        <f>K76/J76</f>
        <v>0.73975333287007927</v>
      </c>
      <c r="L77" s="994">
        <f>L76/K76</f>
        <v>1.1395854679256843</v>
      </c>
      <c r="M77" s="994"/>
      <c r="N77" s="998">
        <f>(H77*I77*J77*K77*L77)^(1/5)-1</f>
        <v>9.9155680111433497E-3</v>
      </c>
      <c r="O77" s="994"/>
      <c r="P77" s="994">
        <f>P76/L76</f>
        <v>0.98091317643732467</v>
      </c>
      <c r="Q77" s="994">
        <f>Q76/P76</f>
        <v>1.1057525102638741</v>
      </c>
      <c r="R77" s="994">
        <f>R76/Q76</f>
        <v>1.0108831730983601</v>
      </c>
      <c r="S77" s="994">
        <f>S76/R76</f>
        <v>1.1935285215998697</v>
      </c>
      <c r="T77" s="994">
        <f>T76/S76</f>
        <v>0.98077816929936901</v>
      </c>
      <c r="U77" s="994"/>
      <c r="V77" s="994">
        <f>(P77*Q77*R77*T77*S77)^(1/5)-1</f>
        <v>5.1183686584308941E-2</v>
      </c>
      <c r="W77" s="994"/>
      <c r="X77" s="994"/>
      <c r="Y77" s="994">
        <f>Y76/T76</f>
        <v>1.0797101449275361</v>
      </c>
      <c r="Z77" s="994">
        <f>Z76/Y76</f>
        <v>1.0644295302013422</v>
      </c>
      <c r="AA77" s="994">
        <f>AA76/Z76</f>
        <v>1.0718789407313998</v>
      </c>
      <c r="AB77" s="994">
        <f>AB76/AA76</f>
        <v>1.0694117647058823</v>
      </c>
      <c r="AC77" s="994">
        <f>AC76/AB76</f>
        <v>1.0704070407040704</v>
      </c>
      <c r="AD77" s="994">
        <f t="shared" si="45"/>
        <v>5.3558374212702304</v>
      </c>
      <c r="AE77" s="992">
        <f>(Z77*AA77*AB77*AC77*Y77)^(1/5)-1</f>
        <v>7.1156061909774193E-2</v>
      </c>
      <c r="AF77" s="994"/>
      <c r="AG77" s="994"/>
    </row>
    <row r="78" spans="1:33" s="65" customFormat="1" x14ac:dyDescent="0.25">
      <c r="A78" s="1091" t="s">
        <v>564</v>
      </c>
      <c r="B78" s="1092" t="s">
        <v>1178</v>
      </c>
      <c r="C78" s="1010"/>
      <c r="D78" s="1010"/>
      <c r="E78" s="1010"/>
      <c r="F78" s="1010"/>
      <c r="G78" s="994"/>
      <c r="H78" s="994">
        <f>H76/$H$73</f>
        <v>0.12482755677368619</v>
      </c>
      <c r="I78" s="994">
        <f>I76/$I$73</f>
        <v>0.13748614728297409</v>
      </c>
      <c r="J78" s="994">
        <f>J76/$J$73</f>
        <v>0.13914097350081084</v>
      </c>
      <c r="K78" s="994">
        <f>K76/$K$73</f>
        <v>0.11471281027543583</v>
      </c>
      <c r="L78" s="994">
        <f>L76/$L$73</f>
        <v>0.10388414821611078</v>
      </c>
      <c r="M78" s="994">
        <f>M76/$M$73</f>
        <v>0.12362215068222882</v>
      </c>
      <c r="N78" s="994"/>
      <c r="O78" s="994"/>
      <c r="P78" s="994">
        <f>P76/$P$73</f>
        <v>8.3244419418577978E-2</v>
      </c>
      <c r="Q78" s="994">
        <f>Q76/$Q$73</f>
        <v>8.5099582661752868E-2</v>
      </c>
      <c r="R78" s="994">
        <f>R76/$R$73</f>
        <v>8.4401366119749119E-2</v>
      </c>
      <c r="S78" s="994">
        <f>S76/$R$73</f>
        <v>0.10073543772591349</v>
      </c>
      <c r="T78" s="994">
        <f>T76/$T$73</f>
        <v>8.5714285714285715E-2</v>
      </c>
      <c r="U78" s="994">
        <f>U76/$U$73</f>
        <v>8.3624480071938387E-2</v>
      </c>
      <c r="V78" s="994"/>
      <c r="W78" s="992"/>
      <c r="X78" s="992"/>
      <c r="Y78" s="994">
        <f>Y76/$Y$73</f>
        <v>9.1513223353683254E-2</v>
      </c>
      <c r="Z78" s="994">
        <f>Z76/$Z$73</f>
        <v>8.95337021564864E-2</v>
      </c>
      <c r="AA78" s="994">
        <f>AA76/$AA$73</f>
        <v>8.8995916657941571E-2</v>
      </c>
      <c r="AB78" s="994">
        <f>AB76/$AB$73</f>
        <v>8.8587856934022019E-2</v>
      </c>
      <c r="AC78" s="994">
        <f>AC76/$AC$73</f>
        <v>8.8054298642533932E-2</v>
      </c>
      <c r="AD78" s="994">
        <f t="shared" si="45"/>
        <v>0.44668499774466724</v>
      </c>
      <c r="AE78" s="994"/>
      <c r="AF78" s="992"/>
      <c r="AG78" s="994"/>
    </row>
    <row r="79" spans="1:33" s="1" customFormat="1" x14ac:dyDescent="0.25">
      <c r="A79" s="1084" t="s">
        <v>1188</v>
      </c>
      <c r="B79" s="551" t="s">
        <v>771</v>
      </c>
      <c r="C79" s="26">
        <f t="shared" ref="C79:M79" si="49">C10</f>
        <v>92540</v>
      </c>
      <c r="D79" s="26">
        <f t="shared" si="49"/>
        <v>116990</v>
      </c>
      <c r="E79" s="26">
        <f t="shared" si="49"/>
        <v>174910</v>
      </c>
      <c r="F79" s="26">
        <f t="shared" si="49"/>
        <v>255100</v>
      </c>
      <c r="G79" s="26">
        <f t="shared" si="49"/>
        <v>363111</v>
      </c>
      <c r="H79" s="26">
        <f t="shared" si="49"/>
        <v>375470.05056100001</v>
      </c>
      <c r="I79" s="26">
        <f t="shared" si="49"/>
        <v>392086.67269099999</v>
      </c>
      <c r="J79" s="26">
        <f t="shared" si="49"/>
        <v>377894.530516</v>
      </c>
      <c r="K79" s="26">
        <f t="shared" si="49"/>
        <v>203043.31661899999</v>
      </c>
      <c r="L79" s="26">
        <f t="shared" si="49"/>
        <v>205240</v>
      </c>
      <c r="M79" s="26">
        <f t="shared" si="49"/>
        <v>1553734.570387</v>
      </c>
      <c r="N79" s="822"/>
      <c r="O79" s="822">
        <f>M79/$M$73</f>
        <v>6.8915453778462671E-2</v>
      </c>
      <c r="P79" s="26">
        <f>P10</f>
        <v>203694</v>
      </c>
      <c r="Q79" s="26">
        <f>Q10</f>
        <v>198943</v>
      </c>
      <c r="R79" s="26">
        <f>R10</f>
        <v>203584</v>
      </c>
      <c r="S79" s="26">
        <f>S10</f>
        <v>223875</v>
      </c>
      <c r="T79" s="26">
        <f>T10</f>
        <v>190000</v>
      </c>
      <c r="U79" s="212">
        <f>SUM(P79:T79)</f>
        <v>1020096</v>
      </c>
      <c r="V79" s="26"/>
      <c r="W79" s="822">
        <f>U79/$U$7</f>
        <v>2.7576381008733428E-2</v>
      </c>
      <c r="X79" s="822">
        <f>U79/M79-1</f>
        <v>-0.34345542704509868</v>
      </c>
      <c r="Y79" s="26">
        <f>Y10</f>
        <v>210000</v>
      </c>
      <c r="Z79" s="26">
        <f>Z10</f>
        <v>220000</v>
      </c>
      <c r="AA79" s="26">
        <f>AA10</f>
        <v>230000</v>
      </c>
      <c r="AB79" s="26">
        <f>AB10</f>
        <v>240000</v>
      </c>
      <c r="AC79" s="26">
        <f>AC10</f>
        <v>250000</v>
      </c>
      <c r="AD79" s="26">
        <f t="shared" si="45"/>
        <v>1150000</v>
      </c>
      <c r="AE79" s="822"/>
      <c r="AF79" s="822">
        <f>AD79/$AD$73</f>
        <v>2.4028466419695822E-2</v>
      </c>
      <c r="AG79" s="985">
        <f>AD79/U79-1</f>
        <v>0.12734487734487732</v>
      </c>
    </row>
    <row r="80" spans="1:33" s="65" customFormat="1" x14ac:dyDescent="0.25">
      <c r="A80" s="1091" t="s">
        <v>564</v>
      </c>
      <c r="B80" s="1092" t="s">
        <v>1173</v>
      </c>
      <c r="C80" s="1010"/>
      <c r="D80" s="1010"/>
      <c r="E80" s="1010"/>
      <c r="F80" s="1010"/>
      <c r="G80" s="994"/>
      <c r="H80" s="994">
        <f>H79/G79</f>
        <v>1.0340365633676756</v>
      </c>
      <c r="I80" s="994">
        <f>I79/H79</f>
        <v>1.0442555194619987</v>
      </c>
      <c r="J80" s="994">
        <f>J79/I79</f>
        <v>0.96380355884683511</v>
      </c>
      <c r="K80" s="994">
        <f>K79/J79</f>
        <v>0.53730154903737926</v>
      </c>
      <c r="L80" s="994">
        <f>L79/K79</f>
        <v>1.0108187918596798</v>
      </c>
      <c r="M80" s="994"/>
      <c r="N80" s="998">
        <f>(H80*I80*J80*K80*L80)^(1/5)-1</f>
        <v>-0.10783635910935707</v>
      </c>
      <c r="O80" s="994"/>
      <c r="P80" s="994">
        <f>P79/L79</f>
        <v>0.9924673552913662</v>
      </c>
      <c r="Q80" s="994">
        <f>Q79/P79</f>
        <v>0.97667579801074156</v>
      </c>
      <c r="R80" s="994">
        <f>R79/Q79</f>
        <v>1.0233282900127172</v>
      </c>
      <c r="S80" s="994">
        <f>S79/R79</f>
        <v>1.099668932725558</v>
      </c>
      <c r="T80" s="994">
        <f>T79/S79</f>
        <v>0.84868788386376326</v>
      </c>
      <c r="U80" s="994"/>
      <c r="V80" s="994">
        <f>(P80*Q80*R80*T80*S80)^(1/5)-1</f>
        <v>-1.531274001962879E-2</v>
      </c>
      <c r="W80" s="994"/>
      <c r="X80" s="994"/>
      <c r="Y80" s="994">
        <f>Y79/T79</f>
        <v>1.1052631578947369</v>
      </c>
      <c r="Z80" s="994">
        <f>Z79/Y79</f>
        <v>1.0476190476190477</v>
      </c>
      <c r="AA80" s="994">
        <f>AA79/Z79</f>
        <v>1.0454545454545454</v>
      </c>
      <c r="AB80" s="994">
        <f>AB79/AA79</f>
        <v>1.0434782608695652</v>
      </c>
      <c r="AC80" s="994">
        <f>AC79/AB79</f>
        <v>1.0416666666666667</v>
      </c>
      <c r="AD80" s="994">
        <f t="shared" si="45"/>
        <v>5.283481678504562</v>
      </c>
      <c r="AE80" s="992">
        <f>(Z80*AA80*AB80*AC80*Y80)^(1/5)-1</f>
        <v>5.6421622299043017E-2</v>
      </c>
      <c r="AF80" s="994"/>
      <c r="AG80" s="994"/>
    </row>
    <row r="81" spans="1:33" s="65" customFormat="1" x14ac:dyDescent="0.25">
      <c r="A81" s="1091" t="s">
        <v>564</v>
      </c>
      <c r="B81" s="1092" t="s">
        <v>1178</v>
      </c>
      <c r="C81" s="1010"/>
      <c r="D81" s="1010"/>
      <c r="E81" s="1010"/>
      <c r="F81" s="1010"/>
      <c r="G81" s="994"/>
      <c r="H81" s="994">
        <f>H79/$H$73</f>
        <v>9.0337438995946998E-2</v>
      </c>
      <c r="I81" s="994">
        <f>I79/$I$73</f>
        <v>8.6770673645605062E-2</v>
      </c>
      <c r="J81" s="994">
        <f>J79/$J$73</f>
        <v>8.2452427820908378E-2</v>
      </c>
      <c r="K81" s="994">
        <f>K79/$K$73</f>
        <v>4.9373224571867699E-2</v>
      </c>
      <c r="L81" s="994">
        <f>L79/$L$73</f>
        <v>3.9660232925606921E-2</v>
      </c>
      <c r="M81" s="994">
        <f>M79/$M$73</f>
        <v>6.8915453778462671E-2</v>
      </c>
      <c r="N81" s="994"/>
      <c r="O81" s="994"/>
      <c r="P81" s="994">
        <f>P79/$P$73</f>
        <v>3.2154870753975787E-2</v>
      </c>
      <c r="Q81" s="994">
        <f>Q79/$Q$73</f>
        <v>2.9034313505145071E-2</v>
      </c>
      <c r="R81" s="994">
        <f>R79/$R$73</f>
        <v>2.9150608230281559E-2</v>
      </c>
      <c r="S81" s="994">
        <f>S79/$R$73</f>
        <v>3.2056018240894588E-2</v>
      </c>
      <c r="T81" s="994">
        <f>T79/$T$73</f>
        <v>2.3602484472049691E-2</v>
      </c>
      <c r="U81" s="994">
        <f>U79/$U$73</f>
        <v>2.7576381008733428E-2</v>
      </c>
      <c r="V81" s="994"/>
      <c r="W81" s="992"/>
      <c r="X81" s="992"/>
      <c r="Y81" s="994">
        <f>Y79/$Y$73</f>
        <v>2.5795673697011388E-2</v>
      </c>
      <c r="Z81" s="994">
        <f>Z79/$Z$73</f>
        <v>2.4839110308230779E-2</v>
      </c>
      <c r="AA81" s="994">
        <f>AA79/$AA$73</f>
        <v>2.4081248036854779E-2</v>
      </c>
      <c r="AB81" s="994">
        <f>AB79/$AB$73</f>
        <v>2.3389533183900205E-2</v>
      </c>
      <c r="AC81" s="994">
        <f>AC79/$AC$73</f>
        <v>2.2624434389140271E-2</v>
      </c>
      <c r="AD81" s="994">
        <f t="shared" si="45"/>
        <v>0.12072999961513743</v>
      </c>
      <c r="AE81" s="994"/>
      <c r="AF81" s="992"/>
      <c r="AG81" s="994"/>
    </row>
    <row r="82" spans="1:33" s="1" customFormat="1" x14ac:dyDescent="0.25">
      <c r="A82" s="1084" t="s">
        <v>1189</v>
      </c>
      <c r="B82" s="551" t="s">
        <v>772</v>
      </c>
      <c r="C82" s="26">
        <f t="shared" ref="C82:M82" si="50">C11</f>
        <v>44800</v>
      </c>
      <c r="D82" s="26">
        <f t="shared" si="50"/>
        <v>101880</v>
      </c>
      <c r="E82" s="26">
        <f t="shared" si="50"/>
        <v>76050</v>
      </c>
      <c r="F82" s="26">
        <f t="shared" si="50"/>
        <v>172870</v>
      </c>
      <c r="G82" s="26">
        <f t="shared" si="50"/>
        <v>148607</v>
      </c>
      <c r="H82" s="26">
        <f t="shared" si="50"/>
        <v>143351.48759800001</v>
      </c>
      <c r="I82" s="26">
        <f t="shared" si="50"/>
        <v>229165.69016900001</v>
      </c>
      <c r="J82" s="26">
        <f t="shared" si="50"/>
        <v>259813.95480400001</v>
      </c>
      <c r="K82" s="26">
        <f t="shared" si="50"/>
        <v>268703.66079599998</v>
      </c>
      <c r="L82" s="26">
        <f t="shared" si="50"/>
        <v>332356</v>
      </c>
      <c r="M82" s="26">
        <f t="shared" si="50"/>
        <v>1233390.7933670001</v>
      </c>
      <c r="N82" s="822"/>
      <c r="O82" s="822">
        <f>M82/$M$73</f>
        <v>5.4706696903766137E-2</v>
      </c>
      <c r="P82" s="26">
        <f>P11</f>
        <v>323641</v>
      </c>
      <c r="Q82" s="26">
        <f>Q11</f>
        <v>384159</v>
      </c>
      <c r="R82" s="26">
        <f>R11</f>
        <v>385864</v>
      </c>
      <c r="S82" s="26">
        <f>S11</f>
        <v>479648</v>
      </c>
      <c r="T82" s="26">
        <f>T11</f>
        <v>500000</v>
      </c>
      <c r="U82" s="212">
        <f>SUM(P82:T82)</f>
        <v>2073312</v>
      </c>
      <c r="V82" s="26"/>
      <c r="W82" s="822">
        <f>U82/$U$7</f>
        <v>5.6048099063204959E-2</v>
      </c>
      <c r="X82" s="822">
        <f>U82/M82-1</f>
        <v>0.68098546798790505</v>
      </c>
      <c r="Y82" s="26">
        <f>Y11</f>
        <v>535000</v>
      </c>
      <c r="Z82" s="26">
        <f>Z11</f>
        <v>573000</v>
      </c>
      <c r="AA82" s="26">
        <f>AA11</f>
        <v>620000</v>
      </c>
      <c r="AB82" s="26">
        <f>AB11</f>
        <v>669000</v>
      </c>
      <c r="AC82" s="26">
        <f>AC11</f>
        <v>723000</v>
      </c>
      <c r="AD82" s="26">
        <f t="shared" si="45"/>
        <v>3120000</v>
      </c>
      <c r="AE82" s="822"/>
      <c r="AF82" s="822">
        <f>AD82/$AD$73</f>
        <v>6.5190274112566046E-2</v>
      </c>
      <c r="AG82" s="985">
        <f>AD82/U82-1</f>
        <v>0.50483863499560133</v>
      </c>
    </row>
    <row r="83" spans="1:33" x14ac:dyDescent="0.25">
      <c r="A83" s="1091" t="s">
        <v>564</v>
      </c>
      <c r="B83" s="1092" t="s">
        <v>1173</v>
      </c>
      <c r="C83" s="1010"/>
      <c r="D83" s="1010"/>
      <c r="E83" s="1010"/>
      <c r="F83" s="1010"/>
      <c r="G83" s="994"/>
      <c r="H83" s="994">
        <f>H82/G82</f>
        <v>0.96463482607145024</v>
      </c>
      <c r="I83" s="994">
        <f>I82/H82</f>
        <v>1.5986279180558518</v>
      </c>
      <c r="J83" s="994">
        <f>J82/I82</f>
        <v>1.1337384519139764</v>
      </c>
      <c r="K83" s="994">
        <f>K82/J82</f>
        <v>1.0342156601969523</v>
      </c>
      <c r="L83" s="994">
        <f>L82/K82</f>
        <v>1.2368867585035432</v>
      </c>
      <c r="M83" s="994"/>
      <c r="N83" s="998">
        <f>(H83*I83*J83*K83*L83)^(1/5)-1</f>
        <v>0.17466181508080636</v>
      </c>
      <c r="O83" s="994"/>
      <c r="P83" s="994">
        <f>P82/L82</f>
        <v>0.97377811744033504</v>
      </c>
      <c r="Q83" s="994">
        <f>Q82/P82</f>
        <v>1.1869911414190415</v>
      </c>
      <c r="R83" s="994">
        <f>R82/Q82</f>
        <v>1.004438266446966</v>
      </c>
      <c r="S83" s="994">
        <f>S82/R82</f>
        <v>1.2430493645429477</v>
      </c>
      <c r="T83" s="994">
        <f>T82/S82</f>
        <v>1.0424311161518447</v>
      </c>
      <c r="U83" s="994"/>
      <c r="V83" s="994">
        <f>(P83*Q83*R83*T83*S83)^(1/5)-1</f>
        <v>8.5108826590942321E-2</v>
      </c>
      <c r="W83" s="994"/>
      <c r="X83" s="994"/>
      <c r="Y83" s="994">
        <f>Y82/T82</f>
        <v>1.07</v>
      </c>
      <c r="Z83" s="994">
        <f>Z82/Y82</f>
        <v>1.0710280373831775</v>
      </c>
      <c r="AA83" s="994">
        <f>AA82/Z82</f>
        <v>1.0820244328097732</v>
      </c>
      <c r="AB83" s="994">
        <f>AB82/AA82</f>
        <v>1.0790322580645162</v>
      </c>
      <c r="AC83" s="994">
        <f>AC82/AB82</f>
        <v>1.0807174887892377</v>
      </c>
      <c r="AD83" s="994">
        <f t="shared" si="45"/>
        <v>5.3828022170467049</v>
      </c>
      <c r="AE83" s="992">
        <f>(Z83*AA83*AB83*AC83*Y83)^(1/5)-1</f>
        <v>7.6548644823845713E-2</v>
      </c>
      <c r="AF83" s="994"/>
      <c r="AG83" s="994"/>
    </row>
    <row r="84" spans="1:33" x14ac:dyDescent="0.25">
      <c r="A84" s="1091" t="s">
        <v>564</v>
      </c>
      <c r="B84" s="1092" t="s">
        <v>1178</v>
      </c>
      <c r="C84" s="1010"/>
      <c r="D84" s="1010"/>
      <c r="E84" s="1010"/>
      <c r="F84" s="1010"/>
      <c r="G84" s="994"/>
      <c r="H84" s="994">
        <f>H82/$H$73</f>
        <v>3.4490117777739186E-2</v>
      </c>
      <c r="I84" s="994">
        <f>I82/$I$73</f>
        <v>5.0715473637369016E-2</v>
      </c>
      <c r="J84" s="994">
        <f>J82/$J$73</f>
        <v>5.6688545679902468E-2</v>
      </c>
      <c r="K84" s="994">
        <f>K82/$K$73</f>
        <v>6.533958570356814E-2</v>
      </c>
      <c r="L84" s="994">
        <f>L82/$L$73</f>
        <v>6.4223915290503863E-2</v>
      </c>
      <c r="M84" s="994">
        <f>M82/$M$73</f>
        <v>5.4706696903766137E-2</v>
      </c>
      <c r="N84" s="994"/>
      <c r="O84" s="994"/>
      <c r="P84" s="994">
        <f>P82/$P$73</f>
        <v>5.1089548664602191E-2</v>
      </c>
      <c r="Q84" s="994">
        <f>Q82/$Q$73</f>
        <v>5.6065269156607797E-2</v>
      </c>
      <c r="R84" s="994">
        <f>R82/$R$73</f>
        <v>5.5250757889467553E-2</v>
      </c>
      <c r="S84" s="994">
        <f>S82/$R$73</f>
        <v>6.8679419485018905E-2</v>
      </c>
      <c r="T84" s="994">
        <f>T82/$T$73</f>
        <v>6.2111801242236024E-2</v>
      </c>
      <c r="U84" s="994">
        <f>U82/$U$73</f>
        <v>5.6048099063204959E-2</v>
      </c>
      <c r="V84" s="994"/>
      <c r="W84" s="992"/>
      <c r="X84" s="992"/>
      <c r="Y84" s="994">
        <f>Y82/$Y$73</f>
        <v>6.571754965667187E-2</v>
      </c>
      <c r="Z84" s="994">
        <f>Z82/$Z$73</f>
        <v>6.4694591848255614E-2</v>
      </c>
      <c r="AA84" s="994">
        <f>AA82/$AA$73</f>
        <v>6.4914668621086802E-2</v>
      </c>
      <c r="AB84" s="994">
        <f>AB82/$AB$73</f>
        <v>6.5198323750121814E-2</v>
      </c>
      <c r="AC84" s="994">
        <f>AC82/$AC$73</f>
        <v>6.5429864253393671E-2</v>
      </c>
      <c r="AD84" s="994">
        <f t="shared" si="45"/>
        <v>0.32595499812952977</v>
      </c>
      <c r="AE84" s="994"/>
      <c r="AF84" s="992"/>
      <c r="AG84" s="994"/>
    </row>
    <row r="85" spans="1:33" s="1" customFormat="1" x14ac:dyDescent="0.25">
      <c r="A85" s="1084" t="s">
        <v>435</v>
      </c>
      <c r="B85" s="551" t="s">
        <v>1073</v>
      </c>
      <c r="C85" s="26">
        <f t="shared" ref="C85:M85" si="51">C13</f>
        <v>271920</v>
      </c>
      <c r="D85" s="26">
        <f t="shared" si="51"/>
        <v>369340</v>
      </c>
      <c r="E85" s="26">
        <f t="shared" si="51"/>
        <v>554950</v>
      </c>
      <c r="F85" s="26">
        <f t="shared" si="51"/>
        <v>654560</v>
      </c>
      <c r="G85" s="26">
        <f t="shared" si="51"/>
        <v>873678</v>
      </c>
      <c r="H85" s="26">
        <f t="shared" si="51"/>
        <v>1024104.439563</v>
      </c>
      <c r="I85" s="26">
        <f t="shared" si="51"/>
        <v>1064747.6828060001</v>
      </c>
      <c r="J85" s="26">
        <f t="shared" si="51"/>
        <v>1081721.420525</v>
      </c>
      <c r="K85" s="26">
        <f t="shared" si="51"/>
        <v>744273.199104</v>
      </c>
      <c r="L85" s="26">
        <f t="shared" si="51"/>
        <v>586685</v>
      </c>
      <c r="M85" s="26">
        <f t="shared" si="51"/>
        <v>4501531.7419980001</v>
      </c>
      <c r="N85" s="822"/>
      <c r="O85" s="822">
        <f>M85/$M$73</f>
        <v>0.19966415667810991</v>
      </c>
      <c r="P85" s="26">
        <f>P13</f>
        <v>674044</v>
      </c>
      <c r="Q85" s="26">
        <f>Q13</f>
        <v>895287</v>
      </c>
      <c r="R85" s="26">
        <f>R13</f>
        <v>943679</v>
      </c>
      <c r="S85" s="26">
        <f>S13</f>
        <v>1430938</v>
      </c>
      <c r="T85" s="26">
        <f>T13</f>
        <v>1210000</v>
      </c>
      <c r="U85" s="212">
        <f>SUM(P85:T85)</f>
        <v>5153948</v>
      </c>
      <c r="V85" s="26"/>
      <c r="W85" s="822">
        <f>U85/$U$7</f>
        <v>0.13932731208356824</v>
      </c>
      <c r="X85" s="822">
        <f>U85/M85-1</f>
        <v>0.14493205766276018</v>
      </c>
      <c r="Y85" s="26">
        <f>Y13</f>
        <v>1315000</v>
      </c>
      <c r="Z85" s="26">
        <f>Z13</f>
        <v>1511000</v>
      </c>
      <c r="AA85" s="26">
        <f>AA13</f>
        <v>1737000</v>
      </c>
      <c r="AB85" s="26">
        <f>AB13</f>
        <v>1996000</v>
      </c>
      <c r="AC85" s="26">
        <f>AC13</f>
        <v>2295000</v>
      </c>
      <c r="AD85" s="26">
        <f t="shared" si="45"/>
        <v>8854000</v>
      </c>
      <c r="AE85" s="822"/>
      <c r="AF85" s="822">
        <f>AD85/$AD$73</f>
        <v>0.18499829711303201</v>
      </c>
      <c r="AG85" s="985">
        <f>AD85/U85-1</f>
        <v>0.71790635062674291</v>
      </c>
    </row>
    <row r="86" spans="1:33" x14ac:dyDescent="0.25">
      <c r="A86" s="1091" t="s">
        <v>564</v>
      </c>
      <c r="B86" s="1092" t="s">
        <v>1173</v>
      </c>
      <c r="C86" s="1010"/>
      <c r="D86" s="1010"/>
      <c r="E86" s="1010"/>
      <c r="F86" s="1010"/>
      <c r="G86" s="994"/>
      <c r="H86" s="994">
        <f>H85/G85</f>
        <v>1.172176064365819</v>
      </c>
      <c r="I86" s="994">
        <f>I85/H85</f>
        <v>1.0396866195212895</v>
      </c>
      <c r="J86" s="994">
        <f>J85/I85</f>
        <v>1.0159415587308609</v>
      </c>
      <c r="K86" s="994">
        <f>K85/J85</f>
        <v>0.6880451703940339</v>
      </c>
      <c r="L86" s="994">
        <f>L85/K85</f>
        <v>0.78826565393767511</v>
      </c>
      <c r="M86" s="994"/>
      <c r="N86" s="998">
        <f>(H86*I86*J86*K86*L86)^(1/5)-1</f>
        <v>-7.6555674498281601E-2</v>
      </c>
      <c r="O86" s="994"/>
      <c r="P86" s="994">
        <f>P85/L85</f>
        <v>1.1489027331532253</v>
      </c>
      <c r="Q86" s="994">
        <f>Q85/P85</f>
        <v>1.3282322815721228</v>
      </c>
      <c r="R86" s="994">
        <f>R85/Q85</f>
        <v>1.0540519408859952</v>
      </c>
      <c r="S86" s="994">
        <f>S85/R85</f>
        <v>1.5163397723166459</v>
      </c>
      <c r="T86" s="994">
        <f>T85/S85</f>
        <v>0.84559918039775306</v>
      </c>
      <c r="U86" s="994"/>
      <c r="V86" s="994">
        <f>(P86*Q86*R86*T86*S86)^(1/5)-1</f>
        <v>0.15578240081530326</v>
      </c>
      <c r="W86" s="994"/>
      <c r="X86" s="994"/>
      <c r="Y86" s="994">
        <f>Y85/T85</f>
        <v>1.0867768595041323</v>
      </c>
      <c r="Z86" s="994">
        <f>Z85/Y85</f>
        <v>1.1490494296577947</v>
      </c>
      <c r="AA86" s="994">
        <f>AA85/Z85</f>
        <v>1.1495698213103904</v>
      </c>
      <c r="AB86" s="994">
        <f>AB85/AA85</f>
        <v>1.1491076568796776</v>
      </c>
      <c r="AC86" s="994">
        <f>AC85/AB85</f>
        <v>1.1497995991983967</v>
      </c>
      <c r="AD86" s="994">
        <f t="shared" si="45"/>
        <v>5.6843033665503908</v>
      </c>
      <c r="AE86" s="992">
        <f>(Z86*AA86*AB86*AC86*Y86)^(1/5)-1</f>
        <v>0.13657857176840715</v>
      </c>
      <c r="AF86" s="994"/>
      <c r="AG86" s="994"/>
    </row>
    <row r="87" spans="1:33" x14ac:dyDescent="0.25">
      <c r="A87" s="1091" t="s">
        <v>564</v>
      </c>
      <c r="B87" s="1092" t="s">
        <v>1178</v>
      </c>
      <c r="C87" s="1010"/>
      <c r="D87" s="1010"/>
      <c r="E87" s="1010"/>
      <c r="F87" s="1010"/>
      <c r="G87" s="994"/>
      <c r="H87" s="994">
        <f>H85/$H$73</f>
        <v>0.24639774116809549</v>
      </c>
      <c r="I87" s="994">
        <f>I85/$I$73</f>
        <v>0.2356338027650445</v>
      </c>
      <c r="J87" s="994">
        <f>J85/$J$73</f>
        <v>0.23601970959035018</v>
      </c>
      <c r="K87" s="994">
        <f>K85/$K$73</f>
        <v>0.18098191269766492</v>
      </c>
      <c r="L87" s="994">
        <f>L85/$L$73</f>
        <v>0.11337002413739863</v>
      </c>
      <c r="M87" s="994">
        <f>M85/$M$73</f>
        <v>0.19966415667810991</v>
      </c>
      <c r="N87" s="994"/>
      <c r="O87" s="994"/>
      <c r="P87" s="994">
        <f>P85/$P$73</f>
        <v>0.10640371195269796</v>
      </c>
      <c r="Q87" s="994">
        <f>Q85/$Q$73</f>
        <v>0.13066075928824245</v>
      </c>
      <c r="R87" s="994">
        <f>R85/$R$73</f>
        <v>0.13512268559485946</v>
      </c>
      <c r="S87" s="994">
        <f>S85/$R$73</f>
        <v>0.20489190230972293</v>
      </c>
      <c r="T87" s="994">
        <f>T85/$T$73</f>
        <v>0.15031055900621118</v>
      </c>
      <c r="U87" s="994">
        <f>U85/$U$73</f>
        <v>0.13932731208356824</v>
      </c>
      <c r="V87" s="994"/>
      <c r="W87" s="992"/>
      <c r="X87" s="992"/>
      <c r="Y87" s="994">
        <f>Y85/$Y$73</f>
        <v>0.16153005195985701</v>
      </c>
      <c r="Z87" s="994">
        <f>Z85/$Z$73</f>
        <v>0.17059952579880322</v>
      </c>
      <c r="AA87" s="994">
        <f>AA85/$AA$73</f>
        <v>0.18186577321746414</v>
      </c>
      <c r="AB87" s="994">
        <f>AB85/$AB$73</f>
        <v>0.1945229509794367</v>
      </c>
      <c r="AC87" s="994">
        <f>AC85/$AC$73</f>
        <v>0.2076923076923077</v>
      </c>
      <c r="AD87" s="994">
        <f t="shared" si="45"/>
        <v>0.91621060964786882</v>
      </c>
      <c r="AE87" s="994"/>
      <c r="AF87" s="992"/>
      <c r="AG87" s="994"/>
    </row>
    <row r="88" spans="1:33" s="1" customFormat="1" x14ac:dyDescent="0.25">
      <c r="A88" s="1097" t="s">
        <v>436</v>
      </c>
      <c r="B88" s="551" t="s">
        <v>1034</v>
      </c>
      <c r="C88" s="26">
        <f t="shared" ref="C88:M88" si="52">C18</f>
        <v>154600</v>
      </c>
      <c r="D88" s="26">
        <f t="shared" si="52"/>
        <v>172040</v>
      </c>
      <c r="E88" s="26">
        <f t="shared" si="52"/>
        <v>185420</v>
      </c>
      <c r="F88" s="26">
        <f t="shared" si="52"/>
        <v>382620</v>
      </c>
      <c r="G88" s="26">
        <f t="shared" si="52"/>
        <v>499448.84769999998</v>
      </c>
      <c r="H88" s="26">
        <f t="shared" si="52"/>
        <v>650890.53007500002</v>
      </c>
      <c r="I88" s="26">
        <f t="shared" si="52"/>
        <v>646721.78421900002</v>
      </c>
      <c r="J88" s="26">
        <f t="shared" si="52"/>
        <v>553543.69900000002</v>
      </c>
      <c r="K88" s="26">
        <f t="shared" si="52"/>
        <v>670403.16145000001</v>
      </c>
      <c r="L88" s="26">
        <f t="shared" si="52"/>
        <v>1299030</v>
      </c>
      <c r="M88" s="26">
        <f t="shared" si="52"/>
        <v>3820589.1747440002</v>
      </c>
      <c r="N88" s="822"/>
      <c r="O88" s="822">
        <f>M88/$M$73</f>
        <v>0.16946114329745751</v>
      </c>
      <c r="P88" s="26">
        <f>P18</f>
        <v>2273225</v>
      </c>
      <c r="Q88" s="26">
        <f>Q18</f>
        <v>1947905</v>
      </c>
      <c r="R88" s="26">
        <f>R18</f>
        <v>1700536</v>
      </c>
      <c r="S88" s="26">
        <f>S18</f>
        <v>2280939</v>
      </c>
      <c r="T88" s="26">
        <f>T18</f>
        <v>2130000</v>
      </c>
      <c r="U88" s="212">
        <f>SUM(P88:T88)</f>
        <v>10332605</v>
      </c>
      <c r="V88" s="26"/>
      <c r="W88" s="822">
        <f>U88/$U$7</f>
        <v>0.27932258561227968</v>
      </c>
      <c r="X88" s="822">
        <f>U88/M88-1</f>
        <v>1.7044532995862713</v>
      </c>
      <c r="Y88" s="26">
        <f>Y18</f>
        <v>2270000</v>
      </c>
      <c r="Z88" s="26">
        <f>Z18</f>
        <v>2497000</v>
      </c>
      <c r="AA88" s="26">
        <f>AA18</f>
        <v>2747000</v>
      </c>
      <c r="AB88" s="26">
        <f>AB18</f>
        <v>3022000</v>
      </c>
      <c r="AC88" s="26">
        <f>AC18</f>
        <v>3324000</v>
      </c>
      <c r="AD88" s="26">
        <f t="shared" si="45"/>
        <v>13860000</v>
      </c>
      <c r="AE88" s="822"/>
      <c r="AF88" s="822">
        <f>AD88/$AD$73</f>
        <v>0.28959525615389919</v>
      </c>
      <c r="AG88" s="985">
        <f>AD88/U88-1</f>
        <v>0.34138486857864003</v>
      </c>
    </row>
    <row r="89" spans="1:33" x14ac:dyDescent="0.25">
      <c r="A89" s="1091" t="s">
        <v>564</v>
      </c>
      <c r="B89" s="1092" t="s">
        <v>1173</v>
      </c>
      <c r="C89" s="1010"/>
      <c r="D89" s="1010"/>
      <c r="E89" s="1010"/>
      <c r="F89" s="1010"/>
      <c r="G89" s="994"/>
      <c r="H89" s="994">
        <f>H88/G88</f>
        <v>1.303217602908487</v>
      </c>
      <c r="I89" s="994">
        <f>I88/H88</f>
        <v>0.99359531954548541</v>
      </c>
      <c r="J89" s="994">
        <f>J88/I88</f>
        <v>0.85592245770486208</v>
      </c>
      <c r="K89" s="994">
        <f>K88/J88</f>
        <v>1.2111115394522809</v>
      </c>
      <c r="L89" s="994">
        <f>L88/K88</f>
        <v>1.9376847764117893</v>
      </c>
      <c r="M89" s="994"/>
      <c r="N89" s="998">
        <f>(H89*I89*J89*K89*L89)^(1/5)-1</f>
        <v>0.21066958798459878</v>
      </c>
      <c r="O89" s="994"/>
      <c r="P89" s="994">
        <f>P88/L88</f>
        <v>1.7499403400999207</v>
      </c>
      <c r="Q89" s="994">
        <f>Q88/P88</f>
        <v>0.85689054097152728</v>
      </c>
      <c r="R89" s="994">
        <f>R88/Q88</f>
        <v>0.87300766721169665</v>
      </c>
      <c r="S89" s="994">
        <f>S88/R88</f>
        <v>1.3413059176636073</v>
      </c>
      <c r="T89" s="994">
        <f>T88/S88</f>
        <v>0.93382593747575016</v>
      </c>
      <c r="U89" s="994"/>
      <c r="V89" s="994">
        <f>(P89*Q89*R89*T89*S89)^(1/5)-1</f>
        <v>0.10395681420545122</v>
      </c>
      <c r="W89" s="994"/>
      <c r="X89" s="994"/>
      <c r="Y89" s="994">
        <f>Y88/T88</f>
        <v>1.0657276995305165</v>
      </c>
      <c r="Z89" s="994">
        <f>Z88/Y88</f>
        <v>1.1000000000000001</v>
      </c>
      <c r="AA89" s="994">
        <f>AA88/Z88</f>
        <v>1.1001201441730075</v>
      </c>
      <c r="AB89" s="994">
        <f>AB88/AA88</f>
        <v>1.1001092100473244</v>
      </c>
      <c r="AC89" s="994">
        <f>AC88/AB88</f>
        <v>1.0999338186631369</v>
      </c>
      <c r="AD89" s="994">
        <f t="shared" si="45"/>
        <v>5.4658908724139845</v>
      </c>
      <c r="AE89" s="992">
        <f>(Z89*AA89*AB89*AC89*Y89)^(1/5)-1</f>
        <v>9.3090908874554401E-2</v>
      </c>
      <c r="AF89" s="994"/>
      <c r="AG89" s="994"/>
    </row>
    <row r="90" spans="1:33" x14ac:dyDescent="0.25">
      <c r="A90" s="1091" t="s">
        <v>564</v>
      </c>
      <c r="B90" s="1092" t="s">
        <v>1178</v>
      </c>
      <c r="C90" s="1010"/>
      <c r="D90" s="1010"/>
      <c r="E90" s="1010"/>
      <c r="F90" s="1010"/>
      <c r="G90" s="994"/>
      <c r="H90" s="994">
        <f>H88/$H$73</f>
        <v>0.1566031257775036</v>
      </c>
      <c r="I90" s="994">
        <f>I88/$I$73</f>
        <v>0.14312265319508877</v>
      </c>
      <c r="J90" s="994">
        <f>J88/$J$73</f>
        <v>0.12077714336112548</v>
      </c>
      <c r="K90" s="994">
        <f>K88/$K$73</f>
        <v>0.16301923350706124</v>
      </c>
      <c r="L90" s="994">
        <f>L88/$L$73</f>
        <v>0.25102237564486041</v>
      </c>
      <c r="M90" s="994">
        <f>M88/$M$73</f>
        <v>0.16946114329745751</v>
      </c>
      <c r="N90" s="994"/>
      <c r="O90" s="994"/>
      <c r="P90" s="994">
        <f>P88/$P$73</f>
        <v>0.35884835130002168</v>
      </c>
      <c r="Q90" s="994">
        <f>Q88/$Q$73</f>
        <v>0.28428285714118923</v>
      </c>
      <c r="R90" s="994">
        <f>R88/$R$73</f>
        <v>0.24349486559597061</v>
      </c>
      <c r="S90" s="994">
        <f>S88/$R$73</f>
        <v>0.32660110414458005</v>
      </c>
      <c r="T90" s="994">
        <f>T88/$T$73</f>
        <v>0.26459627329192548</v>
      </c>
      <c r="U90" s="994">
        <f>U88/$U$73</f>
        <v>0.27932258561227968</v>
      </c>
      <c r="V90" s="994"/>
      <c r="W90" s="992"/>
      <c r="X90" s="992"/>
      <c r="Y90" s="994">
        <f>Y88/$Y$73</f>
        <v>0.27883894901055167</v>
      </c>
      <c r="Z90" s="994">
        <f>Z88/$Z$73</f>
        <v>0.28192390199841932</v>
      </c>
      <c r="AA90" s="994">
        <f>AA88/$AA$73</f>
        <v>0.28761386242278297</v>
      </c>
      <c r="AB90" s="994">
        <f>AB88/$AB$73</f>
        <v>0.2945132053406101</v>
      </c>
      <c r="AC90" s="994">
        <f>AC88/$AC$73</f>
        <v>0.30081447963800906</v>
      </c>
      <c r="AD90" s="994">
        <f t="shared" si="45"/>
        <v>1.4437043984103732</v>
      </c>
      <c r="AE90" s="994"/>
      <c r="AF90" s="992"/>
      <c r="AG90" s="994"/>
    </row>
    <row r="91" spans="1:33" s="1" customFormat="1" x14ac:dyDescent="0.25">
      <c r="A91" s="1097" t="s">
        <v>437</v>
      </c>
      <c r="B91" s="551" t="s">
        <v>418</v>
      </c>
      <c r="C91" s="26">
        <f t="shared" ref="C91:M91" si="53">C20</f>
        <v>191500</v>
      </c>
      <c r="D91" s="26">
        <f t="shared" si="53"/>
        <v>415260</v>
      </c>
      <c r="E91" s="26">
        <f t="shared" si="53"/>
        <v>444040</v>
      </c>
      <c r="F91" s="26">
        <f t="shared" si="53"/>
        <v>300000</v>
      </c>
      <c r="G91" s="26">
        <f t="shared" si="53"/>
        <v>407675.25223099999</v>
      </c>
      <c r="H91" s="26">
        <f t="shared" si="53"/>
        <v>394171.66318199999</v>
      </c>
      <c r="I91" s="26">
        <f t="shared" si="53"/>
        <v>413801.849995</v>
      </c>
      <c r="J91" s="26">
        <f t="shared" si="53"/>
        <v>312735.00110200001</v>
      </c>
      <c r="K91" s="26">
        <f t="shared" si="53"/>
        <v>379564.95398699999</v>
      </c>
      <c r="L91" s="26">
        <f t="shared" si="53"/>
        <v>383777</v>
      </c>
      <c r="M91" s="26">
        <f t="shared" si="53"/>
        <v>1884050.468266</v>
      </c>
      <c r="N91" s="822"/>
      <c r="O91" s="822">
        <f>M91/$M$73</f>
        <v>8.3566521230029819E-2</v>
      </c>
      <c r="P91" s="26">
        <f>P20</f>
        <v>454422</v>
      </c>
      <c r="Q91" s="26">
        <f>Q20</f>
        <v>639601</v>
      </c>
      <c r="R91" s="26">
        <f>R20</f>
        <v>843422</v>
      </c>
      <c r="S91" s="26">
        <f>S20</f>
        <v>964965</v>
      </c>
      <c r="T91" s="26">
        <f>T20</f>
        <v>750000</v>
      </c>
      <c r="U91" s="212">
        <f>SUM(P91:T91)</f>
        <v>3652410</v>
      </c>
      <c r="V91" s="26"/>
      <c r="W91" s="822">
        <f>U91/$U$7</f>
        <v>9.8736050097351688E-2</v>
      </c>
      <c r="X91" s="822">
        <f>U91/M91-1</f>
        <v>0.93859456607949721</v>
      </c>
      <c r="Y91" s="26">
        <f>Y20</f>
        <v>750000</v>
      </c>
      <c r="Z91" s="26">
        <f>Z20</f>
        <v>800000</v>
      </c>
      <c r="AA91" s="26">
        <f>AA20</f>
        <v>800000</v>
      </c>
      <c r="AB91" s="26">
        <f>AB20</f>
        <v>800000</v>
      </c>
      <c r="AC91" s="26">
        <f>AC20</f>
        <v>800000</v>
      </c>
      <c r="AD91" s="26">
        <f t="shared" si="45"/>
        <v>3950000</v>
      </c>
      <c r="AE91" s="822"/>
      <c r="AF91" s="822">
        <f>AD91/$AD$73</f>
        <v>8.253255857199869E-2</v>
      </c>
      <c r="AG91" s="985">
        <f>AD91/U91-1</f>
        <v>8.1477709238557461E-2</v>
      </c>
    </row>
    <row r="92" spans="1:33" x14ac:dyDescent="0.25">
      <c r="A92" s="1091" t="s">
        <v>564</v>
      </c>
      <c r="B92" s="1092" t="s">
        <v>1173</v>
      </c>
      <c r="C92" s="1010"/>
      <c r="D92" s="1010"/>
      <c r="E92" s="1010"/>
      <c r="F92" s="1010"/>
      <c r="G92" s="994"/>
      <c r="H92" s="994">
        <f>H91/G91</f>
        <v>0.96687660343594151</v>
      </c>
      <c r="I92" s="994">
        <f>I91/H91</f>
        <v>1.0498011111568317</v>
      </c>
      <c r="J92" s="994">
        <f>J91/I91</f>
        <v>0.755760277789427</v>
      </c>
      <c r="K92" s="994">
        <f>K91/J91</f>
        <v>1.2136951497258315</v>
      </c>
      <c r="L92" s="994">
        <f>L91/K91</f>
        <v>1.0110970361429741</v>
      </c>
      <c r="M92" s="994"/>
      <c r="N92" s="998">
        <f>(H92*I92*J92*K92*L92)^(1/5)-1</f>
        <v>-1.2009157956660799E-2</v>
      </c>
      <c r="O92" s="994"/>
      <c r="P92" s="994">
        <f>P91/L91</f>
        <v>1.1840782537775845</v>
      </c>
      <c r="Q92" s="994">
        <f>Q91/P91</f>
        <v>1.4075044782162835</v>
      </c>
      <c r="R92" s="994">
        <f>R91/Q91</f>
        <v>1.3186689826938982</v>
      </c>
      <c r="S92" s="994">
        <f>S91/R91</f>
        <v>1.1441069832183652</v>
      </c>
      <c r="T92" s="994">
        <f>T91/S91</f>
        <v>0.77723026223749048</v>
      </c>
      <c r="U92" s="994"/>
      <c r="V92" s="994">
        <f>(P92*Q92*R92*T92*S92)^(1/5)-1</f>
        <v>0.14339546129622782</v>
      </c>
      <c r="W92" s="994"/>
      <c r="X92" s="994"/>
      <c r="Y92" s="994">
        <f>Y91/T91</f>
        <v>1</v>
      </c>
      <c r="Z92" s="994">
        <f>Z91/Y91</f>
        <v>1.0666666666666667</v>
      </c>
      <c r="AA92" s="994">
        <f>AA91/Z91</f>
        <v>1</v>
      </c>
      <c r="AB92" s="994">
        <f>AB91/AA91</f>
        <v>1</v>
      </c>
      <c r="AC92" s="994">
        <f>AC91/AB91</f>
        <v>1</v>
      </c>
      <c r="AD92" s="994">
        <f t="shared" si="45"/>
        <v>5.0666666666666664</v>
      </c>
      <c r="AE92" s="992">
        <f>(Z92*AA92*AB92*AC92*Y92)^(1/5)-1</f>
        <v>1.299136822423641E-2</v>
      </c>
      <c r="AF92" s="994"/>
      <c r="AG92" s="994"/>
    </row>
    <row r="93" spans="1:33" x14ac:dyDescent="0.25">
      <c r="A93" s="1091" t="s">
        <v>564</v>
      </c>
      <c r="B93" s="1092" t="s">
        <v>1178</v>
      </c>
      <c r="C93" s="1010"/>
      <c r="D93" s="1010"/>
      <c r="E93" s="1010"/>
      <c r="F93" s="1010"/>
      <c r="G93" s="994"/>
      <c r="H93" s="994">
        <f>H91/$H$73</f>
        <v>9.4837014359550983E-2</v>
      </c>
      <c r="I93" s="994">
        <f>I91/$I$73</f>
        <v>9.1576347223005103E-2</v>
      </c>
      <c r="J93" s="994">
        <f>J91/$J$73</f>
        <v>6.8235335584838783E-2</v>
      </c>
      <c r="K93" s="994">
        <f>K91/$K$73</f>
        <v>9.2297279343481392E-2</v>
      </c>
      <c r="L93" s="994">
        <f>L91/$L$73</f>
        <v>7.4160422975495258E-2</v>
      </c>
      <c r="M93" s="994">
        <f>M91/$M$73</f>
        <v>8.3566521230029819E-2</v>
      </c>
      <c r="N93" s="994"/>
      <c r="O93" s="994"/>
      <c r="P93" s="994">
        <f>P91/$P$73</f>
        <v>7.1734467769120278E-2</v>
      </c>
      <c r="Q93" s="994">
        <f>Q91/$Q$73</f>
        <v>9.3345209191599054E-2</v>
      </c>
      <c r="R93" s="994">
        <f>R91/$R$73</f>
        <v>0.1207671737209237</v>
      </c>
      <c r="S93" s="994">
        <f>S91/$R$73</f>
        <v>0.13817056679765424</v>
      </c>
      <c r="T93" s="994">
        <f>T91/$T$73</f>
        <v>9.3167701863354033E-2</v>
      </c>
      <c r="U93" s="994">
        <f>U91/$U$73</f>
        <v>9.8736050097351688E-2</v>
      </c>
      <c r="V93" s="994"/>
      <c r="W93" s="992"/>
      <c r="X93" s="992"/>
      <c r="Y93" s="994">
        <f>Y91/$Y$73</f>
        <v>9.2127406060754952E-2</v>
      </c>
      <c r="Z93" s="994">
        <f>Z91/$Z$73</f>
        <v>9.0324037484475553E-2</v>
      </c>
      <c r="AA93" s="994">
        <f>AA91/$AA$73</f>
        <v>8.3760862736886196E-2</v>
      </c>
      <c r="AB93" s="994">
        <f>AB91/$AB$73</f>
        <v>7.7965110613000682E-2</v>
      </c>
      <c r="AC93" s="994">
        <f>AC91/$AC$73</f>
        <v>7.2398190045248875E-2</v>
      </c>
      <c r="AD93" s="994">
        <f t="shared" si="45"/>
        <v>0.41657560694036627</v>
      </c>
      <c r="AE93" s="994"/>
      <c r="AF93" s="992"/>
      <c r="AG93" s="994"/>
    </row>
    <row r="94" spans="1:33" s="1" customFormat="1" x14ac:dyDescent="0.25">
      <c r="A94" s="1097" t="s">
        <v>440</v>
      </c>
      <c r="B94" s="551" t="s">
        <v>226</v>
      </c>
      <c r="C94" s="26">
        <f t="shared" ref="C94:M94" si="54">C27</f>
        <v>349410</v>
      </c>
      <c r="D94" s="26">
        <f t="shared" si="54"/>
        <v>810346.39989600005</v>
      </c>
      <c r="E94" s="26">
        <f t="shared" si="54"/>
        <v>452760</v>
      </c>
      <c r="F94" s="26">
        <f t="shared" si="54"/>
        <v>500750</v>
      </c>
      <c r="G94" s="26">
        <f t="shared" si="54"/>
        <v>810346.39989600005</v>
      </c>
      <c r="H94" s="26">
        <f t="shared" si="54"/>
        <v>687860.86755299999</v>
      </c>
      <c r="I94" s="26">
        <f t="shared" si="54"/>
        <v>804565.51386399998</v>
      </c>
      <c r="J94" s="26">
        <f t="shared" si="54"/>
        <v>941882.63027900003</v>
      </c>
      <c r="K94" s="26">
        <f t="shared" si="54"/>
        <v>954775.96481699997</v>
      </c>
      <c r="L94" s="26">
        <f t="shared" si="54"/>
        <v>1189344</v>
      </c>
      <c r="M94" s="26">
        <f t="shared" si="54"/>
        <v>4578428.9765130002</v>
      </c>
      <c r="N94" s="822"/>
      <c r="O94" s="822">
        <f>M94/$M$73</f>
        <v>0.2030749115856165</v>
      </c>
      <c r="P94" s="26">
        <f>P27</f>
        <v>1310161</v>
      </c>
      <c r="Q94" s="26">
        <f>Q27</f>
        <v>1477896</v>
      </c>
      <c r="R94" s="26">
        <f>R27</f>
        <v>1371274</v>
      </c>
      <c r="S94" s="26">
        <f>S27</f>
        <v>1523285</v>
      </c>
      <c r="T94" s="26">
        <f>T27</f>
        <v>1800000</v>
      </c>
      <c r="U94" s="212">
        <f>SUM(P94:T94)</f>
        <v>7482616</v>
      </c>
      <c r="V94" s="26"/>
      <c r="W94" s="822">
        <f>U94/$U$7</f>
        <v>0.20227848139591265</v>
      </c>
      <c r="X94" s="822">
        <f>U94/M94-1</f>
        <v>0.63431955336323065</v>
      </c>
      <c r="Y94" s="26">
        <f>Y27</f>
        <v>1500000</v>
      </c>
      <c r="Z94" s="26">
        <f>Z27</f>
        <v>1550000</v>
      </c>
      <c r="AA94" s="26">
        <f>AA27</f>
        <v>1600000</v>
      </c>
      <c r="AB94" s="26">
        <f>AB27</f>
        <v>1600000</v>
      </c>
      <c r="AC94" s="26">
        <f>AC27</f>
        <v>1600000</v>
      </c>
      <c r="AD94" s="26">
        <f t="shared" si="45"/>
        <v>7850000</v>
      </c>
      <c r="AE94" s="822"/>
      <c r="AF94" s="822">
        <f>AD94/$AD$73</f>
        <v>0.16402040121270625</v>
      </c>
      <c r="AG94" s="985">
        <f>AD94/U94-1</f>
        <v>4.9098336731431935E-2</v>
      </c>
    </row>
    <row r="95" spans="1:33" x14ac:dyDescent="0.25">
      <c r="A95" s="1091" t="s">
        <v>564</v>
      </c>
      <c r="B95" s="1092" t="s">
        <v>1173</v>
      </c>
      <c r="C95" s="1010"/>
      <c r="D95" s="1010"/>
      <c r="E95" s="1010"/>
      <c r="F95" s="1010"/>
      <c r="G95" s="994"/>
      <c r="H95" s="994">
        <f>H94/G94</f>
        <v>0.84884793421835414</v>
      </c>
      <c r="I95" s="994">
        <f>I94/H94</f>
        <v>1.1696631569203315</v>
      </c>
      <c r="J95" s="994">
        <f>J94/I94</f>
        <v>1.1706723865848065</v>
      </c>
      <c r="K95" s="994">
        <f>K94/J94</f>
        <v>1.013688897239968</v>
      </c>
      <c r="L95" s="994">
        <f>L94/K94</f>
        <v>1.245678613440965</v>
      </c>
      <c r="M95" s="994"/>
      <c r="N95" s="998">
        <f>(H95*I95*J95*K95*L95)^(1/5)-1</f>
        <v>7.9760300619458269E-2</v>
      </c>
      <c r="O95" s="994"/>
      <c r="P95" s="994">
        <f>P94/L94</f>
        <v>1.1015828893911266</v>
      </c>
      <c r="Q95" s="994">
        <f>Q94/P94</f>
        <v>1.1280262502089438</v>
      </c>
      <c r="R95" s="994">
        <f>R94/Q94</f>
        <v>0.92785554599241082</v>
      </c>
      <c r="S95" s="994">
        <f>S94/R94</f>
        <v>1.1108538483191543</v>
      </c>
      <c r="T95" s="994">
        <f>T94/S94</f>
        <v>1.1816567484088665</v>
      </c>
      <c r="U95" s="994"/>
      <c r="V95" s="994">
        <f>(P95*Q95*R95*T95*S95)^(1/5)-1</f>
        <v>8.6408122211271587E-2</v>
      </c>
      <c r="W95" s="994"/>
      <c r="X95" s="994"/>
      <c r="Y95" s="994">
        <f>Y94/T94</f>
        <v>0.83333333333333337</v>
      </c>
      <c r="Z95" s="994">
        <f>Z94/Y94</f>
        <v>1.0333333333333334</v>
      </c>
      <c r="AA95" s="994">
        <f>AA94/Z94</f>
        <v>1.032258064516129</v>
      </c>
      <c r="AB95" s="994">
        <f>AB94/AA94</f>
        <v>1</v>
      </c>
      <c r="AC95" s="994">
        <f>AC94/AB94</f>
        <v>1</v>
      </c>
      <c r="AD95" s="994">
        <f t="shared" si="45"/>
        <v>4.8989247311827953</v>
      </c>
      <c r="AE95" s="992">
        <f>(Z95*AA95*AB95*AC95*Y95)^(1/5)-1</f>
        <v>-2.3281316138826114E-2</v>
      </c>
      <c r="AF95" s="994"/>
      <c r="AG95" s="994"/>
    </row>
    <row r="96" spans="1:33" x14ac:dyDescent="0.25">
      <c r="A96" s="1091" t="s">
        <v>564</v>
      </c>
      <c r="B96" s="1092" t="s">
        <v>1178</v>
      </c>
      <c r="C96" s="1010"/>
      <c r="D96" s="1010"/>
      <c r="E96" s="1010"/>
      <c r="F96" s="1010"/>
      <c r="G96" s="994"/>
      <c r="H96" s="994">
        <f>H94/$H$73</f>
        <v>0.1654981244640521</v>
      </c>
      <c r="I96" s="994">
        <f>I94/$I$73</f>
        <v>0.17805423262886683</v>
      </c>
      <c r="J96" s="994">
        <f>J94/$J$73</f>
        <v>0.2055084244876586</v>
      </c>
      <c r="K96" s="994">
        <f>K94/$K$73</f>
        <v>0.23216902142702778</v>
      </c>
      <c r="L96" s="994">
        <f>L94/$L$73</f>
        <v>0.22982683720850242</v>
      </c>
      <c r="M96" s="994">
        <f>M94/$M$73</f>
        <v>0.2030749115856165</v>
      </c>
      <c r="N96" s="994"/>
      <c r="O96" s="994"/>
      <c r="P96" s="994">
        <f>P94/$P$73</f>
        <v>0.20682031685714686</v>
      </c>
      <c r="Q96" s="994">
        <f>Q94/$Q$73</f>
        <v>0.21568839211231297</v>
      </c>
      <c r="R96" s="994">
        <f>R94/$R$73</f>
        <v>0.19634878551541926</v>
      </c>
      <c r="S96" s="994">
        <f>S94/$R$73</f>
        <v>0.2181148040025957</v>
      </c>
      <c r="T96" s="994">
        <f>T94/$T$73</f>
        <v>0.2236024844720497</v>
      </c>
      <c r="U96" s="994">
        <f>U94/$U$73</f>
        <v>0.20227848139591265</v>
      </c>
      <c r="V96" s="994"/>
      <c r="W96" s="992"/>
      <c r="X96" s="992"/>
      <c r="Y96" s="994">
        <f>Y94/$Y$73</f>
        <v>0.1842548121215099</v>
      </c>
      <c r="Z96" s="994">
        <f>Z94/$Z$73</f>
        <v>0.17500282262617139</v>
      </c>
      <c r="AA96" s="994">
        <f>AA94/$AA$73</f>
        <v>0.16752172547377239</v>
      </c>
      <c r="AB96" s="994">
        <f>AB94/$AB$73</f>
        <v>0.15593022122600136</v>
      </c>
      <c r="AC96" s="994">
        <f>AC94/$AC$73</f>
        <v>0.14479638009049775</v>
      </c>
      <c r="AD96" s="994">
        <f t="shared" si="45"/>
        <v>0.82750596153795286</v>
      </c>
      <c r="AE96" s="994"/>
      <c r="AF96" s="992"/>
      <c r="AG96" s="994"/>
    </row>
    <row r="97" spans="1:33" s="1" customFormat="1" x14ac:dyDescent="0.25">
      <c r="A97" s="1097" t="s">
        <v>444</v>
      </c>
      <c r="B97" s="551" t="s">
        <v>775</v>
      </c>
      <c r="C97" s="26">
        <f t="shared" ref="C97:M97" si="55">C28</f>
        <v>230940</v>
      </c>
      <c r="D97" s="26">
        <f t="shared" si="55"/>
        <v>305720</v>
      </c>
      <c r="E97" s="26">
        <f t="shared" si="55"/>
        <v>329200</v>
      </c>
      <c r="F97" s="26">
        <f t="shared" si="55"/>
        <v>308830</v>
      </c>
      <c r="G97" s="26">
        <f t="shared" si="55"/>
        <v>306565.00754700002</v>
      </c>
      <c r="H97" s="26">
        <f t="shared" si="55"/>
        <v>357566.61864</v>
      </c>
      <c r="I97" s="26">
        <f t="shared" si="55"/>
        <v>418951.84585500002</v>
      </c>
      <c r="J97" s="26">
        <f t="shared" si="55"/>
        <v>456841.14694599999</v>
      </c>
      <c r="K97" s="26">
        <f t="shared" si="55"/>
        <v>140078.797276</v>
      </c>
      <c r="L97" s="26">
        <f t="shared" si="55"/>
        <v>243841</v>
      </c>
      <c r="M97" s="26">
        <f t="shared" si="55"/>
        <v>1617279.4087169999</v>
      </c>
      <c r="N97" s="822"/>
      <c r="O97" s="822">
        <f>M97/$M$73</f>
        <v>7.1733966960994378E-2</v>
      </c>
      <c r="P97" s="26">
        <f>P28</f>
        <v>96965</v>
      </c>
      <c r="Q97" s="26">
        <f>Q28</f>
        <v>107416</v>
      </c>
      <c r="R97" s="26">
        <f>R28</f>
        <v>74262</v>
      </c>
      <c r="S97" s="26">
        <f>S28</f>
        <v>126290</v>
      </c>
      <c r="T97" s="26">
        <f>T28</f>
        <v>86000</v>
      </c>
      <c r="U97" s="212">
        <f>SUM(P97:T97)</f>
        <v>490933</v>
      </c>
      <c r="V97" s="26"/>
      <c r="W97" s="822">
        <f>U97/$U$7</f>
        <v>1.3271452351308631E-2</v>
      </c>
      <c r="X97" s="822">
        <f>U97/M97-1</f>
        <v>-0.69644515514517003</v>
      </c>
      <c r="Y97" s="26">
        <f>Y28</f>
        <v>105000</v>
      </c>
      <c r="Z97" s="26">
        <f>Z28</f>
        <v>117000</v>
      </c>
      <c r="AA97" s="26">
        <f>AA28</f>
        <v>129000</v>
      </c>
      <c r="AB97" s="26">
        <f>AB28</f>
        <v>141000</v>
      </c>
      <c r="AC97" s="26">
        <f>AC28</f>
        <v>153000</v>
      </c>
      <c r="AD97" s="26">
        <f t="shared" si="45"/>
        <v>645000</v>
      </c>
      <c r="AE97" s="822"/>
      <c r="AF97" s="822">
        <f>AD97/$AD$73</f>
        <v>1.3476835513655482E-2</v>
      </c>
      <c r="AG97" s="985">
        <f>AD97/U97-1</f>
        <v>0.31382490075020431</v>
      </c>
    </row>
    <row r="98" spans="1:33" x14ac:dyDescent="0.25">
      <c r="A98" s="1091" t="s">
        <v>564</v>
      </c>
      <c r="B98" s="1092" t="s">
        <v>1173</v>
      </c>
      <c r="C98" s="1010"/>
      <c r="D98" s="1010"/>
      <c r="E98" s="1010"/>
      <c r="F98" s="1010"/>
      <c r="G98" s="994"/>
      <c r="H98" s="994">
        <f>H97/G97</f>
        <v>1.1663647508275414</v>
      </c>
      <c r="I98" s="994">
        <f>I97/H97</f>
        <v>1.1716749383610749</v>
      </c>
      <c r="J98" s="994">
        <f>J97/I97</f>
        <v>1.0904383199784577</v>
      </c>
      <c r="K98" s="994">
        <f>K97/J97</f>
        <v>0.30662473862617662</v>
      </c>
      <c r="L98" s="994">
        <f>L97/K97</f>
        <v>1.7407416735564576</v>
      </c>
      <c r="M98" s="994"/>
      <c r="N98" s="998">
        <f>(H98*I98*J98*K98*L98)^(1/5)-1</f>
        <v>-4.4750476186834587E-2</v>
      </c>
      <c r="O98" s="994"/>
      <c r="P98" s="994">
        <f>P97/L97</f>
        <v>0.39765666971510122</v>
      </c>
      <c r="Q98" s="994">
        <f>Q97/P97</f>
        <v>1.1077811581498478</v>
      </c>
      <c r="R98" s="994">
        <f>R97/Q97</f>
        <v>0.69134951962463698</v>
      </c>
      <c r="S98" s="994">
        <f>S97/R97</f>
        <v>1.7006005763378309</v>
      </c>
      <c r="T98" s="994">
        <f>T97/S97</f>
        <v>0.6809723651912265</v>
      </c>
      <c r="U98" s="994"/>
      <c r="V98" s="994">
        <f>(P98*Q98*R98*T98*S98)^(1/5)-1</f>
        <v>-0.18814523483912449</v>
      </c>
      <c r="W98" s="994"/>
      <c r="X98" s="994"/>
      <c r="Y98" s="994">
        <f>Y97/T97</f>
        <v>1.2209302325581395</v>
      </c>
      <c r="Z98" s="994">
        <f>Z97/Y97</f>
        <v>1.1142857142857143</v>
      </c>
      <c r="AA98" s="994">
        <f>AA97/Z97</f>
        <v>1.1025641025641026</v>
      </c>
      <c r="AB98" s="994">
        <f>AB97/AA97</f>
        <v>1.0930232558139534</v>
      </c>
      <c r="AC98" s="994">
        <f>AC97/AB97</f>
        <v>1.0851063829787233</v>
      </c>
      <c r="AD98" s="994">
        <f t="shared" si="45"/>
        <v>5.6159096882006327</v>
      </c>
      <c r="AE98" s="992">
        <f>(Z98*AA98*AB98*AC98*Y98)^(1/5)-1</f>
        <v>0.12211817293716432</v>
      </c>
      <c r="AF98" s="994"/>
      <c r="AG98" s="994"/>
    </row>
    <row r="99" spans="1:33" x14ac:dyDescent="0.25">
      <c r="A99" s="1091" t="s">
        <v>564</v>
      </c>
      <c r="B99" s="1092" t="s">
        <v>1178</v>
      </c>
      <c r="C99" s="1010"/>
      <c r="D99" s="1010"/>
      <c r="E99" s="1010"/>
      <c r="F99" s="1010"/>
      <c r="G99" s="994"/>
      <c r="H99" s="994">
        <f>H97/$H$73</f>
        <v>8.6029904515993405E-2</v>
      </c>
      <c r="I99" s="994">
        <f>I97/$I$73</f>
        <v>9.2716066170801248E-2</v>
      </c>
      <c r="J99" s="994">
        <f>J97/$J$73</f>
        <v>9.9677710716671045E-2</v>
      </c>
      <c r="K99" s="994">
        <f>K97/$K$73</f>
        <v>3.4062396294692383E-2</v>
      </c>
      <c r="L99" s="994">
        <f>L97/$L$73</f>
        <v>4.7119425340152586E-2</v>
      </c>
      <c r="M99" s="994">
        <f>M97/$M$73</f>
        <v>7.1733966960994378E-2</v>
      </c>
      <c r="N99" s="994"/>
      <c r="O99" s="994"/>
      <c r="P99" s="994">
        <f>P97/$P$73</f>
        <v>1.5306769186423078E-2</v>
      </c>
      <c r="Q99" s="994">
        <f>Q97/$Q$73</f>
        <v>1.5676599927962595E-2</v>
      </c>
      <c r="R99" s="994">
        <f>R97/$R$73</f>
        <v>1.0633362486232558E-2</v>
      </c>
      <c r="S99" s="994">
        <f>S97/$R$73</f>
        <v>1.8083102372496159E-2</v>
      </c>
      <c r="T99" s="994">
        <f>T97/$T$73</f>
        <v>1.0683229813664596E-2</v>
      </c>
      <c r="U99" s="994">
        <f>U97/$U$73</f>
        <v>1.3271452351308631E-2</v>
      </c>
      <c r="V99" s="994"/>
      <c r="W99" s="992"/>
      <c r="X99" s="992"/>
      <c r="Y99" s="994">
        <f>Y97/$Y$73</f>
        <v>1.2897836848505694E-2</v>
      </c>
      <c r="Z99" s="994">
        <f>Z97/$Z$73</f>
        <v>1.3209890482104551E-2</v>
      </c>
      <c r="AA99" s="994">
        <f>AA97/$AA$73</f>
        <v>1.3506439116322898E-2</v>
      </c>
      <c r="AB99" s="994">
        <f>AB97/$AB$73</f>
        <v>1.3741350745541371E-2</v>
      </c>
      <c r="AC99" s="994">
        <f>AC97/$AC$73</f>
        <v>1.3846153846153847E-2</v>
      </c>
      <c r="AD99" s="994">
        <f t="shared" si="45"/>
        <v>6.7201671038628355E-2</v>
      </c>
      <c r="AE99" s="994"/>
      <c r="AF99" s="992"/>
      <c r="AG99" s="994"/>
    </row>
    <row r="100" spans="1:33" x14ac:dyDescent="0.25">
      <c r="A100" s="1097" t="s">
        <v>1075</v>
      </c>
      <c r="B100" s="551" t="s">
        <v>1155</v>
      </c>
      <c r="C100" s="26">
        <f t="shared" ref="C100:M100" si="56">C12</f>
        <v>580</v>
      </c>
      <c r="D100" s="26">
        <f t="shared" si="56"/>
        <v>630</v>
      </c>
      <c r="E100" s="26">
        <f t="shared" si="56"/>
        <v>2440</v>
      </c>
      <c r="F100" s="26">
        <f t="shared" si="56"/>
        <v>780</v>
      </c>
      <c r="G100" s="26">
        <f t="shared" si="56"/>
        <v>3761</v>
      </c>
      <c r="H100" s="26">
        <f t="shared" si="56"/>
        <v>8028.6076819999998</v>
      </c>
      <c r="I100" s="26">
        <f t="shared" si="56"/>
        <v>7377.2642779999996</v>
      </c>
      <c r="J100" s="26">
        <f t="shared" si="56"/>
        <v>17351.560365000001</v>
      </c>
      <c r="K100" s="26">
        <f t="shared" si="56"/>
        <v>25825.109232999999</v>
      </c>
      <c r="L100" s="26">
        <f t="shared" si="56"/>
        <v>69494</v>
      </c>
      <c r="M100" s="26">
        <f t="shared" si="56"/>
        <v>128076.541558</v>
      </c>
      <c r="N100" s="822"/>
      <c r="O100" s="822">
        <f>M100/$M$73</f>
        <v>5.680798476181961E-3</v>
      </c>
      <c r="P100" s="26">
        <f>P12</f>
        <v>61938</v>
      </c>
      <c r="Q100" s="26">
        <f>Q12</f>
        <v>49785</v>
      </c>
      <c r="R100" s="26">
        <f>R12</f>
        <v>35833</v>
      </c>
      <c r="S100" s="26">
        <f>S12</f>
        <v>76845</v>
      </c>
      <c r="T100" s="26">
        <f>T12</f>
        <v>70000</v>
      </c>
      <c r="U100" s="212">
        <f>SUM(P100:T100)</f>
        <v>294401</v>
      </c>
      <c r="V100" s="26"/>
      <c r="W100" s="822">
        <f>U100/$U$7</f>
        <v>7.9585785507953477E-3</v>
      </c>
      <c r="X100" s="822">
        <f>U100/M100-1</f>
        <v>1.2986332736559669</v>
      </c>
      <c r="Y100" s="26">
        <f>Y12</f>
        <v>70000</v>
      </c>
      <c r="Z100" s="26">
        <f>Z12</f>
        <v>75000</v>
      </c>
      <c r="AA100" s="26">
        <f>AA12</f>
        <v>80000</v>
      </c>
      <c r="AB100" s="26">
        <f>AB12</f>
        <v>85000</v>
      </c>
      <c r="AC100" s="26">
        <f>AC12</f>
        <v>90000</v>
      </c>
      <c r="AD100" s="26">
        <f t="shared" si="45"/>
        <v>400000</v>
      </c>
      <c r="AE100" s="822"/>
      <c r="AF100" s="822">
        <f>AD100/$AD$73</f>
        <v>8.3577274503289813E-3</v>
      </c>
      <c r="AG100" s="985">
        <f>AD100/U100-1</f>
        <v>0.35869103705490124</v>
      </c>
    </row>
    <row r="101" spans="1:33" x14ac:dyDescent="0.25">
      <c r="A101" s="1091" t="s">
        <v>564</v>
      </c>
      <c r="B101" s="1092" t="s">
        <v>1173</v>
      </c>
      <c r="C101" s="1010"/>
      <c r="D101" s="1010"/>
      <c r="E101" s="1010"/>
      <c r="F101" s="1010"/>
      <c r="G101" s="994"/>
      <c r="H101" s="994">
        <f>H100/G100</f>
        <v>2.1347002611007708</v>
      </c>
      <c r="I101" s="994">
        <f>I100/H100</f>
        <v>0.91887218434395534</v>
      </c>
      <c r="J101" s="994">
        <f>J100/I100</f>
        <v>2.3520318252315704</v>
      </c>
      <c r="K101" s="994">
        <f>K100/J100</f>
        <v>1.4883450646370728</v>
      </c>
      <c r="L101" s="994">
        <f>L100/K100</f>
        <v>2.6909469916664959</v>
      </c>
      <c r="M101" s="994"/>
      <c r="N101" s="998">
        <f>(H101*I101*J101*K101*L101)^(1/5)-1</f>
        <v>0.79196199769437925</v>
      </c>
      <c r="O101" s="994"/>
      <c r="P101" s="994">
        <f>P100/L100</f>
        <v>0.89127118887961554</v>
      </c>
      <c r="Q101" s="994">
        <f>Q100/P100</f>
        <v>0.80378765862636825</v>
      </c>
      <c r="R101" s="994">
        <f>R100/Q100</f>
        <v>0.71975494626895653</v>
      </c>
      <c r="S101" s="994">
        <f>S100/R100</f>
        <v>2.1445315770379261</v>
      </c>
      <c r="T101" s="994">
        <f>T100/S100</f>
        <v>0.91092458845728419</v>
      </c>
      <c r="U101" s="994"/>
      <c r="V101" s="994">
        <f>(P101*Q101*R101*T101*S101)^(1/5)-1</f>
        <v>1.4520179868888761E-3</v>
      </c>
      <c r="W101" s="994"/>
      <c r="X101" s="994"/>
      <c r="Y101" s="994">
        <f>Y100/T100</f>
        <v>1</v>
      </c>
      <c r="Z101" s="994">
        <f>Z100/Y100</f>
        <v>1.0714285714285714</v>
      </c>
      <c r="AA101" s="994">
        <f>AA100/Z100</f>
        <v>1.0666666666666667</v>
      </c>
      <c r="AB101" s="994">
        <f>AB100/AA100</f>
        <v>1.0625</v>
      </c>
      <c r="AC101" s="994">
        <f>AC100/AB100</f>
        <v>1.0588235294117647</v>
      </c>
      <c r="AD101" s="994">
        <f t="shared" si="45"/>
        <v>5.2594187675070021</v>
      </c>
      <c r="AE101" s="992">
        <f>(Z101*AA101*AB101*AC101*Y101)^(1/5)-1</f>
        <v>5.1547496797280434E-2</v>
      </c>
      <c r="AF101" s="994"/>
      <c r="AG101" s="994"/>
    </row>
    <row r="102" spans="1:33" x14ac:dyDescent="0.25">
      <c r="A102" s="1091" t="s">
        <v>564</v>
      </c>
      <c r="B102" s="1092" t="s">
        <v>1178</v>
      </c>
      <c r="C102" s="1010"/>
      <c r="D102" s="1010"/>
      <c r="E102" s="1010"/>
      <c r="F102" s="1010"/>
      <c r="G102" s="994"/>
      <c r="H102" s="994">
        <f>H100/$H$73</f>
        <v>1.9316689989292092E-3</v>
      </c>
      <c r="I102" s="994">
        <f>I100/$I$73</f>
        <v>1.6326242018641606E-3</v>
      </c>
      <c r="J102" s="994">
        <f>J100/$J$73</f>
        <v>3.785919517336657E-3</v>
      </c>
      <c r="K102" s="994">
        <f>K100/$K$73</f>
        <v>6.2797876777521428E-3</v>
      </c>
      <c r="L102" s="994">
        <f>L100/$L$73</f>
        <v>1.3428903853693858E-2</v>
      </c>
      <c r="M102" s="994">
        <f>M100/$M$73</f>
        <v>5.680798476181961E-3</v>
      </c>
      <c r="N102" s="994"/>
      <c r="O102" s="994"/>
      <c r="P102" s="994">
        <f>P100/$P$73</f>
        <v>9.7774523783702629E-3</v>
      </c>
      <c r="Q102" s="994">
        <f>Q100/$Q$73</f>
        <v>7.2657660629107199E-3</v>
      </c>
      <c r="R102" s="994">
        <f>R100/$R$73</f>
        <v>5.1308243512048048E-3</v>
      </c>
      <c r="S102" s="994">
        <f>S100/$R$73</f>
        <v>1.1003214837393834E-2</v>
      </c>
      <c r="T102" s="994">
        <f>T100/$T$73</f>
        <v>8.6956521739130436E-3</v>
      </c>
      <c r="U102" s="994">
        <f>U100/$U$73</f>
        <v>7.9585785507953477E-3</v>
      </c>
      <c r="V102" s="994"/>
      <c r="W102" s="992"/>
      <c r="X102" s="992"/>
      <c r="Y102" s="994">
        <f>Y100/$Y$73</f>
        <v>8.5985578990037965E-3</v>
      </c>
      <c r="Z102" s="994">
        <f>Z100/$Z$73</f>
        <v>8.4678785141695835E-3</v>
      </c>
      <c r="AA102" s="994">
        <f>AA100/$AA$73</f>
        <v>8.3760862736886182E-3</v>
      </c>
      <c r="AB102" s="994">
        <f>AB100/$AB$73</f>
        <v>8.2837930026313233E-3</v>
      </c>
      <c r="AC102" s="994">
        <f>AC100/$AC$73</f>
        <v>8.1447963800904983E-3</v>
      </c>
      <c r="AD102" s="994">
        <f t="shared" si="45"/>
        <v>4.187111206958382E-2</v>
      </c>
      <c r="AE102" s="994"/>
      <c r="AF102" s="992"/>
      <c r="AG102" s="994"/>
    </row>
    <row r="103" spans="1:33" s="1" customFormat="1" x14ac:dyDescent="0.25">
      <c r="A103" s="1097" t="s">
        <v>1261</v>
      </c>
      <c r="B103" s="1098" t="s">
        <v>1257</v>
      </c>
      <c r="C103" s="26">
        <f>C73-C76-C85-C88-C91-C94-C97</f>
        <v>217770</v>
      </c>
      <c r="D103" s="26">
        <f>D73-D76-D85-D88-D91-D94-D97</f>
        <v>252170</v>
      </c>
      <c r="E103" s="26">
        <f>E73-E76-E85-E88-E91-E94-E97</f>
        <v>286900</v>
      </c>
      <c r="F103" s="26">
        <f>F73-F76-F85-F88-F91-F94-F97</f>
        <v>362090</v>
      </c>
      <c r="G103" s="26">
        <f>G73-G76-G85-G88-G91-G94-G97-G100</f>
        <v>557315.6288880005</v>
      </c>
      <c r="H103" s="26">
        <f t="shared" ref="H103:M103" si="57">H73-H76-H85-H88-H91-H94-H97-H100</f>
        <v>514861.85511299974</v>
      </c>
      <c r="I103" s="26">
        <f t="shared" si="57"/>
        <v>541235.93974899943</v>
      </c>
      <c r="J103" s="26">
        <f t="shared" si="57"/>
        <v>581398.63220000057</v>
      </c>
      <c r="K103" s="26">
        <f t="shared" si="57"/>
        <v>725749.41486199992</v>
      </c>
      <c r="L103" s="26">
        <f t="shared" si="57"/>
        <v>865190</v>
      </c>
      <c r="M103" s="26">
        <f t="shared" si="57"/>
        <v>3228435.8419239991</v>
      </c>
      <c r="N103" s="822"/>
      <c r="O103" s="822">
        <f>M103/$M$73</f>
        <v>0.14319635108938111</v>
      </c>
      <c r="P103" s="26">
        <f>P73-P76-P85-P88-P91-P94-P97-P100</f>
        <v>936689</v>
      </c>
      <c r="Q103" s="26">
        <f>Q73-Q76-Q85-Q88-Q91-Q94-Q97-Q100</f>
        <v>1151004</v>
      </c>
      <c r="R103" s="26">
        <f>R73-R76-R85-R88-R91-R94-R97-R100</f>
        <v>1425414</v>
      </c>
      <c r="S103" s="26">
        <f>S73-S76-S85-S88-S91-S94-S97-S100</f>
        <v>1664228</v>
      </c>
      <c r="T103" s="26">
        <f>T73-T76-T85-T88-T91-T94-T97-T100</f>
        <v>1314000</v>
      </c>
      <c r="U103" s="212">
        <f>SUM(P103:T103)</f>
        <v>6491335</v>
      </c>
      <c r="V103" s="26"/>
      <c r="W103" s="822">
        <f>U103/$U$7</f>
        <v>0.17548105983684537</v>
      </c>
      <c r="X103" s="822">
        <f>U103/M103-1</f>
        <v>1.0106749267569346</v>
      </c>
      <c r="Y103" s="26">
        <f>Y73-Y76-Y85-Y88-Y91-Y94-Y97-Y100</f>
        <v>1385900</v>
      </c>
      <c r="Z103" s="26">
        <f>Z73-Z76-Z85-Z88-Z91-Z94-Z97-Z100</f>
        <v>1514000</v>
      </c>
      <c r="AA103" s="26">
        <f>AA73-AA76-AA85-AA88-AA91-AA94-AA97-AA100</f>
        <v>1608000</v>
      </c>
      <c r="AB103" s="26">
        <f>AB73-AB76-AB85-AB88-AB91-AB94-AB97-AB100</f>
        <v>1708000</v>
      </c>
      <c r="AC103" s="26">
        <f>AC73-AC76-AC85-AC88-AC91-AC94-AC97-AC100</f>
        <v>1815000</v>
      </c>
      <c r="AD103" s="26">
        <f t="shared" si="45"/>
        <v>8030900</v>
      </c>
      <c r="AE103" s="822"/>
      <c r="AF103" s="822">
        <f>AD103/$AD$73</f>
        <v>0.16780018345211753</v>
      </c>
      <c r="AG103" s="985">
        <f>AD103/U103-1</f>
        <v>0.23717232279646638</v>
      </c>
    </row>
    <row r="104" spans="1:33" x14ac:dyDescent="0.25">
      <c r="A104" s="1091" t="s">
        <v>564</v>
      </c>
      <c r="B104" s="1092" t="s">
        <v>1173</v>
      </c>
      <c r="C104" s="1010"/>
      <c r="D104" s="1010"/>
      <c r="E104" s="1010"/>
      <c r="F104" s="1010"/>
      <c r="G104" s="994"/>
      <c r="H104" s="994">
        <f>H103/G103</f>
        <v>0.92382454111378887</v>
      </c>
      <c r="I104" s="994">
        <f>I103/H103</f>
        <v>1.0512255556982586</v>
      </c>
      <c r="J104" s="994">
        <f>J103/I103</f>
        <v>1.0742055164881084</v>
      </c>
      <c r="K104" s="994">
        <f>K103/J103</f>
        <v>1.2482819440351605</v>
      </c>
      <c r="L104" s="994">
        <f>L103/K103</f>
        <v>1.1921332381156855</v>
      </c>
      <c r="M104" s="994"/>
      <c r="N104" s="998">
        <f>(H104*I104*J104*K104*L104)^(1/5)-1</f>
        <v>9.1948242884595688E-2</v>
      </c>
      <c r="O104" s="994"/>
      <c r="P104" s="994">
        <f>P103/L103</f>
        <v>1.0826396514060495</v>
      </c>
      <c r="Q104" s="994">
        <f>Q103/P103</f>
        <v>1.2288005944342253</v>
      </c>
      <c r="R104" s="994">
        <f>R103/Q103</f>
        <v>1.2384092496637717</v>
      </c>
      <c r="S104" s="994">
        <f>S103/R103</f>
        <v>1.1675400971226606</v>
      </c>
      <c r="T104" s="994">
        <f>T103/S103</f>
        <v>0.78955527728171859</v>
      </c>
      <c r="U104" s="994"/>
      <c r="V104" s="994">
        <f>(P104*Q104*R104*T104*S104)^(1/5)-1</f>
        <v>8.7168285486042496E-2</v>
      </c>
      <c r="W104" s="994"/>
      <c r="X104" s="994"/>
      <c r="Y104" s="994">
        <f>Y103/T103</f>
        <v>1.0547184170471842</v>
      </c>
      <c r="Z104" s="994">
        <f>Z103/Y103</f>
        <v>1.0924309113211632</v>
      </c>
      <c r="AA104" s="994">
        <f>AA103/Z103</f>
        <v>1.0620871862615588</v>
      </c>
      <c r="AB104" s="994">
        <f>AB103/AA103</f>
        <v>1.0621890547263682</v>
      </c>
      <c r="AC104" s="994">
        <f>AC103/AB103</f>
        <v>1.0626463700234192</v>
      </c>
      <c r="AD104" s="994">
        <f t="shared" si="45"/>
        <v>5.3340719393796938</v>
      </c>
      <c r="AE104" s="992">
        <f>(Z104*AA104*AB104*AC104*Y104)^(1/5)-1</f>
        <v>6.673428309588747E-2</v>
      </c>
      <c r="AF104" s="994"/>
      <c r="AG104" s="994"/>
    </row>
    <row r="105" spans="1:33" x14ac:dyDescent="0.25">
      <c r="A105" s="1091" t="s">
        <v>564</v>
      </c>
      <c r="B105" s="1092" t="s">
        <v>1178</v>
      </c>
      <c r="C105" s="1010"/>
      <c r="D105" s="1010"/>
      <c r="E105" s="1010"/>
      <c r="F105" s="1010"/>
      <c r="G105" s="994"/>
      <c r="H105" s="994">
        <f>H103/$H$73</f>
        <v>0.12387486394218905</v>
      </c>
      <c r="I105" s="994">
        <f>I103/$I$73</f>
        <v>0.11977812653235535</v>
      </c>
      <c r="J105" s="994">
        <f>J103/$J$73</f>
        <v>0.12685478324120844</v>
      </c>
      <c r="K105" s="994">
        <f>K103/$K$73</f>
        <v>0.17647755877688429</v>
      </c>
      <c r="L105" s="994">
        <f>L103/$L$73</f>
        <v>0.16718786262378604</v>
      </c>
      <c r="M105" s="994">
        <f>M103/$M$73</f>
        <v>0.14319635108938111</v>
      </c>
      <c r="N105" s="994"/>
      <c r="O105" s="994"/>
      <c r="P105" s="994">
        <f>P103/$P$73</f>
        <v>0.1478645111376419</v>
      </c>
      <c r="Q105" s="994">
        <f>Q103/$Q$73</f>
        <v>0.16798083361403013</v>
      </c>
      <c r="R105" s="994">
        <f>R103/$R$73</f>
        <v>0.20410093661564049</v>
      </c>
      <c r="S105" s="994">
        <f>S103/$R$73</f>
        <v>0.23829602735905089</v>
      </c>
      <c r="T105" s="994">
        <f>T103/$T$73</f>
        <v>0.16322981366459627</v>
      </c>
      <c r="U105" s="994">
        <f>U103/$U$73</f>
        <v>0.17548105983684537</v>
      </c>
      <c r="V105" s="994"/>
      <c r="W105" s="992"/>
      <c r="X105" s="992"/>
      <c r="Y105" s="994">
        <f>Y103/$Y$73</f>
        <v>0.17023916274613371</v>
      </c>
      <c r="Z105" s="994">
        <f>Z103/$Z$73</f>
        <v>0.17093824093936999</v>
      </c>
      <c r="AA105" s="994">
        <f>AA103/$AA$73</f>
        <v>0.16835933410114123</v>
      </c>
      <c r="AB105" s="994">
        <f>AB103/$AB$73</f>
        <v>0.16645551115875645</v>
      </c>
      <c r="AC105" s="994">
        <f>AC103/$AC$73</f>
        <v>0.16425339366515837</v>
      </c>
      <c r="AD105" s="994">
        <f t="shared" si="45"/>
        <v>0.84024564261055967</v>
      </c>
      <c r="AE105" s="994"/>
      <c r="AF105" s="992"/>
      <c r="AG105" s="994"/>
    </row>
    <row r="106" spans="1:33" s="1" customFormat="1" x14ac:dyDescent="0.25">
      <c r="A106" s="1099"/>
      <c r="B106" s="1100" t="s">
        <v>375</v>
      </c>
      <c r="C106" s="1002"/>
      <c r="D106" s="1002"/>
      <c r="E106" s="1002"/>
      <c r="F106" s="1002"/>
      <c r="G106" s="1002"/>
      <c r="H106" s="1002"/>
      <c r="I106" s="1002"/>
      <c r="J106" s="1002"/>
      <c r="K106" s="1002"/>
      <c r="L106" s="1002"/>
      <c r="M106" s="1002"/>
      <c r="N106" s="1003"/>
      <c r="O106" s="1003"/>
      <c r="P106" s="1002"/>
      <c r="Q106" s="1002"/>
      <c r="R106" s="1002"/>
      <c r="S106" s="1002"/>
      <c r="T106" s="1002"/>
      <c r="U106" s="1002"/>
      <c r="V106" s="1002"/>
      <c r="W106" s="822"/>
      <c r="X106" s="822"/>
      <c r="Y106" s="1002"/>
      <c r="Z106" s="1002"/>
      <c r="AA106" s="1002"/>
      <c r="AB106" s="1002"/>
      <c r="AC106" s="1002"/>
      <c r="AD106" s="1002">
        <f t="shared" si="45"/>
        <v>0</v>
      </c>
      <c r="AE106" s="1003"/>
      <c r="AF106" s="822"/>
      <c r="AG106" s="1003"/>
    </row>
    <row r="107" spans="1:33" s="771" customFormat="1" x14ac:dyDescent="0.25">
      <c r="A107" s="1101" t="s">
        <v>852</v>
      </c>
      <c r="B107" s="1102" t="s">
        <v>1185</v>
      </c>
      <c r="C107" s="1004">
        <f t="shared" ref="C107:M107" si="58">C14</f>
        <v>39220</v>
      </c>
      <c r="D107" s="1004">
        <f t="shared" si="58"/>
        <v>50330</v>
      </c>
      <c r="E107" s="1004">
        <f t="shared" si="58"/>
        <v>56660</v>
      </c>
      <c r="F107" s="1004">
        <f t="shared" si="58"/>
        <v>61750</v>
      </c>
      <c r="G107" s="1004">
        <f t="shared" si="58"/>
        <v>66384</v>
      </c>
      <c r="H107" s="1004">
        <f t="shared" si="58"/>
        <v>83707.295922000005</v>
      </c>
      <c r="I107" s="1004">
        <f t="shared" si="58"/>
        <v>85266.235153999995</v>
      </c>
      <c r="J107" s="1004">
        <f t="shared" si="58"/>
        <v>86018.719326999999</v>
      </c>
      <c r="K107" s="1004">
        <f t="shared" si="58"/>
        <v>102607.365288</v>
      </c>
      <c r="L107" s="1004">
        <f t="shared" si="58"/>
        <v>139966</v>
      </c>
      <c r="M107" s="1004">
        <f t="shared" si="58"/>
        <v>497565.61569100001</v>
      </c>
      <c r="N107" s="1003"/>
      <c r="O107" s="1003"/>
      <c r="P107" s="1004">
        <f>P14</f>
        <v>184878</v>
      </c>
      <c r="Q107" s="1004">
        <f>Q14</f>
        <v>209558</v>
      </c>
      <c r="R107" s="1004">
        <f>R14</f>
        <v>247450</v>
      </c>
      <c r="S107" s="1004">
        <f>S14</f>
        <v>317324</v>
      </c>
      <c r="T107" s="1004">
        <f>T14</f>
        <v>250000</v>
      </c>
      <c r="U107" s="212">
        <f>SUM(P107:T107)</f>
        <v>1209210</v>
      </c>
      <c r="V107" s="1004"/>
      <c r="W107" s="1003"/>
      <c r="X107" s="1003"/>
      <c r="Y107" s="1004">
        <f>Y14</f>
        <v>280000</v>
      </c>
      <c r="Z107" s="1004">
        <f>Z14</f>
        <v>322000</v>
      </c>
      <c r="AA107" s="1004">
        <f>AA14</f>
        <v>354000</v>
      </c>
      <c r="AB107" s="1004">
        <f>AB14</f>
        <v>389000</v>
      </c>
      <c r="AC107" s="1004">
        <f>AC14</f>
        <v>428000</v>
      </c>
      <c r="AD107" s="1004">
        <f t="shared" si="45"/>
        <v>1773000</v>
      </c>
      <c r="AE107" s="1003"/>
      <c r="AF107" s="1003"/>
      <c r="AG107" s="1003"/>
    </row>
    <row r="108" spans="1:33" x14ac:dyDescent="0.25">
      <c r="A108" s="1091" t="s">
        <v>564</v>
      </c>
      <c r="B108" s="1092" t="s">
        <v>1173</v>
      </c>
      <c r="C108" s="1010"/>
      <c r="D108" s="1010"/>
      <c r="E108" s="1010"/>
      <c r="F108" s="1010"/>
      <c r="G108" s="994"/>
      <c r="H108" s="994">
        <f>H107/G107</f>
        <v>1.26095589181128</v>
      </c>
      <c r="I108" s="994">
        <f>I107/H107</f>
        <v>1.0186236959972119</v>
      </c>
      <c r="J108" s="994">
        <f>J107/I107</f>
        <v>1.0088251131487269</v>
      </c>
      <c r="K108" s="994">
        <f>K107/J107</f>
        <v>1.1928492552642906</v>
      </c>
      <c r="L108" s="994">
        <f>L107/K107</f>
        <v>1.364093109760115</v>
      </c>
      <c r="M108" s="994"/>
      <c r="N108" s="998">
        <f>(H108*I108*J108*K108*L108)^(1/5)-1</f>
        <v>0.16089202245544021</v>
      </c>
      <c r="O108" s="994"/>
      <c r="P108" s="994">
        <f>P107/L107</f>
        <v>1.3208779274966778</v>
      </c>
      <c r="Q108" s="994">
        <f>Q107/P107</f>
        <v>1.1334934389164746</v>
      </c>
      <c r="R108" s="994">
        <f>R107/Q107</f>
        <v>1.1808186754979528</v>
      </c>
      <c r="S108" s="994">
        <f>S107/R107</f>
        <v>1.2823762376237624</v>
      </c>
      <c r="T108" s="994">
        <f>T107/S107</f>
        <v>0.78783829776506031</v>
      </c>
      <c r="U108" s="994"/>
      <c r="V108" s="994">
        <f>(P108*Q108*R108*T108*S108)^(1/5)-1</f>
        <v>0.12300965853978019</v>
      </c>
      <c r="W108" s="994"/>
      <c r="X108" s="994"/>
      <c r="Y108" s="994">
        <f>Y107/T107</f>
        <v>1.1200000000000001</v>
      </c>
      <c r="Z108" s="994">
        <f>Z107/Y107</f>
        <v>1.1499999999999999</v>
      </c>
      <c r="AA108" s="994">
        <f>AA107/Z107</f>
        <v>1.0993788819875776</v>
      </c>
      <c r="AB108" s="994">
        <f>AB107/AA107</f>
        <v>1.0988700564971752</v>
      </c>
      <c r="AC108" s="994">
        <f>AC107/AB107</f>
        <v>1.1002570694087404</v>
      </c>
      <c r="AD108" s="994">
        <f t="shared" si="45"/>
        <v>5.5685060078934923</v>
      </c>
      <c r="AE108" s="992">
        <f>(Z108*AA108*AB108*AC108*Y108)^(1/5)-1</f>
        <v>0.11352700028452145</v>
      </c>
      <c r="AF108" s="994"/>
      <c r="AG108" s="994"/>
    </row>
    <row r="109" spans="1:33" x14ac:dyDescent="0.25">
      <c r="A109" s="1091" t="s">
        <v>564</v>
      </c>
      <c r="B109" s="1092" t="s">
        <v>1178</v>
      </c>
      <c r="C109" s="1010"/>
      <c r="D109" s="1010"/>
      <c r="E109" s="1010"/>
      <c r="F109" s="1010"/>
      <c r="G109" s="994"/>
      <c r="H109" s="994">
        <f t="shared" ref="H109:M109" si="59">H107/H73</f>
        <v>2.0139829335444771E-2</v>
      </c>
      <c r="I109" s="994">
        <f t="shared" si="59"/>
        <v>1.8869829501621263E-2</v>
      </c>
      <c r="J109" s="994">
        <f t="shared" si="59"/>
        <v>1.8768337919238952E-2</v>
      </c>
      <c r="K109" s="994">
        <f t="shared" si="59"/>
        <v>2.4950619274005815E-2</v>
      </c>
      <c r="L109" s="994">
        <f t="shared" si="59"/>
        <v>2.7046794784961498E-2</v>
      </c>
      <c r="M109" s="994">
        <f t="shared" si="59"/>
        <v>2.2069380989163796E-2</v>
      </c>
      <c r="N109" s="994"/>
      <c r="O109" s="994"/>
      <c r="P109" s="994">
        <f>P107/P73</f>
        <v>2.918460138861987E-2</v>
      </c>
      <c r="Q109" s="994">
        <f>Q107/Q73</f>
        <v>3.0583497129887408E-2</v>
      </c>
      <c r="R109" s="994">
        <f>R107/R73</f>
        <v>3.5431654779271314E-2</v>
      </c>
      <c r="S109" s="994">
        <f>S107/S73</f>
        <v>3.6178717327177604E-2</v>
      </c>
      <c r="T109" s="994">
        <f>T107/T73</f>
        <v>3.1055900621118012E-2</v>
      </c>
      <c r="U109" s="994">
        <f>U107/$U$73</f>
        <v>3.268872310014994E-2</v>
      </c>
      <c r="V109" s="994"/>
      <c r="W109" s="992"/>
      <c r="X109" s="992"/>
      <c r="Y109" s="994">
        <f>Y107/$Y$73</f>
        <v>3.4394231596015186E-2</v>
      </c>
      <c r="Z109" s="994">
        <f>Z107/Z73</f>
        <v>3.6355425087501413E-2</v>
      </c>
      <c r="AA109" s="994">
        <f>AA107/AA73</f>
        <v>3.7064181761072137E-2</v>
      </c>
      <c r="AB109" s="994">
        <f>AB107/AB73</f>
        <v>3.7910535035571583E-2</v>
      </c>
      <c r="AC109" s="994">
        <f>AC107/AC73</f>
        <v>3.8733031674208142E-2</v>
      </c>
      <c r="AD109" s="994">
        <f t="shared" si="45"/>
        <v>0.18445740515436845</v>
      </c>
      <c r="AE109" s="994"/>
      <c r="AF109" s="992"/>
      <c r="AG109" s="994"/>
    </row>
    <row r="110" spans="1:33" s="771" customFormat="1" x14ac:dyDescent="0.25">
      <c r="A110" s="1099" t="s">
        <v>852</v>
      </c>
      <c r="B110" s="1102" t="s">
        <v>527</v>
      </c>
      <c r="C110" s="1004">
        <f t="shared" ref="C110:M110" si="60">C17</f>
        <v>64280</v>
      </c>
      <c r="D110" s="1004">
        <f t="shared" si="60"/>
        <v>86640</v>
      </c>
      <c r="E110" s="1004">
        <f t="shared" si="60"/>
        <v>110420</v>
      </c>
      <c r="F110" s="1004">
        <f t="shared" si="60"/>
        <v>115840</v>
      </c>
      <c r="G110" s="1004">
        <f t="shared" si="60"/>
        <v>186978.995165</v>
      </c>
      <c r="H110" s="1004">
        <f t="shared" si="60"/>
        <v>211576.30287000001</v>
      </c>
      <c r="I110" s="1004">
        <f t="shared" si="60"/>
        <v>242659.928071</v>
      </c>
      <c r="J110" s="1004">
        <f t="shared" si="60"/>
        <v>238487.114038</v>
      </c>
      <c r="K110" s="1004">
        <f t="shared" si="60"/>
        <v>256057.09914899999</v>
      </c>
      <c r="L110" s="1004">
        <f t="shared" si="60"/>
        <v>310783</v>
      </c>
      <c r="M110" s="1004">
        <f t="shared" si="60"/>
        <v>1259563.4441280002</v>
      </c>
      <c r="N110" s="1003"/>
      <c r="O110" s="1003">
        <f>M110/$M$73</f>
        <v>5.5867577364403821E-2</v>
      </c>
      <c r="P110" s="1004">
        <f>P17</f>
        <v>341640</v>
      </c>
      <c r="Q110" s="1004">
        <f>Q17</f>
        <v>382262</v>
      </c>
      <c r="R110" s="1004">
        <f>R17</f>
        <v>479310</v>
      </c>
      <c r="S110" s="1004">
        <f>S17</f>
        <v>521482</v>
      </c>
      <c r="T110" s="1004">
        <f>T17</f>
        <v>470000</v>
      </c>
      <c r="U110" s="212">
        <f>SUM(P110:T110)</f>
        <v>2194694</v>
      </c>
      <c r="V110" s="1004"/>
      <c r="W110" s="1003">
        <f>U110/$U$7</f>
        <v>5.9329433643089673E-2</v>
      </c>
      <c r="X110" s="1003">
        <f>U110/M110-1</f>
        <v>0.74242433775886041</v>
      </c>
      <c r="Y110" s="1004">
        <f>Y17</f>
        <v>465000</v>
      </c>
      <c r="Z110" s="1004">
        <f>Z17</f>
        <v>512000</v>
      </c>
      <c r="AA110" s="1004">
        <f>AA17</f>
        <v>538000</v>
      </c>
      <c r="AB110" s="1004">
        <f>AB17</f>
        <v>565000</v>
      </c>
      <c r="AC110" s="1004">
        <f>AC17</f>
        <v>593000</v>
      </c>
      <c r="AD110" s="1004">
        <f t="shared" si="45"/>
        <v>2673000</v>
      </c>
      <c r="AE110" s="1003"/>
      <c r="AF110" s="1003">
        <f>AD110/$AD$73</f>
        <v>5.5850513686823415E-2</v>
      </c>
      <c r="AG110" s="985">
        <f>AD110/U110-1</f>
        <v>0.21793744367096268</v>
      </c>
    </row>
    <row r="111" spans="1:33" x14ac:dyDescent="0.25">
      <c r="A111" s="1091" t="s">
        <v>564</v>
      </c>
      <c r="B111" s="1092" t="s">
        <v>1173</v>
      </c>
      <c r="C111" s="1010"/>
      <c r="D111" s="1010"/>
      <c r="E111" s="1010"/>
      <c r="F111" s="1010"/>
      <c r="G111" s="994"/>
      <c r="H111" s="994">
        <f>H110/G110</f>
        <v>1.1315511813682284</v>
      </c>
      <c r="I111" s="994">
        <f>I110/H110</f>
        <v>1.1469144926882424</v>
      </c>
      <c r="J111" s="994">
        <f>J110/I110</f>
        <v>0.98280386025755728</v>
      </c>
      <c r="K111" s="994">
        <f>K110/J110</f>
        <v>1.0736726811503972</v>
      </c>
      <c r="L111" s="994">
        <f>L110/K110</f>
        <v>1.2137253801315422</v>
      </c>
      <c r="M111" s="994"/>
      <c r="N111" s="998">
        <f>(H111*I111*J111*K111*L111)^(1/5)-1</f>
        <v>0.10696244357773277</v>
      </c>
      <c r="O111" s="994"/>
      <c r="P111" s="994">
        <f>P110/L110</f>
        <v>1.099287927589347</v>
      </c>
      <c r="Q111" s="994">
        <f>Q110/P110</f>
        <v>1.1189029387659524</v>
      </c>
      <c r="R111" s="994">
        <f>R110/Q110</f>
        <v>1.2538782301144242</v>
      </c>
      <c r="S111" s="994">
        <f>S110/R110</f>
        <v>1.0879848114998645</v>
      </c>
      <c r="T111" s="994">
        <f>T110/S110</f>
        <v>0.90127751293429115</v>
      </c>
      <c r="U111" s="994"/>
      <c r="V111" s="994">
        <f>(P111*Q111*R111*T111*S111)^(1/5)-1</f>
        <v>8.6245826043285234E-2</v>
      </c>
      <c r="W111" s="994"/>
      <c r="X111" s="994"/>
      <c r="Y111" s="994">
        <f>Y110/T110</f>
        <v>0.98936170212765961</v>
      </c>
      <c r="Z111" s="994">
        <f>Z110/Y110</f>
        <v>1.1010752688172043</v>
      </c>
      <c r="AA111" s="994">
        <f>AA110/Z110</f>
        <v>1.05078125</v>
      </c>
      <c r="AB111" s="994">
        <f>AB110/AA110</f>
        <v>1.050185873605948</v>
      </c>
      <c r="AC111" s="994">
        <f>AC110/AB110</f>
        <v>1.0495575221238937</v>
      </c>
      <c r="AD111" s="994">
        <f t="shared" si="45"/>
        <v>5.2409616166747055</v>
      </c>
      <c r="AE111" s="992">
        <f>(Z111*AA111*AB111*AC111*Y111)^(1/5)-1</f>
        <v>4.7590055397573217E-2</v>
      </c>
      <c r="AF111" s="994"/>
      <c r="AG111" s="994"/>
    </row>
    <row r="112" spans="1:33" x14ac:dyDescent="0.25">
      <c r="A112" s="1091" t="s">
        <v>564</v>
      </c>
      <c r="B112" s="1092" t="s">
        <v>1178</v>
      </c>
      <c r="C112" s="1010"/>
      <c r="D112" s="1010"/>
      <c r="E112" s="1010"/>
      <c r="F112" s="1010"/>
      <c r="G112" s="994"/>
      <c r="H112" s="994">
        <f>H110/$H$73</f>
        <v>5.0904889284641985E-2</v>
      </c>
      <c r="I112" s="994">
        <f>I110/$I$73</f>
        <v>5.370181363473326E-2</v>
      </c>
      <c r="J112" s="994">
        <f>J110/$J$73</f>
        <v>5.2035263727116518E-2</v>
      </c>
      <c r="K112" s="994">
        <f>K110/$K$73</f>
        <v>6.2264372302523484E-2</v>
      </c>
      <c r="L112" s="994">
        <f>L110/$L$73</f>
        <v>6.0055184999604827E-2</v>
      </c>
      <c r="M112" s="994">
        <f>M110/$M$73</f>
        <v>5.5867577364403821E-2</v>
      </c>
      <c r="N112" s="994"/>
      <c r="O112" s="994"/>
      <c r="P112" s="994">
        <f>P110/$P$73</f>
        <v>5.3930847469185583E-2</v>
      </c>
      <c r="Q112" s="994">
        <f>Q110/$Q$73</f>
        <v>5.5788415521550214E-2</v>
      </c>
      <c r="R112" s="994">
        <f>R110/$R$73</f>
        <v>6.863102223581545E-2</v>
      </c>
      <c r="S112" s="994">
        <f>S110/$R$73</f>
        <v>7.4669509790276672E-2</v>
      </c>
      <c r="T112" s="994">
        <f>T110/$T$73</f>
        <v>5.8385093167701865E-2</v>
      </c>
      <c r="U112" s="994">
        <f>U110/$U$73</f>
        <v>5.9329433643089673E-2</v>
      </c>
      <c r="V112" s="994"/>
      <c r="W112" s="992"/>
      <c r="X112" s="992"/>
      <c r="Y112" s="994">
        <f>Y110/$Y$73</f>
        <v>5.7118991757668068E-2</v>
      </c>
      <c r="Z112" s="994">
        <f>Z110/$Z$73</f>
        <v>5.7807383990064354E-2</v>
      </c>
      <c r="AA112" s="994">
        <f>AA110/$AA$73</f>
        <v>5.6329180190555959E-2</v>
      </c>
      <c r="AB112" s="994">
        <f>AB110/$AB$73</f>
        <v>5.5062859370431733E-2</v>
      </c>
      <c r="AC112" s="994">
        <f>AC110/$AC$73</f>
        <v>5.3665158371040723E-2</v>
      </c>
      <c r="AD112" s="994">
        <f t="shared" si="45"/>
        <v>0.27998357367976084</v>
      </c>
      <c r="AE112" s="994"/>
      <c r="AF112" s="992"/>
      <c r="AG112" s="994"/>
    </row>
    <row r="113" spans="1:33" x14ac:dyDescent="0.25">
      <c r="A113" s="1099" t="s">
        <v>852</v>
      </c>
      <c r="B113" s="1102" t="s">
        <v>277</v>
      </c>
      <c r="C113" s="1004">
        <f t="shared" ref="C113:M113" si="61">C16</f>
        <v>6300</v>
      </c>
      <c r="D113" s="1004">
        <f t="shared" si="61"/>
        <v>10340</v>
      </c>
      <c r="E113" s="1004">
        <f t="shared" si="61"/>
        <v>13690</v>
      </c>
      <c r="F113" s="1004">
        <f t="shared" si="61"/>
        <v>17250</v>
      </c>
      <c r="G113" s="1004">
        <f t="shared" si="61"/>
        <v>22513.990010999998</v>
      </c>
      <c r="H113" s="1004">
        <f t="shared" si="61"/>
        <v>22700.889665999999</v>
      </c>
      <c r="I113" s="1004">
        <f t="shared" si="61"/>
        <v>7232.069724</v>
      </c>
      <c r="J113" s="1004">
        <f t="shared" si="61"/>
        <v>9025.4512319999994</v>
      </c>
      <c r="K113" s="1004">
        <f t="shared" si="61"/>
        <v>8785.7481970000008</v>
      </c>
      <c r="L113" s="1004">
        <f t="shared" si="61"/>
        <v>8245</v>
      </c>
      <c r="M113" s="1004">
        <f t="shared" si="61"/>
        <v>55989.158818999997</v>
      </c>
      <c r="N113" s="1003"/>
      <c r="O113" s="1003">
        <f>M113/$M$73</f>
        <v>2.4833831725355323E-3</v>
      </c>
      <c r="P113" s="1004">
        <f>P16</f>
        <v>8374</v>
      </c>
      <c r="Q113" s="1004">
        <f>Q16</f>
        <v>9759</v>
      </c>
      <c r="R113" s="1004">
        <f>R16</f>
        <v>10562</v>
      </c>
      <c r="S113" s="1004">
        <f>S16</f>
        <v>11281</v>
      </c>
      <c r="T113" s="1004">
        <f>T16</f>
        <v>8000</v>
      </c>
      <c r="U113" s="212">
        <f>SUM(P113:T113)</f>
        <v>47976</v>
      </c>
      <c r="V113" s="1004"/>
      <c r="W113" s="1003">
        <f>U113/$U$7</f>
        <v>1.2969411263988831E-3</v>
      </c>
      <c r="X113" s="1003">
        <f>U113/M113-1</f>
        <v>-0.1431198286958496</v>
      </c>
      <c r="Y113" s="1004">
        <f>Y16</f>
        <v>8000</v>
      </c>
      <c r="Z113" s="1004">
        <f>Z16</f>
        <v>8000</v>
      </c>
      <c r="AA113" s="1004">
        <f>AA16</f>
        <v>8000</v>
      </c>
      <c r="AB113" s="1004">
        <f>AB16</f>
        <v>8000</v>
      </c>
      <c r="AC113" s="1004">
        <f>AC16</f>
        <v>8000</v>
      </c>
      <c r="AD113" s="1004">
        <f t="shared" si="45"/>
        <v>40000</v>
      </c>
      <c r="AE113" s="1003"/>
      <c r="AF113" s="1003">
        <f>AD113/$AD$73</f>
        <v>8.3577274503289815E-4</v>
      </c>
      <c r="AG113" s="985">
        <f>AD113/U113-1</f>
        <v>-0.1662497915624479</v>
      </c>
    </row>
    <row r="114" spans="1:33" x14ac:dyDescent="0.25">
      <c r="A114" s="1091" t="s">
        <v>564</v>
      </c>
      <c r="B114" s="1092" t="s">
        <v>1173</v>
      </c>
      <c r="C114" s="1010"/>
      <c r="D114" s="1010"/>
      <c r="E114" s="1010"/>
      <c r="F114" s="1010"/>
      <c r="G114" s="994"/>
      <c r="H114" s="994">
        <f>H113/G113</f>
        <v>1.0083014896474896</v>
      </c>
      <c r="I114" s="994">
        <f>I113/H113</f>
        <v>0.31858089398283584</v>
      </c>
      <c r="J114" s="994">
        <f>J113/I113</f>
        <v>1.2479762469723668</v>
      </c>
      <c r="K114" s="994">
        <f>K113/J113</f>
        <v>0.97344143480049794</v>
      </c>
      <c r="L114" s="994">
        <f>L113/K113</f>
        <v>0.93845166229728216</v>
      </c>
      <c r="M114" s="994"/>
      <c r="N114" s="998">
        <f>(H114*I114*J114*K114*L114)^(1/5)-1</f>
        <v>-0.1820106709603595</v>
      </c>
      <c r="O114" s="994"/>
      <c r="P114" s="994">
        <f>P113/L113</f>
        <v>1.0156458459672528</v>
      </c>
      <c r="Q114" s="994">
        <f>Q113/P113</f>
        <v>1.1653928827322666</v>
      </c>
      <c r="R114" s="994">
        <f>R113/Q113</f>
        <v>1.0822830208013117</v>
      </c>
      <c r="S114" s="994">
        <f>S113/R113</f>
        <v>1.0680742283658398</v>
      </c>
      <c r="T114" s="994">
        <f>T113/S113</f>
        <v>0.70915698962857898</v>
      </c>
      <c r="U114" s="994"/>
      <c r="V114" s="994">
        <f>(P114*Q114*R114*T114*S114)^(1/5)-1</f>
        <v>-6.0149203655558425E-3</v>
      </c>
      <c r="W114" s="994"/>
      <c r="X114" s="994"/>
      <c r="Y114" s="994">
        <f>Y113/T113</f>
        <v>1</v>
      </c>
      <c r="Z114" s="994">
        <f>Z113/Y113</f>
        <v>1</v>
      </c>
      <c r="AA114" s="994">
        <f>AA113/Z113</f>
        <v>1</v>
      </c>
      <c r="AB114" s="994">
        <f>AB113/AA113</f>
        <v>1</v>
      </c>
      <c r="AC114" s="994">
        <f>AC113/AB113</f>
        <v>1</v>
      </c>
      <c r="AD114" s="994">
        <f t="shared" si="45"/>
        <v>5</v>
      </c>
      <c r="AE114" s="992">
        <f>(Z114*AA114*AB114*AC114*Y114)^(1/5)-1</f>
        <v>0</v>
      </c>
      <c r="AF114" s="994"/>
      <c r="AG114" s="994"/>
    </row>
    <row r="115" spans="1:33" x14ac:dyDescent="0.25">
      <c r="A115" s="1091" t="s">
        <v>564</v>
      </c>
      <c r="B115" s="1092" t="s">
        <v>1178</v>
      </c>
      <c r="C115" s="1010"/>
      <c r="D115" s="1010"/>
      <c r="E115" s="1010"/>
      <c r="F115" s="1010"/>
      <c r="G115" s="994"/>
      <c r="H115" s="994">
        <f>H113/$H$73</f>
        <v>5.4617944421717045E-3</v>
      </c>
      <c r="I115" s="994">
        <f>I113/$I$73</f>
        <v>1.6004919460703452E-3</v>
      </c>
      <c r="J115" s="994">
        <f>J113/$J$73</f>
        <v>1.9692541335315796E-3</v>
      </c>
      <c r="K115" s="994">
        <f>K113/$K$73</f>
        <v>2.1363949623435735E-3</v>
      </c>
      <c r="L115" s="994">
        <f>L113/$L$73</f>
        <v>1.5932499535744934E-3</v>
      </c>
      <c r="M115" s="994">
        <f>M113/$M$73</f>
        <v>2.4833831725355323E-3</v>
      </c>
      <c r="N115" s="994"/>
      <c r="O115" s="994"/>
      <c r="P115" s="994">
        <f>P113/$P$73</f>
        <v>1.3219087832424777E-3</v>
      </c>
      <c r="Q115" s="994">
        <f>Q113/$Q$73</f>
        <v>1.4242565232087116E-3</v>
      </c>
      <c r="R115" s="994">
        <f>R113/$R$73</f>
        <v>1.5123424440439024E-3</v>
      </c>
      <c r="S115" s="994">
        <f>S113/$R$73</f>
        <v>1.6152939889470992E-3</v>
      </c>
      <c r="T115" s="994">
        <f>T113/$T$73</f>
        <v>9.9378881987577643E-4</v>
      </c>
      <c r="U115" s="994">
        <f>U113/$U$73</f>
        <v>1.2969411263988831E-3</v>
      </c>
      <c r="V115" s="994"/>
      <c r="W115" s="992"/>
      <c r="X115" s="992"/>
      <c r="Y115" s="994">
        <f>Y113/$Y$73</f>
        <v>9.8269233131471944E-4</v>
      </c>
      <c r="Z115" s="994">
        <f>Z113/$Z$73</f>
        <v>9.0324037484475553E-4</v>
      </c>
      <c r="AA115" s="994">
        <f>AA113/$AA$73</f>
        <v>8.3760862736886193E-4</v>
      </c>
      <c r="AB115" s="994">
        <f>AB113/$AB$73</f>
        <v>7.7965110613000682E-4</v>
      </c>
      <c r="AC115" s="994">
        <f>AC113/$AC$73</f>
        <v>7.2398190045248867E-4</v>
      </c>
      <c r="AD115" s="994">
        <f t="shared" si="45"/>
        <v>4.2271743401108321E-3</v>
      </c>
      <c r="AE115" s="994"/>
      <c r="AF115" s="992"/>
      <c r="AG115" s="994"/>
    </row>
    <row r="116" spans="1:33" x14ac:dyDescent="0.25">
      <c r="A116" s="1099" t="s">
        <v>852</v>
      </c>
      <c r="B116" s="1102" t="s">
        <v>417</v>
      </c>
      <c r="C116" s="1004">
        <f>C19</f>
        <v>83710</v>
      </c>
      <c r="D116" s="1004">
        <f>D19</f>
        <v>65760</v>
      </c>
      <c r="E116" s="1004">
        <f>E19</f>
        <v>62020</v>
      </c>
      <c r="F116" s="1004">
        <f>F19</f>
        <v>108070</v>
      </c>
      <c r="G116" s="1004">
        <f>G19</f>
        <v>147763</v>
      </c>
      <c r="H116" s="1004">
        <f t="shared" ref="H116:M116" si="62">H19</f>
        <v>129532.067836</v>
      </c>
      <c r="I116" s="1004">
        <f t="shared" si="62"/>
        <v>124106.44856800001</v>
      </c>
      <c r="J116" s="1004">
        <f t="shared" si="62"/>
        <v>151790.240028</v>
      </c>
      <c r="K116" s="1004">
        <f t="shared" si="62"/>
        <v>165870.497191</v>
      </c>
      <c r="L116" s="1004">
        <f t="shared" si="62"/>
        <v>212616</v>
      </c>
      <c r="M116" s="1004">
        <f t="shared" si="62"/>
        <v>783915.253623</v>
      </c>
      <c r="N116" s="1003"/>
      <c r="O116" s="1003">
        <f>M116/$M$73</f>
        <v>3.4770337518995657E-2</v>
      </c>
      <c r="P116" s="1004">
        <f>P19</f>
        <v>205555</v>
      </c>
      <c r="Q116" s="1004">
        <f>Q19</f>
        <v>256429</v>
      </c>
      <c r="R116" s="1004">
        <f>R19</f>
        <v>154856</v>
      </c>
      <c r="S116" s="1004">
        <f>S19</f>
        <v>172887</v>
      </c>
      <c r="T116" s="1004">
        <f>T19</f>
        <v>165000</v>
      </c>
      <c r="U116" s="212">
        <f>SUM(P116:T116)</f>
        <v>954727</v>
      </c>
      <c r="V116" s="1004"/>
      <c r="W116" s="1003">
        <f>U116/$U$7</f>
        <v>2.5809252767705237E-2</v>
      </c>
      <c r="X116" s="1003">
        <f>U116/M116-1</f>
        <v>0.21789567888564987</v>
      </c>
      <c r="Y116" s="1004">
        <f>Y19</f>
        <v>192900</v>
      </c>
      <c r="Z116" s="1004">
        <f>Z19</f>
        <v>206000</v>
      </c>
      <c r="AA116" s="1004">
        <f>AA19</f>
        <v>220000</v>
      </c>
      <c r="AB116" s="1004">
        <f>AB19</f>
        <v>235000</v>
      </c>
      <c r="AC116" s="1004">
        <f>AC19</f>
        <v>251000</v>
      </c>
      <c r="AD116" s="1004">
        <f t="shared" si="45"/>
        <v>1104900</v>
      </c>
      <c r="AE116" s="1003"/>
      <c r="AF116" s="1003">
        <f>AD116/$AD$73</f>
        <v>2.3086132649671229E-2</v>
      </c>
      <c r="AG116" s="985">
        <f>AD116/U116-1</f>
        <v>0.15729417938321633</v>
      </c>
    </row>
    <row r="117" spans="1:33" x14ac:dyDescent="0.25">
      <c r="A117" s="1091" t="s">
        <v>564</v>
      </c>
      <c r="B117" s="1092" t="s">
        <v>1173</v>
      </c>
      <c r="C117" s="1010"/>
      <c r="D117" s="1010"/>
      <c r="E117" s="1010"/>
      <c r="F117" s="1010"/>
      <c r="G117" s="994"/>
      <c r="H117" s="994">
        <f>H116/G116</f>
        <v>0.87662045191286042</v>
      </c>
      <c r="I117" s="994">
        <f>I116/H116</f>
        <v>0.95811369834017202</v>
      </c>
      <c r="J117" s="994">
        <f>J116/I116</f>
        <v>1.223064891304432</v>
      </c>
      <c r="K117" s="994">
        <f>K116/J116</f>
        <v>1.0927612813604002</v>
      </c>
      <c r="L117" s="994">
        <f>L116/K116</f>
        <v>1.2818192722674033</v>
      </c>
      <c r="M117" s="994"/>
      <c r="N117" s="998">
        <f>(H117*I117*J117*K117*L117)^(1/5)-1</f>
        <v>7.5489187895901422E-2</v>
      </c>
      <c r="O117" s="994"/>
      <c r="P117" s="994">
        <f>P116/L116</f>
        <v>0.96678989351695077</v>
      </c>
      <c r="Q117" s="994">
        <f>Q116/P116</f>
        <v>1.2474958040427135</v>
      </c>
      <c r="R117" s="994">
        <f>R116/Q116</f>
        <v>0.60389425532993535</v>
      </c>
      <c r="S117" s="994">
        <f>S116/R116</f>
        <v>1.1164372061786434</v>
      </c>
      <c r="T117" s="994">
        <f>T116/S116</f>
        <v>0.95438060698606608</v>
      </c>
      <c r="U117" s="994"/>
      <c r="V117" s="994">
        <f>(P117*Q117*R117*T117*S117)^(1/5)-1</f>
        <v>-4.9444234926187658E-2</v>
      </c>
      <c r="W117" s="994"/>
      <c r="X117" s="994"/>
      <c r="Y117" s="994">
        <f>Y116/T116</f>
        <v>1.1690909090909092</v>
      </c>
      <c r="Z117" s="994">
        <f>Z116/Y116</f>
        <v>1.0679108346293416</v>
      </c>
      <c r="AA117" s="994">
        <f>AA116/Z116</f>
        <v>1.0679611650485437</v>
      </c>
      <c r="AB117" s="994">
        <f>AB116/AA116</f>
        <v>1.0681818181818181</v>
      </c>
      <c r="AC117" s="994">
        <f>AC116/AB116</f>
        <v>1.0680851063829788</v>
      </c>
      <c r="AD117" s="994">
        <f t="shared" si="45"/>
        <v>5.4412298333335913</v>
      </c>
      <c r="AE117" s="992">
        <f>(Z117*AA117*AB117*AC117*Y117)^(1/5)-1</f>
        <v>8.7521760076471944E-2</v>
      </c>
      <c r="AF117" s="994"/>
      <c r="AG117" s="994"/>
    </row>
    <row r="118" spans="1:33" x14ac:dyDescent="0.25">
      <c r="A118" s="1091" t="s">
        <v>564</v>
      </c>
      <c r="B118" s="1092" t="s">
        <v>1178</v>
      </c>
      <c r="C118" s="1010"/>
      <c r="D118" s="1010"/>
      <c r="E118" s="1010"/>
      <c r="F118" s="1010"/>
      <c r="G118" s="994"/>
      <c r="H118" s="994">
        <f>H116/$H$73</f>
        <v>3.1165189496924848E-2</v>
      </c>
      <c r="I118" s="994">
        <f>I116/$I$73</f>
        <v>2.7465356249167371E-2</v>
      </c>
      <c r="J118" s="994">
        <f>J116/$J$73</f>
        <v>3.3118959919154284E-2</v>
      </c>
      <c r="K118" s="994">
        <f>K116/$K$73</f>
        <v>4.0334059963302658E-2</v>
      </c>
      <c r="L118" s="994">
        <f>L116/$L$73</f>
        <v>4.1085558778556033E-2</v>
      </c>
      <c r="M118" s="994">
        <f>M116/$M$73</f>
        <v>3.4770337518995657E-2</v>
      </c>
      <c r="N118" s="994"/>
      <c r="O118" s="994"/>
      <c r="P118" s="994">
        <f>P116/$P$73</f>
        <v>3.244864580121895E-2</v>
      </c>
      <c r="Q118" s="994">
        <f>Q116/$Q$73</f>
        <v>3.7423985653231552E-2</v>
      </c>
      <c r="R118" s="994">
        <f>R116/$R$73</f>
        <v>2.2173385865826789E-2</v>
      </c>
      <c r="S118" s="994">
        <f>S116/$R$73</f>
        <v>2.475519296756468E-2</v>
      </c>
      <c r="T118" s="994">
        <f>T116/$T$73</f>
        <v>2.0496894409937887E-2</v>
      </c>
      <c r="U118" s="994">
        <f>U116/$U$73</f>
        <v>2.5809252767705237E-2</v>
      </c>
      <c r="V118" s="994"/>
      <c r="W118" s="992"/>
      <c r="X118" s="992"/>
      <c r="Y118" s="994">
        <f>Y116/$Y$73</f>
        <v>2.3695168838826174E-2</v>
      </c>
      <c r="Z118" s="994">
        <f>Z116/$Z$73</f>
        <v>2.3258439652252456E-2</v>
      </c>
      <c r="AA118" s="994">
        <f>AA116/$AA$73</f>
        <v>2.3034237252643704E-2</v>
      </c>
      <c r="AB118" s="994">
        <f>AB116/$AB$73</f>
        <v>2.290225124256895E-2</v>
      </c>
      <c r="AC118" s="994">
        <f>AC116/$AC$73</f>
        <v>2.2714932126696834E-2</v>
      </c>
      <c r="AD118" s="994">
        <f t="shared" si="45"/>
        <v>0.11560502911298812</v>
      </c>
      <c r="AE118" s="994"/>
      <c r="AF118" s="992"/>
      <c r="AG118" s="994"/>
    </row>
    <row r="119" spans="1:33" x14ac:dyDescent="0.25">
      <c r="A119" s="1099" t="s">
        <v>852</v>
      </c>
      <c r="B119" s="1102" t="s">
        <v>1258</v>
      </c>
      <c r="C119" s="1004">
        <f>C22</f>
        <v>2970</v>
      </c>
      <c r="D119" s="1004">
        <f>D22</f>
        <v>1390</v>
      </c>
      <c r="E119" s="1004">
        <f>E22</f>
        <v>170</v>
      </c>
      <c r="F119" s="1004">
        <f>F22</f>
        <v>1150</v>
      </c>
      <c r="G119" s="1004">
        <f>G21</f>
        <v>12272.982172</v>
      </c>
      <c r="H119" s="1004">
        <f t="shared" ref="H119:M119" si="63">H21</f>
        <v>14797.318150999999</v>
      </c>
      <c r="I119" s="1004">
        <f t="shared" si="63"/>
        <v>21280.122105999999</v>
      </c>
      <c r="J119" s="1004">
        <f t="shared" si="63"/>
        <v>25056.577998000001</v>
      </c>
      <c r="K119" s="1004">
        <f t="shared" si="63"/>
        <v>30109.314546000001</v>
      </c>
      <c r="L119" s="1004">
        <f t="shared" si="63"/>
        <v>35945</v>
      </c>
      <c r="M119" s="1004">
        <f t="shared" si="63"/>
        <v>127188.332801</v>
      </c>
      <c r="N119" s="1003"/>
      <c r="O119" s="1003">
        <f>M119/$M$73</f>
        <v>5.6414022300629004E-3</v>
      </c>
      <c r="P119" s="1004">
        <f>P21</f>
        <v>53095</v>
      </c>
      <c r="Q119" s="1004">
        <f>Q21</f>
        <v>61296</v>
      </c>
      <c r="R119" s="1004">
        <f>R21</f>
        <v>194910</v>
      </c>
      <c r="S119" s="1004">
        <f>S21</f>
        <v>177724</v>
      </c>
      <c r="T119" s="1004">
        <f>T21</f>
        <v>72000</v>
      </c>
      <c r="U119" s="212">
        <f>SUM(P119:T119)</f>
        <v>559025</v>
      </c>
      <c r="V119" s="1004"/>
      <c r="W119" s="1003">
        <f>U119/$U$7</f>
        <v>1.5112191787250616E-2</v>
      </c>
      <c r="X119" s="1003">
        <f>U119/M119-1</f>
        <v>3.3952537759470083</v>
      </c>
      <c r="Y119" s="1004">
        <f>Y21</f>
        <v>76000</v>
      </c>
      <c r="Z119" s="1004">
        <f>Z21</f>
        <v>86000</v>
      </c>
      <c r="AA119" s="1004">
        <f>AA21</f>
        <v>92000</v>
      </c>
      <c r="AB119" s="1004">
        <f>AB21</f>
        <v>99000</v>
      </c>
      <c r="AC119" s="1004">
        <f>AC21</f>
        <v>107000</v>
      </c>
      <c r="AD119" s="1004">
        <f t="shared" si="45"/>
        <v>460000</v>
      </c>
      <c r="AE119" s="1003"/>
      <c r="AF119" s="1003">
        <f>AD119/$AD$73</f>
        <v>9.611386567878329E-3</v>
      </c>
      <c r="AG119" s="985">
        <f>AD119/U119-1</f>
        <v>-0.17713876839139575</v>
      </c>
    </row>
    <row r="120" spans="1:33" x14ac:dyDescent="0.25">
      <c r="A120" s="1091" t="s">
        <v>564</v>
      </c>
      <c r="B120" s="1092" t="s">
        <v>1173</v>
      </c>
      <c r="C120" s="1010"/>
      <c r="D120" s="1010"/>
      <c r="E120" s="1010"/>
      <c r="F120" s="1010"/>
      <c r="G120" s="994"/>
      <c r="H120" s="994">
        <f>H119/G119</f>
        <v>1.2056823633916054</v>
      </c>
      <c r="I120" s="994">
        <f>I119/H119</f>
        <v>1.4381066818220634</v>
      </c>
      <c r="J120" s="994">
        <f>J119/I119</f>
        <v>1.1774640142189419</v>
      </c>
      <c r="K120" s="994">
        <f>K119/J119</f>
        <v>1.2016530967797481</v>
      </c>
      <c r="L120" s="994">
        <f>L119/K119</f>
        <v>1.1938166159539911</v>
      </c>
      <c r="M120" s="994"/>
      <c r="N120" s="998">
        <f>(H120*I120*J120*K120*L120)^(1/5)-1</f>
        <v>0.23976016239775455</v>
      </c>
      <c r="O120" s="994"/>
      <c r="P120" s="994">
        <f>P119/L119</f>
        <v>1.4771178188899707</v>
      </c>
      <c r="Q120" s="994">
        <f>Q119/P119</f>
        <v>1.15445898860533</v>
      </c>
      <c r="R120" s="994">
        <f>R119/Q119</f>
        <v>3.1798159749412687</v>
      </c>
      <c r="S120" s="994">
        <f>S119/R119</f>
        <v>0.9118259709609563</v>
      </c>
      <c r="T120" s="994">
        <f>T119/S119</f>
        <v>0.40512254957124533</v>
      </c>
      <c r="U120" s="994"/>
      <c r="V120" s="994">
        <f>(P120*Q120*R120*T120*S120)^(1/5)-1</f>
        <v>0.14904966826387356</v>
      </c>
      <c r="W120" s="994"/>
      <c r="X120" s="994"/>
      <c r="Y120" s="994">
        <f>Y119/T119</f>
        <v>1.0555555555555556</v>
      </c>
      <c r="Z120" s="994">
        <f>Z119/Y119</f>
        <v>1.131578947368421</v>
      </c>
      <c r="AA120" s="994">
        <f>AA119/Z119</f>
        <v>1.069767441860465</v>
      </c>
      <c r="AB120" s="994">
        <f>AB119/AA119</f>
        <v>1.076086956521739</v>
      </c>
      <c r="AC120" s="994">
        <f>AC119/AB119</f>
        <v>1.0808080808080809</v>
      </c>
      <c r="AD120" s="994">
        <f t="shared" si="45"/>
        <v>5.4137969821142615</v>
      </c>
      <c r="AE120" s="992">
        <f>(Z120*AA120*AB120*AC120*Y120)^(1/5)-1</f>
        <v>8.2456010469547092E-2</v>
      </c>
      <c r="AF120" s="994"/>
      <c r="AG120" s="994"/>
    </row>
    <row r="121" spans="1:33" x14ac:dyDescent="0.25">
      <c r="A121" s="1091" t="s">
        <v>564</v>
      </c>
      <c r="B121" s="1092" t="s">
        <v>1178</v>
      </c>
      <c r="C121" s="1010"/>
      <c r="D121" s="1010"/>
      <c r="E121" s="1010"/>
      <c r="F121" s="1010"/>
      <c r="G121" s="994"/>
      <c r="H121" s="994">
        <f>H119/$H$73</f>
        <v>3.5602089268433113E-3</v>
      </c>
      <c r="I121" s="994">
        <f>I119/$I$73</f>
        <v>4.7093937616531911E-3</v>
      </c>
      <c r="J121" s="994">
        <f>J119/$J$73</f>
        <v>5.4670695709674554E-3</v>
      </c>
      <c r="K121" s="994">
        <f>K119/$K$73</f>
        <v>7.3215606085384006E-3</v>
      </c>
      <c r="L121" s="994">
        <f>L119/$L$73</f>
        <v>6.9459514349587831E-3</v>
      </c>
      <c r="M121" s="994">
        <f>M119/$M$73</f>
        <v>5.6414022300629004E-3</v>
      </c>
      <c r="N121" s="994"/>
      <c r="O121" s="994"/>
      <c r="P121" s="994">
        <f>P119/$P$73</f>
        <v>8.3815078631788095E-3</v>
      </c>
      <c r="Q121" s="994">
        <f>Q119/$Q$73</f>
        <v>8.9457145042116191E-3</v>
      </c>
      <c r="R121" s="994">
        <f>R119/$R$73</f>
        <v>2.7908603083563435E-2</v>
      </c>
      <c r="S121" s="994">
        <f>S119/$R$73</f>
        <v>2.5447789104834168E-2</v>
      </c>
      <c r="T121" s="994">
        <f>T119/$T$73</f>
        <v>8.944099378881987E-3</v>
      </c>
      <c r="U121" s="994">
        <f>U119/$U$73</f>
        <v>1.5112191787250616E-2</v>
      </c>
      <c r="V121" s="994"/>
      <c r="W121" s="992"/>
      <c r="X121" s="992"/>
      <c r="Y121" s="994">
        <f>Y119/$Y$73</f>
        <v>9.3355771474898357E-3</v>
      </c>
      <c r="Z121" s="994">
        <f>Z119/$Z$73</f>
        <v>9.7098340295811228E-3</v>
      </c>
      <c r="AA121" s="994">
        <f>AA119/$AA$73</f>
        <v>9.632499214741911E-3</v>
      </c>
      <c r="AB121" s="994">
        <f>AB119/$AB$73</f>
        <v>9.6481824383588353E-3</v>
      </c>
      <c r="AC121" s="994">
        <f>AC119/$AC$73</f>
        <v>9.6832579185520355E-3</v>
      </c>
      <c r="AD121" s="994">
        <f t="shared" si="45"/>
        <v>4.8009350748723742E-2</v>
      </c>
      <c r="AE121" s="994"/>
      <c r="AF121" s="992"/>
      <c r="AG121" s="994"/>
    </row>
    <row r="122" spans="1:33" x14ac:dyDescent="0.25">
      <c r="A122" s="1099" t="s">
        <v>852</v>
      </c>
      <c r="B122" s="551" t="s">
        <v>633</v>
      </c>
      <c r="C122" s="1004">
        <f>C25</f>
        <v>0</v>
      </c>
      <c r="D122" s="1004">
        <f>D25</f>
        <v>0</v>
      </c>
      <c r="E122" s="1004">
        <f>E25</f>
        <v>0</v>
      </c>
      <c r="F122" s="1004">
        <f>F25</f>
        <v>0</v>
      </c>
      <c r="G122" s="1004">
        <f>G25</f>
        <v>0</v>
      </c>
      <c r="H122" s="1004">
        <f t="shared" ref="H122:M122" si="64">H25</f>
        <v>0</v>
      </c>
      <c r="I122" s="1004">
        <f t="shared" si="64"/>
        <v>0</v>
      </c>
      <c r="J122" s="1004">
        <f t="shared" si="64"/>
        <v>0</v>
      </c>
      <c r="K122" s="1004">
        <f t="shared" si="64"/>
        <v>0</v>
      </c>
      <c r="L122" s="1004">
        <f t="shared" si="64"/>
        <v>0</v>
      </c>
      <c r="M122" s="1004">
        <f t="shared" si="64"/>
        <v>0</v>
      </c>
      <c r="N122" s="1003"/>
      <c r="O122" s="1003">
        <f>M122/$M$73</f>
        <v>0</v>
      </c>
      <c r="P122" s="1004">
        <f>P25</f>
        <v>0</v>
      </c>
      <c r="Q122" s="1004">
        <f>Q25</f>
        <v>0</v>
      </c>
      <c r="R122" s="1004">
        <f>R25</f>
        <v>47932</v>
      </c>
      <c r="S122" s="1004">
        <f>S25</f>
        <v>129025</v>
      </c>
      <c r="T122" s="1004">
        <f>T25</f>
        <v>64000</v>
      </c>
      <c r="U122" s="212">
        <f>SUM(P122:T122)</f>
        <v>240957</v>
      </c>
      <c r="V122" s="1004"/>
      <c r="W122" s="1003">
        <f>U122/$U$7</f>
        <v>6.5138203058549204E-3</v>
      </c>
      <c r="X122" s="1003"/>
      <c r="Y122" s="1004">
        <f>Y25</f>
        <v>70000</v>
      </c>
      <c r="Z122" s="1004">
        <f>Z25</f>
        <v>75000</v>
      </c>
      <c r="AA122" s="1004">
        <f>AA25</f>
        <v>80000</v>
      </c>
      <c r="AB122" s="1004">
        <f>AB25</f>
        <v>85000</v>
      </c>
      <c r="AC122" s="1004">
        <f>AC25</f>
        <v>90000</v>
      </c>
      <c r="AD122" s="1004">
        <f t="shared" si="45"/>
        <v>400000</v>
      </c>
      <c r="AE122" s="1003"/>
      <c r="AF122" s="1003">
        <f>AD122/$AD$73</f>
        <v>8.3577274503289813E-3</v>
      </c>
      <c r="AG122" s="985">
        <f>AD122/U122-1</f>
        <v>0.66004722834364649</v>
      </c>
    </row>
    <row r="123" spans="1:33" x14ac:dyDescent="0.25">
      <c r="A123" s="1091" t="s">
        <v>564</v>
      </c>
      <c r="B123" s="1092" t="s">
        <v>1173</v>
      </c>
      <c r="C123" s="1010"/>
      <c r="D123" s="1010"/>
      <c r="E123" s="1010"/>
      <c r="F123" s="1010"/>
      <c r="G123" s="994"/>
      <c r="H123" s="994"/>
      <c r="I123" s="994"/>
      <c r="J123" s="994"/>
      <c r="K123" s="994"/>
      <c r="L123" s="994"/>
      <c r="M123" s="994"/>
      <c r="N123" s="998"/>
      <c r="O123" s="994"/>
      <c r="P123" s="994"/>
      <c r="Q123" s="994"/>
      <c r="R123" s="994"/>
      <c r="S123" s="994"/>
      <c r="T123" s="994">
        <f>T122/S122</f>
        <v>0.4960279015694633</v>
      </c>
      <c r="U123" s="994"/>
      <c r="V123" s="994"/>
      <c r="W123" s="994"/>
      <c r="X123" s="994"/>
      <c r="Y123" s="994">
        <f>Y122/T122</f>
        <v>1.09375</v>
      </c>
      <c r="Z123" s="994">
        <f>Z122/Y122</f>
        <v>1.0714285714285714</v>
      </c>
      <c r="AA123" s="994">
        <f>AA122/Z122</f>
        <v>1.0666666666666667</v>
      </c>
      <c r="AB123" s="994">
        <f>AB122/AA122</f>
        <v>1.0625</v>
      </c>
      <c r="AC123" s="994">
        <f>AC122/AB122</f>
        <v>1.0588235294117647</v>
      </c>
      <c r="AD123" s="994">
        <f t="shared" si="45"/>
        <v>5.3531687675070021</v>
      </c>
      <c r="AE123" s="992">
        <f>(Z123*AA123*AB123*AC123*Y123)^(1/5)-1</f>
        <v>7.0563684169161922E-2</v>
      </c>
      <c r="AF123" s="994"/>
      <c r="AG123" s="994"/>
    </row>
    <row r="124" spans="1:33" x14ac:dyDescent="0.25">
      <c r="A124" s="1091" t="s">
        <v>564</v>
      </c>
      <c r="B124" s="1092" t="s">
        <v>1178</v>
      </c>
      <c r="C124" s="1010"/>
      <c r="D124" s="1010"/>
      <c r="E124" s="1010"/>
      <c r="F124" s="1010"/>
      <c r="G124" s="994"/>
      <c r="H124" s="994">
        <f>H122/$H$73</f>
        <v>0</v>
      </c>
      <c r="I124" s="994">
        <f>I122/$I$73</f>
        <v>0</v>
      </c>
      <c r="J124" s="994">
        <f>J122/$J$73</f>
        <v>0</v>
      </c>
      <c r="K124" s="994">
        <f>K122/$K$73</f>
        <v>0</v>
      </c>
      <c r="L124" s="994">
        <f>L122/$L$73</f>
        <v>0</v>
      </c>
      <c r="M124" s="994">
        <f>M122/$M$73</f>
        <v>0</v>
      </c>
      <c r="N124" s="994"/>
      <c r="O124" s="994"/>
      <c r="P124" s="994">
        <f>P122/$P$73</f>
        <v>0</v>
      </c>
      <c r="Q124" s="994">
        <f>Q122/$Q$73</f>
        <v>0</v>
      </c>
      <c r="R124" s="994">
        <f>R122/$R$73</f>
        <v>6.8632454107093663E-3</v>
      </c>
      <c r="S124" s="994">
        <f>S122/$R$73</f>
        <v>1.8474719167086207E-2</v>
      </c>
      <c r="T124" s="994">
        <f>T122/$T$73</f>
        <v>7.9503105590062115E-3</v>
      </c>
      <c r="U124" s="994">
        <f>U122/$U$73</f>
        <v>6.5138203058549204E-3</v>
      </c>
      <c r="V124" s="994"/>
      <c r="W124" s="992"/>
      <c r="X124" s="992"/>
      <c r="Y124" s="994">
        <f>Y122/$Y$73</f>
        <v>8.5985578990037965E-3</v>
      </c>
      <c r="Z124" s="994">
        <f>Z122/$Z$73</f>
        <v>8.4678785141695835E-3</v>
      </c>
      <c r="AA124" s="994">
        <f>AA122/$AA$73</f>
        <v>8.3760862736886182E-3</v>
      </c>
      <c r="AB124" s="994">
        <f>AB122/$AB$73</f>
        <v>8.2837930026313233E-3</v>
      </c>
      <c r="AC124" s="994">
        <f>AC122/$AC$73</f>
        <v>8.1447963800904983E-3</v>
      </c>
      <c r="AD124" s="994">
        <f t="shared" si="45"/>
        <v>4.187111206958382E-2</v>
      </c>
      <c r="AE124" s="994"/>
      <c r="AF124" s="992"/>
      <c r="AG124" s="994"/>
    </row>
    <row r="125" spans="1:33" x14ac:dyDescent="0.25">
      <c r="A125" s="1099" t="s">
        <v>852</v>
      </c>
      <c r="B125" s="1102" t="s">
        <v>1259</v>
      </c>
      <c r="C125" s="1004">
        <f>C23</f>
        <v>16290</v>
      </c>
      <c r="D125" s="1004">
        <f>D23</f>
        <v>34910</v>
      </c>
      <c r="E125" s="1004">
        <f>E23</f>
        <v>34190</v>
      </c>
      <c r="F125" s="1004">
        <f>F23</f>
        <v>46520</v>
      </c>
      <c r="G125" s="1004">
        <f t="shared" ref="G125:M125" si="65">G23+G22+G24+G26+G15</f>
        <v>121402.66154</v>
      </c>
      <c r="H125" s="1004">
        <f t="shared" si="65"/>
        <v>52547.980668000004</v>
      </c>
      <c r="I125" s="1004">
        <f t="shared" si="65"/>
        <v>60691.136125999998</v>
      </c>
      <c r="J125" s="1004">
        <f t="shared" si="65"/>
        <v>71020.529576999994</v>
      </c>
      <c r="K125" s="1004">
        <f t="shared" si="65"/>
        <v>162319.390491</v>
      </c>
      <c r="L125" s="1004">
        <f t="shared" si="65"/>
        <v>157635</v>
      </c>
      <c r="M125" s="1004">
        <f t="shared" si="65"/>
        <v>504214.03686199989</v>
      </c>
      <c r="N125" s="1003"/>
      <c r="O125" s="1003">
        <f>M125/$M$73</f>
        <v>2.2364269814219462E-2</v>
      </c>
      <c r="P125" s="1004">
        <f>P23+P22+P24+P26+P15</f>
        <v>143147</v>
      </c>
      <c r="Q125" s="1004">
        <f>Q23+Q22+Q24+Q26+Q15</f>
        <v>231700</v>
      </c>
      <c r="R125" s="1004">
        <f>R23+R22+R24+R26+R15</f>
        <v>290394</v>
      </c>
      <c r="S125" s="1004">
        <f>S23+S22+S24+S26+S15</f>
        <v>334505</v>
      </c>
      <c r="T125" s="1004">
        <f>T23+T22+T24+T26+T15</f>
        <v>285000</v>
      </c>
      <c r="U125" s="212">
        <f>SUM(P125:T125)</f>
        <v>1284746</v>
      </c>
      <c r="V125" s="1004"/>
      <c r="W125" s="1003">
        <f>U125/$U$7</f>
        <v>3.4730697106396105E-2</v>
      </c>
      <c r="X125" s="1003">
        <f>U125/M125-1</f>
        <v>1.548017123830344</v>
      </c>
      <c r="Y125" s="1004">
        <f>Y23+Y22+Y24+Y26+Y15</f>
        <v>294000</v>
      </c>
      <c r="Z125" s="1004">
        <f>Z23+Z22+Z24+Z26+Z15</f>
        <v>305000</v>
      </c>
      <c r="AA125" s="1004">
        <f>AA23+AA22+AA24+AA26+AA15</f>
        <v>316000</v>
      </c>
      <c r="AB125" s="1004">
        <f>AB23+AB22+AB24+AB26+AB15</f>
        <v>327000</v>
      </c>
      <c r="AC125" s="1004">
        <f>AC23+AC22+AC24+AC26+AC15</f>
        <v>338000</v>
      </c>
      <c r="AD125" s="1004">
        <f t="shared" si="45"/>
        <v>1580000</v>
      </c>
      <c r="AE125" s="1003"/>
      <c r="AF125" s="1003">
        <f>AD125/$AD$73</f>
        <v>3.3013023428799478E-2</v>
      </c>
      <c r="AG125" s="985">
        <f>AD125/U125-1</f>
        <v>0.2298150762874529</v>
      </c>
    </row>
    <row r="126" spans="1:33" x14ac:dyDescent="0.25">
      <c r="A126" s="1091" t="s">
        <v>564</v>
      </c>
      <c r="B126" s="1092" t="s">
        <v>1173</v>
      </c>
      <c r="C126" s="1010"/>
      <c r="D126" s="1010"/>
      <c r="E126" s="1010"/>
      <c r="F126" s="1010"/>
      <c r="G126" s="994"/>
      <c r="H126" s="994">
        <f>H125/G125</f>
        <v>0.4328404336562785</v>
      </c>
      <c r="I126" s="994">
        <f>I125/H125</f>
        <v>1.1549660967839799</v>
      </c>
      <c r="J126" s="994">
        <f>J125/I125</f>
        <v>1.1701960798617328</v>
      </c>
      <c r="K126" s="994">
        <f>K125/J125</f>
        <v>2.2855277404685412</v>
      </c>
      <c r="L126" s="994">
        <f>L125/K125</f>
        <v>0.97114090635240691</v>
      </c>
      <c r="M126" s="994"/>
      <c r="N126" s="998">
        <f>(H126*I126*J126*K126*L126)^(1/5)-1</f>
        <v>5.3622141561359138E-2</v>
      </c>
      <c r="O126" s="994"/>
      <c r="P126" s="994">
        <f>P125/L125</f>
        <v>0.90809147714657279</v>
      </c>
      <c r="Q126" s="994">
        <f>Q125/P125</f>
        <v>1.618615828484006</v>
      </c>
      <c r="R126" s="994">
        <f>R125/Q125</f>
        <v>1.2533189469141131</v>
      </c>
      <c r="S126" s="994">
        <f>S125/R125</f>
        <v>1.1519005213606341</v>
      </c>
      <c r="T126" s="994">
        <f>T125/S125</f>
        <v>0.85200520171596839</v>
      </c>
      <c r="U126" s="994"/>
      <c r="V126" s="994">
        <f>(P126*Q126*R126*T126*S126)^(1/5)-1</f>
        <v>0.12574089165782421</v>
      </c>
      <c r="W126" s="994"/>
      <c r="X126" s="994"/>
      <c r="Y126" s="994">
        <f>Y125/T125</f>
        <v>1.0315789473684212</v>
      </c>
      <c r="Z126" s="994">
        <f>Z125/Y125</f>
        <v>1.0374149659863945</v>
      </c>
      <c r="AA126" s="994">
        <f>AA125/Z125</f>
        <v>1.0360655737704918</v>
      </c>
      <c r="AB126" s="994">
        <f>AB125/AA125</f>
        <v>1.0348101265822784</v>
      </c>
      <c r="AC126" s="994">
        <f>AC125/AB125</f>
        <v>1.0336391437308869</v>
      </c>
      <c r="AD126" s="994">
        <f t="shared" si="45"/>
        <v>5.1735087574384728</v>
      </c>
      <c r="AE126" s="992">
        <f>(Z126*AA126*AB126*AC126*Y126)^(1/5)-1</f>
        <v>3.4699806939593403E-2</v>
      </c>
      <c r="AF126" s="994"/>
      <c r="AG126" s="994"/>
    </row>
    <row r="127" spans="1:33" x14ac:dyDescent="0.25">
      <c r="A127" s="1091" t="s">
        <v>564</v>
      </c>
      <c r="B127" s="1092" t="s">
        <v>1178</v>
      </c>
      <c r="C127" s="1010"/>
      <c r="D127" s="1010"/>
      <c r="E127" s="1010"/>
      <c r="F127" s="1010"/>
      <c r="G127" s="994"/>
      <c r="H127" s="994">
        <f>H125/$H$73</f>
        <v>1.2642952456162499E-2</v>
      </c>
      <c r="I127" s="994">
        <f>I125/$I$73</f>
        <v>1.3431241439110049E-2</v>
      </c>
      <c r="J127" s="994">
        <f>J125/$J$73</f>
        <v>1.5495897971199523E-2</v>
      </c>
      <c r="K127" s="994">
        <f>K125/$K$73</f>
        <v>3.9470551666170375E-2</v>
      </c>
      <c r="L127" s="994">
        <f>L125/$L$73</f>
        <v>3.0461122672130417E-2</v>
      </c>
      <c r="M127" s="994">
        <f>M125/$M$73</f>
        <v>2.2364269814219462E-2</v>
      </c>
      <c r="N127" s="994"/>
      <c r="O127" s="994"/>
      <c r="P127" s="994">
        <f>P125/$P$73</f>
        <v>2.2596999832196197E-2</v>
      </c>
      <c r="Q127" s="994">
        <f>Q125/$Q$73</f>
        <v>3.381496428194062E-2</v>
      </c>
      <c r="R127" s="994">
        <f>R125/$R$73</f>
        <v>4.1580682796410244E-2</v>
      </c>
      <c r="S127" s="994">
        <f>S125/$R$73</f>
        <v>4.7896810191716106E-2</v>
      </c>
      <c r="T127" s="994">
        <f>T125/$T$73</f>
        <v>3.5403726708074533E-2</v>
      </c>
      <c r="U127" s="994">
        <f>U125/$U$73</f>
        <v>3.4730697106396105E-2</v>
      </c>
      <c r="V127" s="994"/>
      <c r="W127" s="992"/>
      <c r="X127" s="992"/>
      <c r="Y127" s="994">
        <f>Y125/$Y$73</f>
        <v>3.6113943175815941E-2</v>
      </c>
      <c r="Z127" s="994">
        <f>Z125/$Z$73</f>
        <v>3.4436039290956302E-2</v>
      </c>
      <c r="AA127" s="994">
        <f>AA125/$AA$73</f>
        <v>3.3085540781070046E-2</v>
      </c>
      <c r="AB127" s="994">
        <f>AB125/$AB$73</f>
        <v>3.1868238963064031E-2</v>
      </c>
      <c r="AC127" s="994">
        <f>AC125/$AC$73</f>
        <v>3.0588235294117649E-2</v>
      </c>
      <c r="AD127" s="994">
        <f t="shared" si="45"/>
        <v>0.16609199750502396</v>
      </c>
      <c r="AE127" s="994"/>
      <c r="AF127" s="992"/>
      <c r="AG127" s="994"/>
    </row>
    <row r="128" spans="1:33" s="1" customFormat="1" x14ac:dyDescent="0.25">
      <c r="A128" s="1097">
        <v>11</v>
      </c>
      <c r="B128" s="1098" t="s">
        <v>1170</v>
      </c>
      <c r="C128" s="26"/>
      <c r="D128" s="26"/>
      <c r="E128" s="26"/>
      <c r="F128" s="26"/>
      <c r="G128" s="26"/>
      <c r="H128" s="1005">
        <f>H7/G7</f>
        <v>1.046794510256291</v>
      </c>
      <c r="I128" s="1005">
        <f>I7/H7</f>
        <v>1.0871803262801722</v>
      </c>
      <c r="J128" s="1005">
        <f>J7/I7</f>
        <v>1.0142804314364227</v>
      </c>
      <c r="K128" s="1005">
        <f>K7/J7</f>
        <v>0.89728425830443836</v>
      </c>
      <c r="L128" s="1005">
        <f>L7/K7</f>
        <v>1.2583734267412459</v>
      </c>
      <c r="M128" s="26"/>
      <c r="N128" s="822">
        <f>AVERAGE(H128:L128)</f>
        <v>1.060782590603714</v>
      </c>
      <c r="O128" s="822"/>
      <c r="P128" s="1005">
        <f>P7/L7</f>
        <v>1.2241220555069345</v>
      </c>
      <c r="Q128" s="1005">
        <f>Q7/P7</f>
        <v>1.0816472050564037</v>
      </c>
      <c r="R128" s="1005">
        <f>R7/Q7</f>
        <v>1.0192457788942084</v>
      </c>
      <c r="S128" s="1005">
        <f>S7/R7</f>
        <v>1.2558961595494074</v>
      </c>
      <c r="T128" s="1005">
        <f>T7/S7</f>
        <v>0.91779592619461403</v>
      </c>
      <c r="U128" s="1005"/>
      <c r="V128" s="1005">
        <f>AVERAGE(P128,Q128,R128,S128,T128)</f>
        <v>1.0997414250403135</v>
      </c>
      <c r="W128" s="822"/>
      <c r="X128" s="822"/>
      <c r="Y128" s="822">
        <f>Y7/T7</f>
        <v>1.0112919254658386</v>
      </c>
      <c r="Z128" s="822">
        <f>Z7/Y7</f>
        <v>1.0879632473068088</v>
      </c>
      <c r="AA128" s="822">
        <f>AA7/Z7</f>
        <v>1.0783561025177826</v>
      </c>
      <c r="AB128" s="822">
        <f>AB7/AA7</f>
        <v>1.0743377656789865</v>
      </c>
      <c r="AC128" s="822">
        <f>AC7/AB7</f>
        <v>1.0768930903420719</v>
      </c>
      <c r="AD128" s="822">
        <f t="shared" si="45"/>
        <v>5.3288421313114878</v>
      </c>
      <c r="AE128" s="822"/>
      <c r="AF128" s="822"/>
      <c r="AG128" s="822"/>
    </row>
    <row r="129" spans="1:34" s="1" customFormat="1" x14ac:dyDescent="0.25">
      <c r="A129" s="1097">
        <v>12</v>
      </c>
      <c r="B129" s="1098" t="s">
        <v>410</v>
      </c>
      <c r="C129" s="26"/>
      <c r="D129" s="26"/>
      <c r="E129" s="26"/>
      <c r="F129" s="26"/>
      <c r="G129" s="26"/>
      <c r="H129" s="26">
        <f>H8</f>
        <v>3798739.5013269996</v>
      </c>
      <c r="I129" s="26">
        <f>I8</f>
        <v>4099702.3977709995</v>
      </c>
      <c r="J129" s="26">
        <f>J8</f>
        <v>4126341.428791</v>
      </c>
      <c r="K129" s="26">
        <f>K8</f>
        <v>3972338.7808679999</v>
      </c>
      <c r="L129" s="26">
        <f>L8</f>
        <v>4931116</v>
      </c>
      <c r="M129" s="26">
        <f>SUM(H129:L129)</f>
        <v>20928238.108756997</v>
      </c>
      <c r="N129" s="822"/>
      <c r="O129" s="822">
        <f>M129/$M$7</f>
        <v>0.92826603303900546</v>
      </c>
      <c r="P129" s="26">
        <f>P8</f>
        <v>6237814</v>
      </c>
      <c r="Q129" s="26">
        <f>Q8</f>
        <v>6744580</v>
      </c>
      <c r="R129" s="26">
        <f>R8</f>
        <v>6909606</v>
      </c>
      <c r="S129" s="26">
        <f>S8</f>
        <v>8644723</v>
      </c>
      <c r="T129" s="26">
        <f>T8</f>
        <v>7964000</v>
      </c>
      <c r="U129" s="212">
        <f>SUM(P129:T129)</f>
        <v>36500723</v>
      </c>
      <c r="V129" s="26"/>
      <c r="W129" s="822">
        <f>U129/$U$7</f>
        <v>0.98672854764869133</v>
      </c>
      <c r="X129" s="822"/>
      <c r="Y129" s="26">
        <f>Y8</f>
        <v>8035900</v>
      </c>
      <c r="Z129" s="26">
        <f>Z8</f>
        <v>8740000</v>
      </c>
      <c r="AA129" s="26">
        <f>AA8</f>
        <v>9422000</v>
      </c>
      <c r="AB129" s="26">
        <f>AB8</f>
        <v>10120000</v>
      </c>
      <c r="AC129" s="26">
        <f>AC8</f>
        <v>10897000</v>
      </c>
      <c r="AD129" s="26">
        <f t="shared" si="45"/>
        <v>47214900</v>
      </c>
      <c r="AE129" s="822"/>
      <c r="AF129" s="822"/>
      <c r="AG129" s="985">
        <f>AD129/U129-1</f>
        <v>0.29353328151883451</v>
      </c>
    </row>
    <row r="130" spans="1:34" x14ac:dyDescent="0.25">
      <c r="A130" s="257"/>
      <c r="B130" s="1096" t="s">
        <v>1173</v>
      </c>
      <c r="C130" s="208"/>
      <c r="D130" s="208"/>
      <c r="E130" s="208"/>
      <c r="F130" s="208"/>
      <c r="G130" s="992"/>
      <c r="H130" s="992">
        <f>H8/G8</f>
        <v>1.0367899740461513</v>
      </c>
      <c r="I130" s="992">
        <f>I8/H8</f>
        <v>1.0792270426384503</v>
      </c>
      <c r="J130" s="992">
        <f>J8/I8</f>
        <v>1.0064977962874779</v>
      </c>
      <c r="K130" s="992">
        <f>K8/J8</f>
        <v>0.96267816161588882</v>
      </c>
      <c r="L130" s="992">
        <f>L8/K8</f>
        <v>1.2413634063010348</v>
      </c>
      <c r="M130" s="992"/>
      <c r="N130" s="998">
        <f>(H130*I130*J130*K130*L130)^(1/5)-1</f>
        <v>6.1205028008409545E-2</v>
      </c>
      <c r="O130" s="992"/>
      <c r="P130" s="992">
        <f>P9/L9</f>
        <v>1.3321136571078873</v>
      </c>
      <c r="Q130" s="992">
        <f>Q9/P9</f>
        <v>1.0343939313663881</v>
      </c>
      <c r="R130" s="992">
        <f>R9/Q9</f>
        <v>1.0146586953378618</v>
      </c>
      <c r="S130" s="992">
        <f>S9/R9</f>
        <v>1.3113079909945025</v>
      </c>
      <c r="T130" s="992">
        <f>T8/S8</f>
        <v>0.92125566082337162</v>
      </c>
      <c r="U130" s="992"/>
      <c r="V130" s="992">
        <f>(P130*Q130*R130*T130*S130)^(1/5)-1</f>
        <v>0.11052009277379682</v>
      </c>
      <c r="W130" s="992"/>
      <c r="X130" s="992"/>
      <c r="Y130" s="992">
        <f>Y8/T8</f>
        <v>1.0090281265695631</v>
      </c>
      <c r="Z130" s="992">
        <f>Z8/Y8</f>
        <v>1.0876193083537624</v>
      </c>
      <c r="AA130" s="992">
        <f>AA8/Z8</f>
        <v>1.0780320366132723</v>
      </c>
      <c r="AB130" s="992">
        <f>AB8/AA8</f>
        <v>1.0740819358947145</v>
      </c>
      <c r="AC130" s="992">
        <f>AC8/AB8</f>
        <v>1.0767786561264823</v>
      </c>
      <c r="AD130" s="992">
        <f t="shared" si="45"/>
        <v>5.3255400635577947</v>
      </c>
      <c r="AE130" s="998">
        <f>(Z130*AA130*AB130*AC130*Y130)^(1/5)-1</f>
        <v>6.4719332806619567E-2</v>
      </c>
      <c r="AF130" s="992"/>
      <c r="AG130" s="992"/>
    </row>
    <row r="131" spans="1:34" s="1" customFormat="1" ht="31.5" x14ac:dyDescent="0.25">
      <c r="A131" s="1097">
        <v>13</v>
      </c>
      <c r="B131" s="823" t="s">
        <v>1174</v>
      </c>
      <c r="C131" s="26"/>
      <c r="D131" s="26"/>
      <c r="E131" s="26"/>
      <c r="F131" s="26"/>
      <c r="G131" s="26"/>
      <c r="H131" s="26">
        <f>H9</f>
        <v>2716706.9705919996</v>
      </c>
      <c r="I131" s="26">
        <f>I9</f>
        <v>2881335.0339119998</v>
      </c>
      <c r="J131" s="26">
        <f>J9</f>
        <v>2871723.7974100001</v>
      </c>
      <c r="K131" s="26">
        <f>K9</f>
        <v>2637997.8620639998</v>
      </c>
      <c r="L131" s="26">
        <f>L9</f>
        <v>3357995</v>
      </c>
      <c r="M131" s="26">
        <f>SUM(H131:L131)</f>
        <v>14465758.663977999</v>
      </c>
      <c r="N131" s="822"/>
      <c r="O131" s="822">
        <f>M131/$M$7</f>
        <v>0.64162460022335932</v>
      </c>
      <c r="P131" s="26">
        <f>P9</f>
        <v>4473231</v>
      </c>
      <c r="Q131" s="26">
        <f>Q9</f>
        <v>4627083</v>
      </c>
      <c r="R131" s="26">
        <f>R9</f>
        <v>4694910</v>
      </c>
      <c r="S131" s="26">
        <f>S9</f>
        <v>6156473</v>
      </c>
      <c r="T131" s="26">
        <f>T9</f>
        <v>5414000</v>
      </c>
      <c r="U131" s="212">
        <f>SUM(P131:T131)</f>
        <v>25365697</v>
      </c>
      <c r="V131" s="26"/>
      <c r="W131" s="822">
        <f>U131/$U$7</f>
        <v>0.68571401615542704</v>
      </c>
      <c r="X131" s="822"/>
      <c r="Y131" s="26">
        <f>Y9</f>
        <v>5785900</v>
      </c>
      <c r="Z131" s="26">
        <f>Z9</f>
        <v>6390000</v>
      </c>
      <c r="AA131" s="26">
        <f>AA9</f>
        <v>7022000</v>
      </c>
      <c r="AB131" s="26">
        <f>AB9</f>
        <v>7720000</v>
      </c>
      <c r="AC131" s="26">
        <f>AC9</f>
        <v>8497000</v>
      </c>
      <c r="AD131" s="26">
        <f t="shared" si="45"/>
        <v>35414900</v>
      </c>
      <c r="AE131" s="822"/>
      <c r="AF131" s="822"/>
      <c r="AG131" s="822"/>
      <c r="AH131" s="1">
        <f>23+24</f>
        <v>47</v>
      </c>
    </row>
    <row r="132" spans="1:34" x14ac:dyDescent="0.25">
      <c r="A132" s="257"/>
      <c r="B132" s="1096" t="s">
        <v>1173</v>
      </c>
      <c r="C132" s="208"/>
      <c r="D132" s="208"/>
      <c r="E132" s="208"/>
      <c r="F132" s="208"/>
      <c r="G132" s="992"/>
      <c r="H132" s="992">
        <f>H131/G9</f>
        <v>1.1107089890644151</v>
      </c>
      <c r="I132" s="992">
        <f>I131/H9</f>
        <v>1.0605983880860459</v>
      </c>
      <c r="J132" s="992">
        <f>J131/I9</f>
        <v>0.99666431137341549</v>
      </c>
      <c r="K132" s="992">
        <f>K131/J9</f>
        <v>0.91861127607160653</v>
      </c>
      <c r="L132" s="992">
        <f>L9/K9</f>
        <v>1.2729331771985084</v>
      </c>
      <c r="M132" s="992"/>
      <c r="N132" s="998">
        <f>(H132*I132*J132*K132*L132)^(1/5)-1</f>
        <v>6.5436343162004418E-2</v>
      </c>
      <c r="O132" s="992"/>
      <c r="P132" s="992">
        <f>P9/L9</f>
        <v>1.3321136571078873</v>
      </c>
      <c r="Q132" s="992">
        <f>Q9/P9</f>
        <v>1.0343939313663881</v>
      </c>
      <c r="R132" s="992">
        <f>R9/Q9</f>
        <v>1.0146586953378618</v>
      </c>
      <c r="S132" s="992">
        <f>S9/R9</f>
        <v>1.3113079909945025</v>
      </c>
      <c r="T132" s="992">
        <f>T9/S9</f>
        <v>0.87939961728086846</v>
      </c>
      <c r="U132" s="992"/>
      <c r="V132" s="992">
        <f>(P132*Q132*R132*T132*S132)^(1/5)-1</f>
        <v>0.10024053524440757</v>
      </c>
      <c r="W132" s="992"/>
      <c r="X132" s="992"/>
      <c r="Y132" s="992">
        <f>Y9/T9</f>
        <v>1.0686922792759512</v>
      </c>
      <c r="Z132" s="992">
        <f>Z9/Y9</f>
        <v>1.1044089942791959</v>
      </c>
      <c r="AA132" s="992">
        <f>AA9/Z9</f>
        <v>1.098904538341158</v>
      </c>
      <c r="AB132" s="992">
        <f>AB9/AA9</f>
        <v>1.099401879806323</v>
      </c>
      <c r="AC132" s="992">
        <f>AC9/AB9</f>
        <v>1.1006476683937825</v>
      </c>
      <c r="AD132" s="992">
        <f t="shared" si="45"/>
        <v>5.4720553600964106</v>
      </c>
      <c r="AE132" s="998">
        <f>(Z132*AA132*AB132*AC132*Y132)^(1/5)-1</f>
        <v>9.4332943657184698E-2</v>
      </c>
      <c r="AF132" s="992"/>
      <c r="AG132" s="992"/>
      <c r="AH132" s="210">
        <f>100-AH131</f>
        <v>53</v>
      </c>
    </row>
    <row r="133" spans="1:34" s="1" customFormat="1" x14ac:dyDescent="0.25">
      <c r="A133" s="1097">
        <v>14</v>
      </c>
      <c r="B133" s="1098" t="s">
        <v>1096</v>
      </c>
      <c r="C133" s="26"/>
      <c r="D133" s="26"/>
      <c r="E133" s="26"/>
      <c r="F133" s="26"/>
      <c r="G133" s="26"/>
      <c r="H133" s="26">
        <f>H29</f>
        <v>0</v>
      </c>
      <c r="I133" s="26">
        <f>I29</f>
        <v>0</v>
      </c>
      <c r="J133" s="26">
        <f>J29</f>
        <v>0</v>
      </c>
      <c r="K133" s="26">
        <f>K29</f>
        <v>0</v>
      </c>
      <c r="L133" s="26">
        <f>L29</f>
        <v>0</v>
      </c>
      <c r="M133" s="26">
        <f>SUM(H133:L133)</f>
        <v>0</v>
      </c>
      <c r="N133" s="822"/>
      <c r="O133" s="822"/>
      <c r="P133" s="26">
        <f>P29</f>
        <v>0</v>
      </c>
      <c r="Q133" s="26">
        <f>Q29</f>
        <v>0</v>
      </c>
      <c r="R133" s="26">
        <f>R29</f>
        <v>0</v>
      </c>
      <c r="S133" s="26">
        <f>S29</f>
        <v>0</v>
      </c>
      <c r="T133" s="26">
        <f>T29</f>
        <v>0</v>
      </c>
      <c r="U133" s="212">
        <f>SUM(P133:T133)</f>
        <v>0</v>
      </c>
      <c r="V133" s="26"/>
      <c r="W133" s="822"/>
      <c r="X133" s="822"/>
      <c r="Y133" s="26">
        <f>Y29</f>
        <v>0</v>
      </c>
      <c r="Z133" s="26">
        <f>Z29</f>
        <v>0</v>
      </c>
      <c r="AA133" s="26">
        <f>AA29</f>
        <v>0</v>
      </c>
      <c r="AB133" s="26">
        <f>AB29</f>
        <v>0</v>
      </c>
      <c r="AC133" s="26">
        <f>AC29</f>
        <v>0</v>
      </c>
      <c r="AD133" s="26">
        <f t="shared" si="45"/>
        <v>0</v>
      </c>
      <c r="AE133" s="822"/>
      <c r="AF133" s="822"/>
      <c r="AG133" s="822"/>
    </row>
    <row r="134" spans="1:34" x14ac:dyDescent="0.25">
      <c r="A134" s="257"/>
      <c r="B134" s="1096" t="s">
        <v>1173</v>
      </c>
      <c r="C134" s="208"/>
      <c r="D134" s="208"/>
      <c r="E134" s="208"/>
      <c r="F134" s="208"/>
      <c r="G134" s="992"/>
      <c r="H134" s="992"/>
      <c r="I134" s="992"/>
      <c r="J134" s="992"/>
      <c r="K134" s="992"/>
      <c r="L134" s="992"/>
      <c r="M134" s="992"/>
      <c r="N134" s="998"/>
      <c r="O134" s="992"/>
      <c r="P134" s="992"/>
      <c r="Q134" s="992"/>
      <c r="R134" s="992"/>
      <c r="S134" s="992"/>
      <c r="T134" s="992"/>
      <c r="U134" s="992"/>
      <c r="V134" s="992"/>
      <c r="W134" s="992"/>
      <c r="X134" s="992"/>
      <c r="Y134" s="992"/>
      <c r="Z134" s="992"/>
      <c r="AA134" s="992"/>
      <c r="AB134" s="992"/>
      <c r="AC134" s="992"/>
      <c r="AD134" s="992">
        <f t="shared" si="45"/>
        <v>0</v>
      </c>
      <c r="AE134" s="998"/>
      <c r="AF134" s="992"/>
      <c r="AG134" s="992"/>
    </row>
    <row r="135" spans="1:34" s="1" customFormat="1" x14ac:dyDescent="0.25">
      <c r="A135" s="1097">
        <v>15</v>
      </c>
      <c r="B135" s="1098" t="s">
        <v>1175</v>
      </c>
      <c r="C135" s="26">
        <f t="shared" ref="C135:L135" si="66">C28</f>
        <v>230940</v>
      </c>
      <c r="D135" s="26">
        <f t="shared" si="66"/>
        <v>305720</v>
      </c>
      <c r="E135" s="26">
        <f t="shared" si="66"/>
        <v>329200</v>
      </c>
      <c r="F135" s="26">
        <f t="shared" si="66"/>
        <v>308830</v>
      </c>
      <c r="G135" s="26">
        <f t="shared" si="66"/>
        <v>306565.00754700002</v>
      </c>
      <c r="H135" s="26">
        <f t="shared" si="66"/>
        <v>357566.61864</v>
      </c>
      <c r="I135" s="26">
        <f t="shared" si="66"/>
        <v>418951.84585500002</v>
      </c>
      <c r="J135" s="26">
        <f t="shared" si="66"/>
        <v>456841.14694599999</v>
      </c>
      <c r="K135" s="26">
        <f t="shared" si="66"/>
        <v>140078.797276</v>
      </c>
      <c r="L135" s="26">
        <f t="shared" si="66"/>
        <v>243841</v>
      </c>
      <c r="M135" s="26">
        <f>SUM(H135:L135)</f>
        <v>1617279.4087169999</v>
      </c>
      <c r="N135" s="822"/>
      <c r="O135" s="822">
        <f>M135/$M$7</f>
        <v>7.1733966960994378E-2</v>
      </c>
      <c r="P135" s="26">
        <f>P28</f>
        <v>96965</v>
      </c>
      <c r="Q135" s="26">
        <f>Q28</f>
        <v>107416</v>
      </c>
      <c r="R135" s="26">
        <f>R28</f>
        <v>74262</v>
      </c>
      <c r="S135" s="26">
        <f>S28</f>
        <v>126290</v>
      </c>
      <c r="T135" s="26">
        <f>T28</f>
        <v>86000</v>
      </c>
      <c r="U135" s="212">
        <f>SUM(P135:T135)</f>
        <v>490933</v>
      </c>
      <c r="V135" s="26"/>
      <c r="W135" s="822">
        <f>U135/$U$7</f>
        <v>1.3271452351308631E-2</v>
      </c>
      <c r="X135" s="822">
        <f>U135/M135-1</f>
        <v>-0.69644515514517003</v>
      </c>
      <c r="Y135" s="26">
        <f>Y28</f>
        <v>105000</v>
      </c>
      <c r="Z135" s="26">
        <f>Z28</f>
        <v>117000</v>
      </c>
      <c r="AA135" s="26">
        <f>AA28</f>
        <v>129000</v>
      </c>
      <c r="AB135" s="26">
        <f>AB28</f>
        <v>141000</v>
      </c>
      <c r="AC135" s="26">
        <f>AC28</f>
        <v>153000</v>
      </c>
      <c r="AD135" s="26">
        <f t="shared" si="45"/>
        <v>645000</v>
      </c>
      <c r="AE135" s="822"/>
      <c r="AF135" s="822"/>
      <c r="AG135" s="985">
        <f>AD135/U135-1</f>
        <v>0.31382490075020431</v>
      </c>
    </row>
    <row r="136" spans="1:34" x14ac:dyDescent="0.25">
      <c r="A136" s="257"/>
      <c r="B136" s="1096" t="s">
        <v>1173</v>
      </c>
      <c r="C136" s="208"/>
      <c r="D136" s="208"/>
      <c r="E136" s="208"/>
      <c r="F136" s="208"/>
      <c r="G136" s="992"/>
      <c r="H136" s="992">
        <f>H135/G135</f>
        <v>1.1663647508275414</v>
      </c>
      <c r="I136" s="992">
        <f>I135/H135</f>
        <v>1.1716749383610749</v>
      </c>
      <c r="J136" s="992">
        <f>J135/I135</f>
        <v>1.0904383199784577</v>
      </c>
      <c r="K136" s="992">
        <f>K135/J135</f>
        <v>0.30662473862617662</v>
      </c>
      <c r="L136" s="992">
        <f>L135/K135</f>
        <v>1.7407416735564576</v>
      </c>
      <c r="M136" s="992"/>
      <c r="N136" s="998">
        <f>(H136*I136*J136*K136*L136)^(1/5)-1</f>
        <v>-4.4750476186834587E-2</v>
      </c>
      <c r="O136" s="992"/>
      <c r="P136" s="992">
        <f>P135/L135</f>
        <v>0.39765666971510122</v>
      </c>
      <c r="Q136" s="992">
        <f>Q135/P135</f>
        <v>1.1077811581498478</v>
      </c>
      <c r="R136" s="992">
        <f>R135/Q135</f>
        <v>0.69134951962463698</v>
      </c>
      <c r="S136" s="992">
        <f>S135/R135</f>
        <v>1.7006005763378309</v>
      </c>
      <c r="T136" s="992">
        <f>T135/S135</f>
        <v>0.6809723651912265</v>
      </c>
      <c r="U136" s="992"/>
      <c r="V136" s="992">
        <f>(P136*Q136*R136*T136*S136)^(1/5)-1</f>
        <v>-0.18814523483912449</v>
      </c>
      <c r="W136" s="992"/>
      <c r="X136" s="992"/>
      <c r="Y136" s="992">
        <f>Y135/T135</f>
        <v>1.2209302325581395</v>
      </c>
      <c r="Z136" s="992">
        <f>Z135/Y135</f>
        <v>1.1142857142857143</v>
      </c>
      <c r="AA136" s="992">
        <f>AA135/Z135</f>
        <v>1.1025641025641026</v>
      </c>
      <c r="AB136" s="992">
        <f>AB135/AA135</f>
        <v>1.0930232558139534</v>
      </c>
      <c r="AC136" s="992">
        <f>AC135/AB135</f>
        <v>1.0851063829787233</v>
      </c>
      <c r="AD136" s="992">
        <f t="shared" ref="AD136:AD161" si="67">SUM(Y136:AC136)</f>
        <v>5.6159096882006327</v>
      </c>
      <c r="AE136" s="998">
        <f>(Z136*AA136*AB136*AC136*Y136)^(1/5)-1</f>
        <v>0.12211817293716432</v>
      </c>
      <c r="AF136" s="992"/>
      <c r="AG136" s="992">
        <f>AE136-V136</f>
        <v>0.3102634077762888</v>
      </c>
    </row>
    <row r="137" spans="1:34" s="1" customFormat="1" x14ac:dyDescent="0.25">
      <c r="A137" s="1097">
        <v>16</v>
      </c>
      <c r="B137" s="1098" t="s">
        <v>1323</v>
      </c>
      <c r="C137" s="26">
        <f>SUM(C139,C142,C147)</f>
        <v>2138770</v>
      </c>
      <c r="D137" s="26">
        <f>SUM(D139,D142,D147)</f>
        <v>3338066.399896</v>
      </c>
      <c r="E137" s="26">
        <f>SUM(E139,E142,E147)</f>
        <v>3203060</v>
      </c>
      <c r="F137" s="26">
        <f>SUM(F139,F142,F147)</f>
        <v>3871950</v>
      </c>
      <c r="G137" s="26">
        <f t="shared" ref="G137:M137" si="68">SUM(G138,G146)</f>
        <v>4688367.1362619996</v>
      </c>
      <c r="H137" s="26">
        <f t="shared" si="68"/>
        <v>5517507.1199670006</v>
      </c>
      <c r="I137" s="26">
        <f t="shared" si="68"/>
        <v>6676916.2436260004</v>
      </c>
      <c r="J137" s="26">
        <f t="shared" si="68"/>
        <v>7325261.5757369995</v>
      </c>
      <c r="K137" s="26">
        <f t="shared" si="68"/>
        <v>8159969.5781439999</v>
      </c>
      <c r="L137" s="26">
        <f t="shared" si="68"/>
        <v>8838258.6639019996</v>
      </c>
      <c r="M137" s="26">
        <f t="shared" si="68"/>
        <v>36517913.181375995</v>
      </c>
      <c r="N137" s="822"/>
      <c r="O137" s="822">
        <f>M137/$M$137</f>
        <v>1</v>
      </c>
      <c r="P137" s="26">
        <f>SUM(P138,P146)</f>
        <v>9435660.1446360014</v>
      </c>
      <c r="Q137" s="26">
        <f>SUM(Q138,Q146)</f>
        <v>10825317.768979</v>
      </c>
      <c r="R137" s="26">
        <f>SUM(R138,R146)</f>
        <v>12245988.776128</v>
      </c>
      <c r="S137" s="26">
        <f>SUM(S138,S146)</f>
        <v>11315739.776128</v>
      </c>
      <c r="T137" s="26">
        <f>SUM(T138,T146)</f>
        <v>12806627</v>
      </c>
      <c r="U137" s="212">
        <f>SUM(P137:T137)</f>
        <v>56629333.465871006</v>
      </c>
      <c r="V137" s="26"/>
      <c r="W137" s="822">
        <f t="shared" ref="W137:W147" si="69">U137/$U$7</f>
        <v>1.5308677574713336</v>
      </c>
      <c r="X137" s="822"/>
      <c r="Y137" s="26">
        <f>SUM(Y138,Y146)</f>
        <v>14534870</v>
      </c>
      <c r="Z137" s="26">
        <f>SUM(Z138,Z146)</f>
        <v>14862388</v>
      </c>
      <c r="AA137" s="26">
        <f>SUM(AA138,AA146)</f>
        <v>15832219</v>
      </c>
      <c r="AB137" s="26">
        <f>SUM(AB138,AB146)</f>
        <v>16728409</v>
      </c>
      <c r="AC137" s="26">
        <f>SUM(AC138,AC146)</f>
        <v>17721969</v>
      </c>
      <c r="AD137" s="26">
        <f t="shared" si="67"/>
        <v>79679855</v>
      </c>
      <c r="AE137" s="822"/>
      <c r="AF137" s="822">
        <f>AD137/$AD$137</f>
        <v>1</v>
      </c>
      <c r="AG137" s="822"/>
    </row>
    <row r="138" spans="1:34" s="65" customFormat="1" x14ac:dyDescent="0.25">
      <c r="A138" s="1091"/>
      <c r="B138" s="1092" t="s">
        <v>1324</v>
      </c>
      <c r="C138" s="64"/>
      <c r="D138" s="64"/>
      <c r="E138" s="64"/>
      <c r="F138" s="64"/>
      <c r="G138" s="64">
        <f t="shared" ref="G138:M138" si="70">SUM(G139,G143,G147)</f>
        <v>4308494.1362619996</v>
      </c>
      <c r="H138" s="64">
        <f t="shared" si="70"/>
        <v>5000023.1199670006</v>
      </c>
      <c r="I138" s="64">
        <f t="shared" si="70"/>
        <v>5990804.2436260004</v>
      </c>
      <c r="J138" s="64">
        <f t="shared" si="70"/>
        <v>6551206.5757369995</v>
      </c>
      <c r="K138" s="64">
        <f t="shared" si="70"/>
        <v>7628457.5781439999</v>
      </c>
      <c r="L138" s="64">
        <f t="shared" si="70"/>
        <v>8304426.6639019996</v>
      </c>
      <c r="M138" s="64">
        <f t="shared" si="70"/>
        <v>33474918.181375999</v>
      </c>
      <c r="N138" s="994"/>
      <c r="O138" s="994"/>
      <c r="P138" s="64">
        <f>SUM(P139,P143,P147)</f>
        <v>8674810.1446360014</v>
      </c>
      <c r="Q138" s="64">
        <f>SUM(Q139,Q143,Q147)</f>
        <v>10083458.768979</v>
      </c>
      <c r="R138" s="64">
        <f>SUM(R139,R143,R147)</f>
        <v>10427702.776128</v>
      </c>
      <c r="S138" s="64">
        <f>SUM(S139,S143,S147)</f>
        <v>10427702.776128</v>
      </c>
      <c r="T138" s="64">
        <f>SUM(T139,T143,T147)</f>
        <v>11918590</v>
      </c>
      <c r="U138" s="64" t="e">
        <f>SUM(#REF!,T138)</f>
        <v>#REF!</v>
      </c>
      <c r="V138" s="64"/>
      <c r="W138" s="994"/>
      <c r="X138" s="994"/>
      <c r="Y138" s="64">
        <f>SUM(Y139,Y143,Y147)</f>
        <v>13164076</v>
      </c>
      <c r="Z138" s="64">
        <f>SUM(Z139,Z143,Z147)</f>
        <v>13491594</v>
      </c>
      <c r="AA138" s="64">
        <f>SUM(AA139,AA143,AA147)</f>
        <v>14233249</v>
      </c>
      <c r="AB138" s="64">
        <f>SUM(AB139,AB143,AB147)</f>
        <v>14860439</v>
      </c>
      <c r="AC138" s="64">
        <f>SUM(AC139,AC143,AC147)</f>
        <v>15536999</v>
      </c>
      <c r="AD138" s="64">
        <f t="shared" si="67"/>
        <v>71286357</v>
      </c>
      <c r="AE138" s="994"/>
      <c r="AF138" s="994"/>
      <c r="AG138" s="994"/>
    </row>
    <row r="139" spans="1:34" s="1" customFormat="1" x14ac:dyDescent="0.25">
      <c r="A139" s="1097" t="s">
        <v>434</v>
      </c>
      <c r="B139" s="1098" t="s">
        <v>1081</v>
      </c>
      <c r="C139" s="26">
        <v>1315940</v>
      </c>
      <c r="D139" s="26">
        <v>2230026.399896</v>
      </c>
      <c r="E139" s="26">
        <v>2167000</v>
      </c>
      <c r="F139" s="26">
        <v>2617990</v>
      </c>
      <c r="G139" s="26">
        <v>3650184.1362620001</v>
      </c>
      <c r="H139" s="26">
        <v>3769768.1199670001</v>
      </c>
      <c r="I139" s="26">
        <v>4084137.2436260004</v>
      </c>
      <c r="J139" s="26">
        <v>4073220.5757369995</v>
      </c>
      <c r="K139" s="26">
        <v>3875972.5781439999</v>
      </c>
      <c r="L139" s="26">
        <v>4846821.6639019996</v>
      </c>
      <c r="M139" s="26">
        <f>SUM(H139:L139)</f>
        <v>20649920.181375999</v>
      </c>
      <c r="N139" s="822"/>
      <c r="O139" s="822">
        <f t="shared" ref="O139:O147" si="71">M139/$M$137</f>
        <v>0.56547371912553268</v>
      </c>
      <c r="P139" s="26">
        <v>6154918.1446360005</v>
      </c>
      <c r="Q139" s="26">
        <v>5390332.7689789999</v>
      </c>
      <c r="R139" s="26">
        <v>5734576.7761279996</v>
      </c>
      <c r="S139" s="26">
        <v>5734576.7761279996</v>
      </c>
      <c r="T139" s="26">
        <f>'Phụ lục số 3-thu bs'!F8</f>
        <v>6520360</v>
      </c>
      <c r="U139" s="212">
        <f>SUM(P139:T139)</f>
        <v>29534764.465870999</v>
      </c>
      <c r="V139" s="26"/>
      <c r="W139" s="822">
        <f t="shared" si="69"/>
        <v>0.79841693126339086</v>
      </c>
      <c r="X139" s="822">
        <f>U139/M139-1</f>
        <v>0.43026046621275427</v>
      </c>
      <c r="Y139" s="26">
        <f>'Phụ lục số 3-thu bs'!I8</f>
        <v>6480440</v>
      </c>
      <c r="Z139" s="26">
        <f>'Phụ lục số 3-thu bs'!L8</f>
        <v>7051000</v>
      </c>
      <c r="AA139" s="26">
        <f>'Phụ lục số 3-thu bs'!O8</f>
        <v>7570000</v>
      </c>
      <c r="AB139" s="26">
        <f>'Phụ lục số 3-thu bs'!R8</f>
        <v>8087000</v>
      </c>
      <c r="AC139" s="26">
        <f>'Phụ lục số 3-thu bs'!U8</f>
        <v>8665500</v>
      </c>
      <c r="AD139" s="26">
        <f t="shared" si="67"/>
        <v>37853940</v>
      </c>
      <c r="AE139" s="822"/>
      <c r="AF139" s="822">
        <f t="shared" ref="AF139:AF147" si="72">AD139/$AD$137</f>
        <v>0.47507541272508591</v>
      </c>
      <c r="AG139" s="985">
        <f>AD139/U139-1</f>
        <v>0.28167400975017953</v>
      </c>
    </row>
    <row r="140" spans="1:34" s="771" customFormat="1" x14ac:dyDescent="0.25">
      <c r="A140" s="257"/>
      <c r="B140" s="1096" t="s">
        <v>1173</v>
      </c>
      <c r="C140" s="208"/>
      <c r="D140" s="208"/>
      <c r="E140" s="208"/>
      <c r="F140" s="208"/>
      <c r="G140" s="992"/>
      <c r="H140" s="992">
        <f>H139/G139</f>
        <v>1.0327610825210207</v>
      </c>
      <c r="I140" s="992">
        <f>I139/H139</f>
        <v>1.0833921646251685</v>
      </c>
      <c r="J140" s="992">
        <f>J139/I139</f>
        <v>0.99732705655128551</v>
      </c>
      <c r="K140" s="992">
        <f>K139/J139</f>
        <v>0.9515744374935281</v>
      </c>
      <c r="L140" s="992">
        <f>L139/K139</f>
        <v>1.2504788323922789</v>
      </c>
      <c r="M140" s="992"/>
      <c r="N140" s="998">
        <f>(H140*I140*J140*K140*L140)^(1/5)-1</f>
        <v>5.8347902472006385E-2</v>
      </c>
      <c r="O140" s="992"/>
      <c r="P140" s="992">
        <f>P139/L139</f>
        <v>1.2698874791446113</v>
      </c>
      <c r="Q140" s="992">
        <f>Q139/P139</f>
        <v>0.87577651600073103</v>
      </c>
      <c r="R140" s="992">
        <f>R139/Q139</f>
        <v>1.0638632199351588</v>
      </c>
      <c r="S140" s="992">
        <f>S139/R139</f>
        <v>1</v>
      </c>
      <c r="T140" s="992">
        <f>T139/S139</f>
        <v>1.1370254954372698</v>
      </c>
      <c r="U140" s="992" t="e">
        <f>SUM(#REF!,T140)</f>
        <v>#REF!</v>
      </c>
      <c r="V140" s="992">
        <f>(P140*Q140*R140*T140*S140)^(1/5)-1</f>
        <v>6.1116106888704502E-2</v>
      </c>
      <c r="W140" s="992"/>
      <c r="X140" s="992"/>
      <c r="Y140" s="992">
        <f>Y139/T139</f>
        <v>0.99387763865798817</v>
      </c>
      <c r="Z140" s="992">
        <f>Z139/Y139</f>
        <v>1.088043404460191</v>
      </c>
      <c r="AA140" s="992">
        <f>AA139/Z139</f>
        <v>1.0736065806268615</v>
      </c>
      <c r="AB140" s="992">
        <f>AB139/AA139</f>
        <v>1.0682959048877148</v>
      </c>
      <c r="AC140" s="992">
        <f>AC139/AB139</f>
        <v>1.0715345616421417</v>
      </c>
      <c r="AD140" s="992">
        <f t="shared" si="67"/>
        <v>5.2953580902748971</v>
      </c>
      <c r="AE140" s="998">
        <f>(Z140*AA140*AB140*AC140*Y140)^(1/5)-1</f>
        <v>5.8533021016405895E-2</v>
      </c>
      <c r="AF140" s="992"/>
      <c r="AG140" s="992"/>
    </row>
    <row r="141" spans="1:34" s="771" customFormat="1" x14ac:dyDescent="0.25">
      <c r="A141" s="257"/>
      <c r="B141" s="1096" t="s">
        <v>1326</v>
      </c>
      <c r="C141" s="208"/>
      <c r="D141" s="208"/>
      <c r="E141" s="208"/>
      <c r="F141" s="208"/>
      <c r="G141" s="992"/>
      <c r="H141" s="992">
        <f>H139/'Chi NSĐP 2010-2025'!D10</f>
        <v>0.75395017943570752</v>
      </c>
      <c r="I141" s="992">
        <f>I139/'Chi NSĐP 2010-2025'!E10</f>
        <v>0.68173446106187663</v>
      </c>
      <c r="J141" s="992">
        <f>J139/'Chi NSĐP 2010-2025'!F10</f>
        <v>0.62175112300288549</v>
      </c>
      <c r="K141" s="992">
        <f>K139/'Chi NSĐP 2010-2025'!G10</f>
        <v>0.50809387640147996</v>
      </c>
      <c r="L141" s="992">
        <f>L139/'Chi NSĐP 2010-2025'!H10</f>
        <v>0.58364310593534119</v>
      </c>
      <c r="M141" s="992">
        <f>(H141*I141*J141*K141*L141)^(1/5)</f>
        <v>0.62421350307285772</v>
      </c>
      <c r="N141" s="998"/>
      <c r="O141" s="992"/>
      <c r="P141" s="992">
        <f>P139/'Chi NSĐP 2010-2025'!L10</f>
        <v>0.70951621945517296</v>
      </c>
      <c r="Q141" s="992">
        <f>Q139/'Chi NSĐP 2010-2025'!M10</f>
        <v>0.53457177707542691</v>
      </c>
      <c r="R141" s="992">
        <f>R139/'Chi NSĐP 2010-2025'!N10</f>
        <v>0.54993672798003645</v>
      </c>
      <c r="S141" s="992">
        <f>S139/'Chi NSĐP 2010-2025'!O10</f>
        <v>0.55798340289209492</v>
      </c>
      <c r="T141" s="992">
        <f>T139/'Chi NSĐP 2010-2025'!O10</f>
        <v>0.634441355119158</v>
      </c>
      <c r="U141" s="992">
        <f>(P141*Q141*R141*S141*T141)^(1/5)</f>
        <v>0.59382539859902217</v>
      </c>
      <c r="V141" s="992"/>
      <c r="W141" s="992"/>
      <c r="X141" s="992">
        <f>U141/M141-1</f>
        <v>-4.8682228635301805E-2</v>
      </c>
      <c r="Y141" s="992">
        <f>Y139/'Chi NSĐP 2010-2025'!U10</f>
        <v>0.5105878728643729</v>
      </c>
      <c r="Z141" s="992">
        <f>Z139/'Chi NSĐP 2010-2025'!U10</f>
        <v>0.55554176746743944</v>
      </c>
      <c r="AA141" s="992">
        <f>AA139/'Chi NSĐP 2010-2025'!V10</f>
        <v>0.56109011285100929</v>
      </c>
      <c r="AB141" s="992">
        <f>AB139/'Chi NSĐP 2010-2025'!W10</f>
        <v>0.56817666858775528</v>
      </c>
      <c r="AC141" s="992">
        <f>AC139/'Chi NSĐP 2010-2025'!X10</f>
        <v>0.58312543794971328</v>
      </c>
      <c r="AD141" s="992">
        <f t="shared" si="67"/>
        <v>2.7785218597202901</v>
      </c>
      <c r="AE141" s="998"/>
      <c r="AF141" s="992"/>
      <c r="AG141" s="992"/>
    </row>
    <row r="142" spans="1:34" s="1" customFormat="1" x14ac:dyDescent="0.25">
      <c r="A142" s="1097" t="s">
        <v>435</v>
      </c>
      <c r="B142" s="1098" t="s">
        <v>423</v>
      </c>
      <c r="C142" s="26">
        <f>SUM(C144:C145)</f>
        <v>822830</v>
      </c>
      <c r="D142" s="26">
        <f>SUM(D144:D145)</f>
        <v>1108040</v>
      </c>
      <c r="E142" s="26">
        <f>SUM(E144:E145)</f>
        <v>911070</v>
      </c>
      <c r="F142" s="26">
        <f>SUM(F144:F145)</f>
        <v>1140640</v>
      </c>
      <c r="G142" s="26">
        <f>SUM(G143,G146)</f>
        <v>1038183</v>
      </c>
      <c r="H142" s="26">
        <f t="shared" ref="H142:M142" si="73">SUM(H143,H146)</f>
        <v>1663193</v>
      </c>
      <c r="I142" s="26">
        <f t="shared" si="73"/>
        <v>1860264</v>
      </c>
      <c r="J142" s="26">
        <f t="shared" si="73"/>
        <v>1948207</v>
      </c>
      <c r="K142" s="26">
        <f t="shared" si="73"/>
        <v>1705664</v>
      </c>
      <c r="L142" s="26">
        <f t="shared" si="73"/>
        <v>1707984</v>
      </c>
      <c r="M142" s="26">
        <f t="shared" si="73"/>
        <v>8885312</v>
      </c>
      <c r="N142" s="822"/>
      <c r="O142" s="822">
        <f t="shared" si="71"/>
        <v>0.24331379385970711</v>
      </c>
      <c r="P142" s="26">
        <f>SUM(P144:P145)</f>
        <v>1174152</v>
      </c>
      <c r="Q142" s="26">
        <f>SUM(Q144:Q145)</f>
        <v>4693126</v>
      </c>
      <c r="R142" s="26">
        <f>SUM(R144:R145)</f>
        <v>4693126</v>
      </c>
      <c r="S142" s="26">
        <f>SUM(S144:S145)</f>
        <v>4693126</v>
      </c>
      <c r="T142" s="26">
        <f>SUM(T144:T145)</f>
        <v>5044283</v>
      </c>
      <c r="U142" s="212">
        <f>SUM(P142:T142)</f>
        <v>20297813</v>
      </c>
      <c r="V142" s="26"/>
      <c r="W142" s="822">
        <f t="shared" si="69"/>
        <v>0.54871328280085652</v>
      </c>
      <c r="X142" s="822"/>
      <c r="Y142" s="26">
        <f>SUM(Y144:Y145)</f>
        <v>6265342</v>
      </c>
      <c r="Z142" s="26">
        <f>SUM(Z144:Z145)</f>
        <v>5192608</v>
      </c>
      <c r="AA142" s="26">
        <f>SUM(AA144:AA145)</f>
        <v>5192608</v>
      </c>
      <c r="AB142" s="26">
        <f>SUM(AB144:AB145)</f>
        <v>5192608</v>
      </c>
      <c r="AC142" s="26">
        <f>SUM(AC144:AC145)</f>
        <v>5192608</v>
      </c>
      <c r="AD142" s="26">
        <f t="shared" si="67"/>
        <v>27035774</v>
      </c>
      <c r="AE142" s="822"/>
      <c r="AF142" s="822">
        <f t="shared" si="72"/>
        <v>0.33930501003045249</v>
      </c>
      <c r="AG142" s="822"/>
    </row>
    <row r="143" spans="1:34" s="1" customFormat="1" x14ac:dyDescent="0.25">
      <c r="A143" s="1097" t="s">
        <v>564</v>
      </c>
      <c r="B143" s="1098" t="s">
        <v>532</v>
      </c>
      <c r="C143" s="26"/>
      <c r="D143" s="26"/>
      <c r="E143" s="26"/>
      <c r="F143" s="26"/>
      <c r="G143" s="26">
        <f>SUM(G144:G145)</f>
        <v>658310</v>
      </c>
      <c r="H143" s="26">
        <f t="shared" ref="H143:M143" si="74">SUM(H144:H145)</f>
        <v>1145709</v>
      </c>
      <c r="I143" s="26">
        <f t="shared" si="74"/>
        <v>1174152</v>
      </c>
      <c r="J143" s="26">
        <f t="shared" si="74"/>
        <v>1174152</v>
      </c>
      <c r="K143" s="26">
        <f t="shared" si="74"/>
        <v>1174152</v>
      </c>
      <c r="L143" s="26">
        <f t="shared" si="74"/>
        <v>1174152</v>
      </c>
      <c r="M143" s="26">
        <f t="shared" si="74"/>
        <v>5842317</v>
      </c>
      <c r="N143" s="822"/>
      <c r="O143" s="822"/>
      <c r="P143" s="26">
        <f>SUM(P144:P145)</f>
        <v>1174152</v>
      </c>
      <c r="Q143" s="26">
        <f>SUM(Q144:Q145)</f>
        <v>4693126</v>
      </c>
      <c r="R143" s="26">
        <f>SUM(R144:R145)</f>
        <v>4693126</v>
      </c>
      <c r="S143" s="26">
        <f>SUM(S144:S145)</f>
        <v>4693126</v>
      </c>
      <c r="T143" s="26">
        <f>SUM(T144:T145)</f>
        <v>5044283</v>
      </c>
      <c r="U143" s="212">
        <f>SUM(P143:T143)</f>
        <v>20297813</v>
      </c>
      <c r="V143" s="26"/>
      <c r="W143" s="822"/>
      <c r="X143" s="822"/>
      <c r="Y143" s="26">
        <f>SUM(Y144:Y145)</f>
        <v>6265342</v>
      </c>
      <c r="Z143" s="26">
        <f>SUM(Z144:Z145)</f>
        <v>5192608</v>
      </c>
      <c r="AA143" s="26">
        <f>SUM(AA144:AA145)</f>
        <v>5192608</v>
      </c>
      <c r="AB143" s="26">
        <f>SUM(AB144:AB145)</f>
        <v>5192608</v>
      </c>
      <c r="AC143" s="26">
        <f>SUM(AC144:AC145)</f>
        <v>5192608</v>
      </c>
      <c r="AD143" s="26">
        <f t="shared" si="67"/>
        <v>27035774</v>
      </c>
      <c r="AE143" s="822"/>
      <c r="AF143" s="822"/>
      <c r="AG143" s="822"/>
    </row>
    <row r="144" spans="1:34" s="65" customFormat="1" x14ac:dyDescent="0.25">
      <c r="A144" s="1091" t="s">
        <v>852</v>
      </c>
      <c r="B144" s="1092" t="s">
        <v>532</v>
      </c>
      <c r="C144" s="64">
        <v>658310</v>
      </c>
      <c r="D144" s="64">
        <v>658310</v>
      </c>
      <c r="E144" s="64">
        <v>658310</v>
      </c>
      <c r="F144" s="64">
        <v>658310</v>
      </c>
      <c r="G144" s="64">
        <v>658310</v>
      </c>
      <c r="H144" s="64">
        <v>1145709</v>
      </c>
      <c r="I144" s="64">
        <f>1174152</f>
        <v>1174152</v>
      </c>
      <c r="J144" s="64">
        <f>I144</f>
        <v>1174152</v>
      </c>
      <c r="K144" s="64">
        <f>J144</f>
        <v>1174152</v>
      </c>
      <c r="L144" s="64">
        <f>K144</f>
        <v>1174152</v>
      </c>
      <c r="M144" s="64">
        <f>SUM(H144:L144)</f>
        <v>5842317</v>
      </c>
      <c r="N144" s="994"/>
      <c r="O144" s="994">
        <f t="shared" si="71"/>
        <v>0.15998496329685019</v>
      </c>
      <c r="P144" s="64">
        <f>1174152</f>
        <v>1174152</v>
      </c>
      <c r="Q144" s="64">
        <v>4693126</v>
      </c>
      <c r="R144" s="64">
        <v>4693126</v>
      </c>
      <c r="S144" s="64">
        <v>4693126</v>
      </c>
      <c r="T144" s="64">
        <f>'Phụ lục số 3-thu bs'!G13</f>
        <v>4883126</v>
      </c>
      <c r="U144" s="64" t="e">
        <f>SUM(#REF!,T144)</f>
        <v>#REF!</v>
      </c>
      <c r="V144" s="64"/>
      <c r="W144" s="994" t="e">
        <f t="shared" si="69"/>
        <v>#REF!</v>
      </c>
      <c r="X144" s="994"/>
      <c r="Y144" s="64">
        <f>'Phụ lục số 3-thu bs'!J13</f>
        <v>4883126</v>
      </c>
      <c r="Z144" s="64">
        <f>'Phụ lục số 3-thu bs'!M13</f>
        <v>4883126</v>
      </c>
      <c r="AA144" s="64">
        <f>'Phụ lục số 3-thu bs'!P13</f>
        <v>4883126</v>
      </c>
      <c r="AB144" s="64">
        <f>'Phụ lục số 3-thu bs'!S13</f>
        <v>4883126</v>
      </c>
      <c r="AC144" s="64">
        <f>'Phụ lục số 3-thu bs'!V13</f>
        <v>4883126</v>
      </c>
      <c r="AD144" s="64">
        <f t="shared" si="67"/>
        <v>24415630</v>
      </c>
      <c r="AE144" s="994"/>
      <c r="AF144" s="994">
        <f t="shared" si="72"/>
        <v>0.30642161685660696</v>
      </c>
      <c r="AG144" s="994"/>
    </row>
    <row r="145" spans="1:33" s="65" customFormat="1" x14ac:dyDescent="0.25">
      <c r="A145" s="1091" t="s">
        <v>852</v>
      </c>
      <c r="B145" s="64" t="s">
        <v>1186</v>
      </c>
      <c r="C145" s="64">
        <f>822830-658310</f>
        <v>164520</v>
      </c>
      <c r="D145" s="64">
        <f>1108040-658310</f>
        <v>449730</v>
      </c>
      <c r="E145" s="64">
        <f>911070-658310</f>
        <v>252760</v>
      </c>
      <c r="F145" s="64">
        <f>1140640-658310</f>
        <v>482330</v>
      </c>
      <c r="G145" s="64"/>
      <c r="H145" s="64">
        <v>0</v>
      </c>
      <c r="I145" s="64"/>
      <c r="J145" s="64"/>
      <c r="K145" s="64"/>
      <c r="L145" s="64"/>
      <c r="M145" s="64">
        <f>SUM(H145:L145)</f>
        <v>0</v>
      </c>
      <c r="N145" s="994"/>
      <c r="O145" s="994">
        <f t="shared" si="71"/>
        <v>0</v>
      </c>
      <c r="P145" s="64"/>
      <c r="Q145" s="64">
        <v>0</v>
      </c>
      <c r="R145" s="64"/>
      <c r="S145" s="64"/>
      <c r="T145" s="64">
        <f>'Phụ lục số 3-thu bs'!G15</f>
        <v>161157</v>
      </c>
      <c r="U145" s="64"/>
      <c r="V145" s="64"/>
      <c r="W145" s="994">
        <f t="shared" si="69"/>
        <v>0</v>
      </c>
      <c r="X145" s="994"/>
      <c r="Y145" s="64">
        <f>'Phụ lục số 3-thu bs'!O15</f>
        <v>1382216</v>
      </c>
      <c r="Z145" s="64">
        <f>'Phụ lục số 3-thu bs'!M15</f>
        <v>309482</v>
      </c>
      <c r="AA145" s="64">
        <f>'Phụ lục số 3-thu bs'!P15</f>
        <v>309482</v>
      </c>
      <c r="AB145" s="64">
        <f>'Phụ lục số 3-thu bs'!S15</f>
        <v>309482</v>
      </c>
      <c r="AC145" s="64">
        <f>'Phụ lục số 3-thu bs'!V15</f>
        <v>309482</v>
      </c>
      <c r="AD145" s="64">
        <f t="shared" si="67"/>
        <v>2620144</v>
      </c>
      <c r="AE145" s="994"/>
      <c r="AF145" s="994">
        <f t="shared" si="72"/>
        <v>3.2883393173845511E-2</v>
      </c>
      <c r="AG145" s="994"/>
    </row>
    <row r="146" spans="1:33" s="1" customFormat="1" x14ac:dyDescent="0.25">
      <c r="A146" s="1097" t="s">
        <v>564</v>
      </c>
      <c r="B146" s="26" t="s">
        <v>533</v>
      </c>
      <c r="C146" s="26"/>
      <c r="D146" s="26"/>
      <c r="E146" s="26"/>
      <c r="F146" s="26"/>
      <c r="G146" s="26">
        <f>'Chi từ NSTW bổ sung 2010-2025'!C8</f>
        <v>379873</v>
      </c>
      <c r="H146" s="26">
        <f>'Chi từ NSTW bổ sung 2010-2025'!D8</f>
        <v>517484</v>
      </c>
      <c r="I146" s="26">
        <f>'Chi từ NSTW bổ sung 2010-2025'!E8</f>
        <v>686112</v>
      </c>
      <c r="J146" s="26">
        <f>'Chi từ NSTW bổ sung 2010-2025'!F8</f>
        <v>774055</v>
      </c>
      <c r="K146" s="26">
        <f>'Chi từ NSTW bổ sung 2010-2025'!G8</f>
        <v>531512</v>
      </c>
      <c r="L146" s="26">
        <f>'Chi từ NSTW bổ sung 2010-2025'!H8</f>
        <v>533832</v>
      </c>
      <c r="M146" s="26">
        <f>'Chi từ NSTW bổ sung 2010-2025'!I8</f>
        <v>3042995</v>
      </c>
      <c r="N146" s="822"/>
      <c r="O146" s="822"/>
      <c r="P146" s="26">
        <f>'Chi từ NSTW bổ sung 2010-2025'!L8</f>
        <v>760850</v>
      </c>
      <c r="Q146" s="26">
        <f>'Chi từ NSTW bổ sung 2010-2025'!M8</f>
        <v>741859</v>
      </c>
      <c r="R146" s="26">
        <f>'Chi từ NSTW bổ sung 2010-2025'!N8</f>
        <v>1818286</v>
      </c>
      <c r="S146" s="26">
        <f>'Chi từ NSTW bổ sung 2010-2025'!O8</f>
        <v>888037</v>
      </c>
      <c r="T146" s="26">
        <f>'Chi từ NSTW bổ sung 2010-2025'!O8</f>
        <v>888037</v>
      </c>
      <c r="U146" s="212">
        <f>SUM(P146:T146)</f>
        <v>5097069</v>
      </c>
      <c r="V146" s="26"/>
      <c r="W146" s="822"/>
      <c r="X146" s="822"/>
      <c r="Y146" s="26">
        <f>'Chi từ NSTW bổ sung 2010-2025'!U8</f>
        <v>1370794</v>
      </c>
      <c r="Z146" s="26">
        <f>'Chi từ NSTW bổ sung 2010-2025'!U8</f>
        <v>1370794</v>
      </c>
      <c r="AA146" s="26">
        <f>'Chi từ NSTW bổ sung 2010-2025'!V8</f>
        <v>1598970</v>
      </c>
      <c r="AB146" s="26">
        <f>'Chi từ NSTW bổ sung 2010-2025'!W8</f>
        <v>1867970</v>
      </c>
      <c r="AC146" s="26">
        <f>'Chi từ NSTW bổ sung 2010-2025'!X8</f>
        <v>2184970</v>
      </c>
      <c r="AD146" s="26">
        <f t="shared" si="67"/>
        <v>8393498</v>
      </c>
      <c r="AE146" s="822"/>
      <c r="AF146" s="822"/>
      <c r="AG146" s="822"/>
    </row>
    <row r="147" spans="1:33" s="1" customFormat="1" x14ac:dyDescent="0.25">
      <c r="A147" s="1097" t="s">
        <v>426</v>
      </c>
      <c r="B147" s="1098" t="s">
        <v>777</v>
      </c>
      <c r="C147" s="26"/>
      <c r="D147" s="26"/>
      <c r="E147" s="26">
        <v>124990</v>
      </c>
      <c r="F147" s="26">
        <v>113320</v>
      </c>
      <c r="G147" s="26"/>
      <c r="H147" s="26">
        <f>5517507-5432961</f>
        <v>84546</v>
      </c>
      <c r="I147" s="26">
        <f>6676916-5944401</f>
        <v>732515</v>
      </c>
      <c r="J147" s="26">
        <f>7325262-6021428</f>
        <v>1303834</v>
      </c>
      <c r="K147" s="26">
        <f>8159970-5581637</f>
        <v>2578333</v>
      </c>
      <c r="L147" s="26">
        <f>8838259-6554806</f>
        <v>2283453</v>
      </c>
      <c r="M147" s="26">
        <f>SUM(H147:L147)</f>
        <v>6982681</v>
      </c>
      <c r="N147" s="822"/>
      <c r="O147" s="822">
        <f t="shared" si="71"/>
        <v>0.19121248701476026</v>
      </c>
      <c r="P147" s="26">
        <f>9435660-8089920</f>
        <v>1345740</v>
      </c>
      <c r="Q147" s="26"/>
      <c r="R147" s="26"/>
      <c r="S147" s="26"/>
      <c r="T147" s="26">
        <f>13322070-12968123</f>
        <v>353947</v>
      </c>
      <c r="U147" s="212">
        <f>SUM(P147:T147)</f>
        <v>1699687</v>
      </c>
      <c r="V147" s="26"/>
      <c r="W147" s="822">
        <f t="shared" si="69"/>
        <v>4.5947848347205653E-2</v>
      </c>
      <c r="X147" s="822"/>
      <c r="Y147" s="26">
        <f>13655790-13237496</f>
        <v>418294</v>
      </c>
      <c r="Z147" s="26">
        <f>'Phụ lục số 3-thu bs'!L16</f>
        <v>1247986</v>
      </c>
      <c r="AA147" s="26">
        <f>'Phụ lục số 3-thu bs'!O16</f>
        <v>1470641</v>
      </c>
      <c r="AB147" s="26">
        <f>'Phụ lục số 3-thu bs'!R16</f>
        <v>1580831</v>
      </c>
      <c r="AC147" s="26">
        <f>'Phụ lục số 3-thu bs'!U16</f>
        <v>1678891</v>
      </c>
      <c r="AD147" s="26">
        <f t="shared" si="67"/>
        <v>6396643</v>
      </c>
      <c r="AE147" s="822"/>
      <c r="AF147" s="822">
        <f t="shared" si="72"/>
        <v>8.0279300207059867E-2</v>
      </c>
      <c r="AG147" s="822"/>
    </row>
    <row r="148" spans="1:33" s="1" customFormat="1" ht="31.5" x14ac:dyDescent="0.25">
      <c r="A148" s="1097" t="s">
        <v>464</v>
      </c>
      <c r="B148" s="823" t="s">
        <v>919</v>
      </c>
      <c r="C148" s="26"/>
      <c r="D148" s="26"/>
      <c r="E148" s="26"/>
      <c r="F148" s="26"/>
      <c r="G148" s="26"/>
      <c r="H148" s="26"/>
      <c r="I148" s="26"/>
      <c r="J148" s="26"/>
      <c r="K148" s="26"/>
      <c r="L148" s="26"/>
      <c r="M148" s="26"/>
      <c r="N148" s="822"/>
      <c r="O148" s="822"/>
      <c r="P148" s="26"/>
      <c r="Q148" s="26"/>
      <c r="R148" s="26"/>
      <c r="S148" s="26"/>
      <c r="T148" s="26">
        <f>'Phụ lục số 1'!H63</f>
        <v>30900</v>
      </c>
      <c r="U148" s="212">
        <f>SUM(P148:T148)</f>
        <v>30900</v>
      </c>
      <c r="V148" s="26"/>
      <c r="W148" s="822"/>
      <c r="X148" s="822"/>
      <c r="Y148" s="26">
        <f>'Phụ lục số 1'!S63</f>
        <v>0</v>
      </c>
      <c r="Z148" s="26">
        <f>'Phụ lục số 1'!T63</f>
        <v>96096</v>
      </c>
      <c r="AA148" s="26">
        <f>'Phụ lục số 1'!Z63</f>
        <v>0</v>
      </c>
      <c r="AB148" s="26">
        <f>'Phụ lục số 1'!AF63</f>
        <v>0</v>
      </c>
      <c r="AC148" s="26">
        <f>'Phụ lục số 1'!AL63</f>
        <v>0</v>
      </c>
      <c r="AD148" s="26">
        <f t="shared" si="67"/>
        <v>96096</v>
      </c>
      <c r="AE148" s="822"/>
      <c r="AF148" s="822"/>
      <c r="AG148" s="822"/>
    </row>
    <row r="149" spans="1:33" s="1" customFormat="1" x14ac:dyDescent="0.25">
      <c r="A149" s="1097">
        <v>17</v>
      </c>
      <c r="B149" s="1098" t="s">
        <v>1083</v>
      </c>
      <c r="C149" s="26"/>
      <c r="D149" s="26"/>
      <c r="E149" s="26"/>
      <c r="F149" s="26"/>
      <c r="G149" s="26">
        <f>ROUND(('Chi NSĐP 2010-2025'!C11+'Chi NSĐP 2010-2025'!C129)*30%,-3)</f>
        <v>378000</v>
      </c>
      <c r="H149" s="26">
        <f>ROUND(('Chi NSĐP 2010-2025'!D11+'Chi NSĐP 2010-2025'!D129)*30%,-3)</f>
        <v>544000</v>
      </c>
      <c r="I149" s="26">
        <f>ROUND(('Chi NSĐP 2010-2025'!E11+'Chi NSĐP 2010-2025'!E129)*30%,-3)</f>
        <v>591000</v>
      </c>
      <c r="J149" s="26">
        <f>ROUND(('Chi NSĐP 2010-2025'!F11+'Chi NSĐP 2010-2025'!F129)*30%,-3)</f>
        <v>599000</v>
      </c>
      <c r="K149" s="26">
        <f>ROUND(('Chi NSĐP 2010-2025'!G11+'Chi NSĐP 2010-2025'!G129)*30%,-3)</f>
        <v>745000</v>
      </c>
      <c r="L149" s="26">
        <f>ROUND(('Chi NSĐP 2010-2025'!H11+'Chi NSĐP 2010-2025'!H129)*30%,-3)</f>
        <v>721000</v>
      </c>
      <c r="M149" s="26"/>
      <c r="N149" s="822"/>
      <c r="O149" s="822"/>
      <c r="P149" s="26">
        <f>ROUND(('Chi NSĐP 2010-2025'!L11+'Chi NSĐP 2010-2025'!L129)*30%,-3)</f>
        <v>837000</v>
      </c>
      <c r="Q149" s="26">
        <f>ROUND(Q139*20%,-3)</f>
        <v>1078000</v>
      </c>
      <c r="R149" s="26">
        <f>ROUND(R139*20%,-3)</f>
        <v>1147000</v>
      </c>
      <c r="S149" s="26">
        <f>ROUND(S139*20%,-3)</f>
        <v>1147000</v>
      </c>
      <c r="T149" s="26">
        <f>ROUND(T139*20%,-3)</f>
        <v>1304000</v>
      </c>
      <c r="U149" s="212">
        <f>SUM(P149:T149)</f>
        <v>5513000</v>
      </c>
      <c r="V149" s="26"/>
      <c r="W149" s="822"/>
      <c r="X149" s="822"/>
      <c r="Y149" s="26">
        <f>ROUND(Y139*20%,-3)</f>
        <v>1296000</v>
      </c>
      <c r="Z149" s="26">
        <f>ROUND(Z139*20%,-3)</f>
        <v>1410000</v>
      </c>
      <c r="AA149" s="26">
        <f>ROUND(AA139*20%,-3)</f>
        <v>1514000</v>
      </c>
      <c r="AB149" s="26">
        <f>ROUND(AB139*20%,-3)</f>
        <v>1617000</v>
      </c>
      <c r="AC149" s="26">
        <f>ROUND(AC139*20%,-3)</f>
        <v>1733000</v>
      </c>
      <c r="AD149" s="26">
        <f t="shared" si="67"/>
        <v>7570000</v>
      </c>
      <c r="AE149" s="822"/>
      <c r="AF149" s="822"/>
      <c r="AG149" s="822"/>
    </row>
    <row r="150" spans="1:33" s="1" customFormat="1" x14ac:dyDescent="0.25">
      <c r="A150" s="1097">
        <v>18</v>
      </c>
      <c r="B150" s="1098" t="s">
        <v>1084</v>
      </c>
      <c r="C150" s="26"/>
      <c r="D150" s="26"/>
      <c r="E150" s="26"/>
      <c r="F150" s="26"/>
      <c r="G150" s="26">
        <v>720694.66666666709</v>
      </c>
      <c r="H150" s="26">
        <v>672807.91666666709</v>
      </c>
      <c r="I150" s="26">
        <v>850600.91666666686</v>
      </c>
      <c r="J150" s="26">
        <v>880028.91666666698</v>
      </c>
      <c r="K150" s="26">
        <v>942215.91666666709</v>
      </c>
      <c r="L150" s="26">
        <v>1061382.9166666672</v>
      </c>
      <c r="M150" s="26"/>
      <c r="N150" s="822"/>
      <c r="O150" s="822"/>
      <c r="P150" s="26">
        <v>1019612.7466666669</v>
      </c>
      <c r="Q150" s="26">
        <v>1011904.74666667</v>
      </c>
      <c r="R150" s="26">
        <v>782191.23811367003</v>
      </c>
      <c r="S150" s="26">
        <v>782191.23811367003</v>
      </c>
      <c r="T150" s="26">
        <v>638715.73911366996</v>
      </c>
      <c r="U150" s="212">
        <f>SUM(P150:T150)</f>
        <v>4234615.708674347</v>
      </c>
      <c r="V150" s="26"/>
      <c r="W150" s="822"/>
      <c r="X150" s="822"/>
      <c r="Y150" s="26">
        <v>527199.90711366991</v>
      </c>
      <c r="Z150" s="26">
        <v>232384.00133466991</v>
      </c>
      <c r="AA150" s="26">
        <v>189722.6680026699</v>
      </c>
      <c r="AB150" s="26">
        <v>219407.33467066995</v>
      </c>
      <c r="AC150" s="26">
        <v>154887.00133866994</v>
      </c>
      <c r="AD150" s="26">
        <f t="shared" si="67"/>
        <v>1323600.9124603497</v>
      </c>
      <c r="AE150" s="822"/>
      <c r="AF150" s="822"/>
      <c r="AG150" s="822"/>
    </row>
    <row r="151" spans="1:33" ht="31.5" x14ac:dyDescent="0.25">
      <c r="A151" s="257" t="s">
        <v>564</v>
      </c>
      <c r="B151" s="1103" t="s">
        <v>1085</v>
      </c>
      <c r="C151" s="830" t="e">
        <f t="shared" ref="C151:L151" si="75">C150/C149</f>
        <v>#DIV/0!</v>
      </c>
      <c r="D151" s="830" t="e">
        <f t="shared" si="75"/>
        <v>#DIV/0!</v>
      </c>
      <c r="E151" s="830" t="e">
        <f t="shared" si="75"/>
        <v>#DIV/0!</v>
      </c>
      <c r="F151" s="830" t="e">
        <f t="shared" si="75"/>
        <v>#DIV/0!</v>
      </c>
      <c r="G151" s="992">
        <f>G150/G149</f>
        <v>1.9065996472663151</v>
      </c>
      <c r="H151" s="992">
        <f t="shared" si="75"/>
        <v>1.2367792585784321</v>
      </c>
      <c r="I151" s="992">
        <f t="shared" si="75"/>
        <v>1.4392570501974058</v>
      </c>
      <c r="J151" s="992">
        <f t="shared" si="75"/>
        <v>1.4691634668892604</v>
      </c>
      <c r="K151" s="992">
        <f t="shared" si="75"/>
        <v>1.2647193512304256</v>
      </c>
      <c r="L151" s="992">
        <f t="shared" si="75"/>
        <v>1.4720983587609808</v>
      </c>
      <c r="M151" s="992"/>
      <c r="N151" s="992"/>
      <c r="O151" s="992"/>
      <c r="P151" s="992">
        <f>P150/P149</f>
        <v>1.218175324571884</v>
      </c>
      <c r="Q151" s="992">
        <f>Q150/Q149</f>
        <v>0.9386871490414378</v>
      </c>
      <c r="R151" s="992">
        <f>R150/R149</f>
        <v>0.68194528170328683</v>
      </c>
      <c r="S151" s="992">
        <f>S150/S149</f>
        <v>0.68194528170328683</v>
      </c>
      <c r="T151" s="992">
        <f>T150/T149</f>
        <v>0.48981268336937878</v>
      </c>
      <c r="U151" s="992" t="e">
        <f>SUM(#REF!,T151)</f>
        <v>#REF!</v>
      </c>
      <c r="V151" s="992"/>
      <c r="W151" s="992"/>
      <c r="X151" s="992"/>
      <c r="Y151" s="992">
        <f>Y150/Y149</f>
        <v>0.40679005178523914</v>
      </c>
      <c r="Z151" s="992">
        <f>Z150/Z149</f>
        <v>0.1648113484643049</v>
      </c>
      <c r="AA151" s="992">
        <f>AA150/AA149</f>
        <v>0.12531219815235792</v>
      </c>
      <c r="AB151" s="992">
        <f>AB150/AB149</f>
        <v>0.1356879002292331</v>
      </c>
      <c r="AC151" s="992">
        <f>AC150/AC149</f>
        <v>8.9375072901713759E-2</v>
      </c>
      <c r="AD151" s="992">
        <f t="shared" si="67"/>
        <v>0.92197657153284873</v>
      </c>
      <c r="AE151" s="992"/>
      <c r="AF151" s="992"/>
      <c r="AG151" s="992"/>
    </row>
    <row r="152" spans="1:33" ht="31.5" x14ac:dyDescent="0.25">
      <c r="A152" s="257" t="s">
        <v>564</v>
      </c>
      <c r="B152" s="1103" t="s">
        <v>1086</v>
      </c>
      <c r="C152" s="830">
        <f>C150/C31</f>
        <v>0</v>
      </c>
      <c r="D152" s="830">
        <f>D150/D31</f>
        <v>0</v>
      </c>
      <c r="E152" s="830">
        <f>E150/E31</f>
        <v>0</v>
      </c>
      <c r="F152" s="830">
        <f>F150/F31</f>
        <v>0</v>
      </c>
      <c r="G152" s="992"/>
      <c r="H152" s="992">
        <f>H150/H31</f>
        <v>1.6133321743439732E-2</v>
      </c>
      <c r="I152" s="992">
        <f>I150/I31</f>
        <v>1.9319983570687687E-2</v>
      </c>
      <c r="J152" s="992">
        <f>J150/J31</f>
        <v>1.8214026754422283E-2</v>
      </c>
      <c r="K152" s="992">
        <f>K150/K31</f>
        <v>1.7620734527727916E-2</v>
      </c>
      <c r="L152" s="992">
        <f>L150/L31</f>
        <v>1.855293348933152E-2</v>
      </c>
      <c r="M152" s="992"/>
      <c r="N152" s="992"/>
      <c r="O152" s="992"/>
      <c r="P152" s="992">
        <f>P150/P31</f>
        <v>1.6386934509230656E-2</v>
      </c>
      <c r="Q152" s="992">
        <f>Q150/Q31</f>
        <v>1.4818068197860889E-2</v>
      </c>
      <c r="R152" s="992">
        <f>R150/R31</f>
        <v>1.0308825915609414E-2</v>
      </c>
      <c r="S152" s="992">
        <f>S150/S31</f>
        <v>9.506109866116573E-3</v>
      </c>
      <c r="T152" s="992">
        <f>T150/T31</f>
        <v>7.3776002207758583E-3</v>
      </c>
      <c r="U152" s="992" t="e">
        <f>SUM(#REF!,T152)</f>
        <v>#REF!</v>
      </c>
      <c r="V152" s="992"/>
      <c r="W152" s="992"/>
      <c r="X152" s="992"/>
      <c r="Y152" s="992">
        <f>Y150/Y31</f>
        <v>5.6911370899702853E-3</v>
      </c>
      <c r="Z152" s="992">
        <f>Z150/Z31</f>
        <v>2.344478043278018E-3</v>
      </c>
      <c r="AA152" s="992">
        <f>AA150/AA31</f>
        <v>1.7888560333658378E-3</v>
      </c>
      <c r="AB152" s="992">
        <f>AB150/AB31</f>
        <v>1.9334080867266885E-3</v>
      </c>
      <c r="AC152" s="992">
        <f>AC150/AC31</f>
        <v>1.2755679045468103E-3</v>
      </c>
      <c r="AD152" s="992">
        <f t="shared" si="67"/>
        <v>1.3033447157887641E-2</v>
      </c>
      <c r="AE152" s="992"/>
      <c r="AF152" s="992"/>
      <c r="AG152" s="992"/>
    </row>
    <row r="153" spans="1:33" s="1" customFormat="1" x14ac:dyDescent="0.25">
      <c r="A153" s="1097">
        <v>19</v>
      </c>
      <c r="B153" s="1098" t="s">
        <v>1087</v>
      </c>
      <c r="C153" s="26">
        <f t="shared" ref="C153:L153" si="76">SUM(C154:C155)</f>
        <v>0</v>
      </c>
      <c r="D153" s="26">
        <f t="shared" si="76"/>
        <v>0</v>
      </c>
      <c r="E153" s="26">
        <f t="shared" si="76"/>
        <v>0</v>
      </c>
      <c r="F153" s="26">
        <f t="shared" si="76"/>
        <v>0</v>
      </c>
      <c r="G153" s="26">
        <f t="shared" si="76"/>
        <v>77886.75</v>
      </c>
      <c r="H153" s="26">
        <f t="shared" si="76"/>
        <v>22675</v>
      </c>
      <c r="I153" s="26">
        <f t="shared" si="76"/>
        <v>45572</v>
      </c>
      <c r="J153" s="26">
        <f t="shared" si="76"/>
        <v>37813</v>
      </c>
      <c r="K153" s="26">
        <f t="shared" si="76"/>
        <v>50833</v>
      </c>
      <c r="L153" s="26">
        <f t="shared" si="76"/>
        <v>81770.5</v>
      </c>
      <c r="M153" s="26"/>
      <c r="N153" s="822"/>
      <c r="O153" s="822"/>
      <c r="P153" s="26">
        <f>SUM(P154:P155)</f>
        <v>92708</v>
      </c>
      <c r="Q153" s="26">
        <f>SUM(Q154:Q155)</f>
        <v>229713.50855299999</v>
      </c>
      <c r="R153" s="26">
        <f>SUM(R154:R155)</f>
        <v>143475.49900000001</v>
      </c>
      <c r="S153" s="26">
        <f>SUM(S154:S155)</f>
        <v>143475.49900000001</v>
      </c>
      <c r="T153" s="26">
        <f>SUM(T154:T155)</f>
        <v>126515.83200000001</v>
      </c>
      <c r="U153" s="26" t="e">
        <f>SUM(#REF!,T153)</f>
        <v>#REF!</v>
      </c>
      <c r="V153" s="26"/>
      <c r="W153" s="822"/>
      <c r="X153" s="822"/>
      <c r="Y153" s="26">
        <f>SUM(Y154:Y155)</f>
        <v>325715.90577900002</v>
      </c>
      <c r="Z153" s="26">
        <f>SUM(Z154:Z155)</f>
        <v>72661.333331999995</v>
      </c>
      <c r="AA153" s="26">
        <f>SUM(AA154:AA155)</f>
        <v>66411.333331999995</v>
      </c>
      <c r="AB153" s="26">
        <f>SUM(AB154:AB155)</f>
        <v>64520.333332000009</v>
      </c>
      <c r="AC153" s="26">
        <f>SUM(AC154:AC155)</f>
        <v>17109</v>
      </c>
      <c r="AD153" s="26">
        <f t="shared" si="67"/>
        <v>546417.90577500011</v>
      </c>
      <c r="AE153" s="822"/>
      <c r="AF153" s="822"/>
      <c r="AG153" s="822"/>
    </row>
    <row r="154" spans="1:33" x14ac:dyDescent="0.25">
      <c r="A154" s="257" t="s">
        <v>564</v>
      </c>
      <c r="B154" s="1103" t="s">
        <v>1088</v>
      </c>
      <c r="C154" s="208"/>
      <c r="D154" s="208"/>
      <c r="E154" s="208"/>
      <c r="F154" s="208"/>
      <c r="G154" s="208"/>
      <c r="H154" s="208"/>
      <c r="I154" s="208"/>
      <c r="J154" s="208"/>
      <c r="K154" s="208"/>
      <c r="L154" s="208"/>
      <c r="M154" s="208"/>
      <c r="N154" s="992"/>
      <c r="O154" s="992"/>
      <c r="P154" s="208"/>
      <c r="Q154" s="208"/>
      <c r="R154" s="208"/>
      <c r="S154" s="208"/>
      <c r="T154" s="208"/>
      <c r="U154" s="208" t="e">
        <f>SUM(#REF!,T154)</f>
        <v>#REF!</v>
      </c>
      <c r="V154" s="208"/>
      <c r="W154" s="992"/>
      <c r="X154" s="992"/>
      <c r="Y154" s="208"/>
      <c r="Z154" s="208"/>
      <c r="AA154" s="208"/>
      <c r="AB154" s="208"/>
      <c r="AC154" s="208"/>
      <c r="AD154" s="208">
        <f t="shared" si="67"/>
        <v>0</v>
      </c>
      <c r="AE154" s="992"/>
      <c r="AF154" s="992"/>
      <c r="AG154" s="992"/>
    </row>
    <row r="155" spans="1:33" ht="31.5" x14ac:dyDescent="0.25">
      <c r="A155" s="257" t="s">
        <v>564</v>
      </c>
      <c r="B155" s="1103" t="s">
        <v>1089</v>
      </c>
      <c r="C155" s="208"/>
      <c r="D155" s="208"/>
      <c r="E155" s="208"/>
      <c r="F155" s="208"/>
      <c r="G155" s="208">
        <v>77886.75</v>
      </c>
      <c r="H155" s="208">
        <v>22675</v>
      </c>
      <c r="I155" s="208">
        <v>45572</v>
      </c>
      <c r="J155" s="208">
        <v>37813</v>
      </c>
      <c r="K155" s="208">
        <v>50833</v>
      </c>
      <c r="L155" s="208">
        <v>81770.5</v>
      </c>
      <c r="M155" s="208"/>
      <c r="N155" s="992"/>
      <c r="O155" s="992"/>
      <c r="P155" s="208">
        <v>92708</v>
      </c>
      <c r="Q155" s="208">
        <v>229713.50855299999</v>
      </c>
      <c r="R155" s="208">
        <v>143475.49900000001</v>
      </c>
      <c r="S155" s="208">
        <v>143475.49900000001</v>
      </c>
      <c r="T155" s="208">
        <v>126515.83200000001</v>
      </c>
      <c r="U155" s="208" t="e">
        <f>SUM(#REF!,T155)</f>
        <v>#REF!</v>
      </c>
      <c r="V155" s="208"/>
      <c r="W155" s="992"/>
      <c r="X155" s="992"/>
      <c r="Y155" s="208">
        <v>325715.90577900002</v>
      </c>
      <c r="Z155" s="208">
        <v>72661.333331999995</v>
      </c>
      <c r="AA155" s="208">
        <v>66411.333331999995</v>
      </c>
      <c r="AB155" s="208">
        <v>64520.333332000009</v>
      </c>
      <c r="AC155" s="208">
        <v>17109</v>
      </c>
      <c r="AD155" s="208">
        <f t="shared" si="67"/>
        <v>546417.90577500011</v>
      </c>
      <c r="AE155" s="992"/>
      <c r="AF155" s="992"/>
      <c r="AG155" s="992"/>
    </row>
    <row r="156" spans="1:33" s="1" customFormat="1" x14ac:dyDescent="0.25">
      <c r="A156" s="1097">
        <v>20</v>
      </c>
      <c r="B156" s="1104" t="s">
        <v>1090</v>
      </c>
      <c r="C156" s="26"/>
      <c r="D156" s="26"/>
      <c r="E156" s="26"/>
      <c r="F156" s="26"/>
      <c r="G156" s="26">
        <v>30000</v>
      </c>
      <c r="H156" s="26">
        <v>200468</v>
      </c>
      <c r="I156" s="26">
        <v>75000</v>
      </c>
      <c r="J156" s="26">
        <v>100000</v>
      </c>
      <c r="K156" s="26">
        <v>170000</v>
      </c>
      <c r="L156" s="26">
        <v>40000</v>
      </c>
      <c r="M156" s="26"/>
      <c r="N156" s="822"/>
      <c r="O156" s="822"/>
      <c r="P156" s="26">
        <v>85000</v>
      </c>
      <c r="Q156" s="26">
        <v>0</v>
      </c>
      <c r="R156" s="26">
        <v>0</v>
      </c>
      <c r="S156" s="26">
        <v>0</v>
      </c>
      <c r="T156" s="26">
        <f>T148</f>
        <v>30900</v>
      </c>
      <c r="U156" s="26" t="e">
        <f>SUM(#REF!,T156)</f>
        <v>#REF!</v>
      </c>
      <c r="V156" s="26"/>
      <c r="W156" s="822"/>
      <c r="X156" s="822"/>
      <c r="Y156" s="26">
        <f>Y148</f>
        <v>0</v>
      </c>
      <c r="Z156" s="26">
        <f>Z148</f>
        <v>96096</v>
      </c>
      <c r="AA156" s="26">
        <f>AA148</f>
        <v>0</v>
      </c>
      <c r="AB156" s="26">
        <f>AB148</f>
        <v>0</v>
      </c>
      <c r="AC156" s="26">
        <f>AC148</f>
        <v>0</v>
      </c>
      <c r="AD156" s="26">
        <f t="shared" si="67"/>
        <v>96096</v>
      </c>
      <c r="AE156" s="822"/>
      <c r="AF156" s="822"/>
      <c r="AG156" s="822"/>
    </row>
    <row r="157" spans="1:33" hidden="1" x14ac:dyDescent="0.25">
      <c r="A157" s="257" t="s">
        <v>564</v>
      </c>
      <c r="B157" s="1103" t="s">
        <v>1091</v>
      </c>
      <c r="C157" s="208"/>
      <c r="D157" s="208"/>
      <c r="E157" s="208"/>
      <c r="F157" s="208"/>
      <c r="G157" s="208"/>
      <c r="H157" s="208"/>
      <c r="I157" s="208"/>
      <c r="J157" s="208"/>
      <c r="K157" s="208"/>
      <c r="L157" s="208"/>
      <c r="M157" s="208"/>
      <c r="N157" s="992"/>
      <c r="O157" s="992"/>
      <c r="P157" s="208"/>
      <c r="Q157" s="208"/>
      <c r="R157" s="208"/>
      <c r="S157" s="208"/>
      <c r="T157" s="208"/>
      <c r="U157" s="208" t="e">
        <f>SUM(#REF!,T157)</f>
        <v>#REF!</v>
      </c>
      <c r="V157" s="208"/>
      <c r="W157" s="992"/>
      <c r="X157" s="992"/>
      <c r="Y157" s="208"/>
      <c r="Z157" s="208"/>
      <c r="AA157" s="208"/>
      <c r="AB157" s="208"/>
      <c r="AC157" s="208"/>
      <c r="AD157" s="208">
        <f t="shared" si="67"/>
        <v>0</v>
      </c>
      <c r="AE157" s="992"/>
      <c r="AF157" s="992"/>
      <c r="AG157" s="992"/>
    </row>
    <row r="158" spans="1:33" hidden="1" x14ac:dyDescent="0.25">
      <c r="A158" s="257" t="s">
        <v>564</v>
      </c>
      <c r="B158" s="1103" t="s">
        <v>1092</v>
      </c>
      <c r="C158" s="208"/>
      <c r="D158" s="208"/>
      <c r="E158" s="208"/>
      <c r="F158" s="208"/>
      <c r="G158" s="208"/>
      <c r="H158" s="208"/>
      <c r="I158" s="208"/>
      <c r="J158" s="208"/>
      <c r="K158" s="208"/>
      <c r="L158" s="208"/>
      <c r="M158" s="208"/>
      <c r="N158" s="992"/>
      <c r="O158" s="992"/>
      <c r="P158" s="208"/>
      <c r="Q158" s="208"/>
      <c r="R158" s="208"/>
      <c r="S158" s="208"/>
      <c r="T158" s="208"/>
      <c r="U158" s="208" t="e">
        <f>SUM(#REF!,T158)</f>
        <v>#REF!</v>
      </c>
      <c r="V158" s="208"/>
      <c r="W158" s="992"/>
      <c r="X158" s="992"/>
      <c r="Y158" s="208"/>
      <c r="Z158" s="208"/>
      <c r="AA158" s="208"/>
      <c r="AB158" s="208"/>
      <c r="AC158" s="208"/>
      <c r="AD158" s="208">
        <f t="shared" si="67"/>
        <v>0</v>
      </c>
      <c r="AE158" s="992"/>
      <c r="AF158" s="992"/>
      <c r="AG158" s="992"/>
    </row>
    <row r="159" spans="1:33" s="1" customFormat="1" x14ac:dyDescent="0.25">
      <c r="A159" s="1097">
        <v>21</v>
      </c>
      <c r="B159" s="1104" t="s">
        <v>1093</v>
      </c>
      <c r="C159" s="26">
        <f t="shared" ref="C159:L159" si="77">C150+C156-C153</f>
        <v>0</v>
      </c>
      <c r="D159" s="26">
        <f t="shared" si="77"/>
        <v>0</v>
      </c>
      <c r="E159" s="26">
        <f t="shared" si="77"/>
        <v>0</v>
      </c>
      <c r="F159" s="26">
        <f t="shared" si="77"/>
        <v>0</v>
      </c>
      <c r="G159" s="26">
        <f t="shared" si="77"/>
        <v>672807.91666666709</v>
      </c>
      <c r="H159" s="26">
        <f t="shared" si="77"/>
        <v>850600.91666666709</v>
      </c>
      <c r="I159" s="26">
        <f t="shared" si="77"/>
        <v>880028.91666666686</v>
      </c>
      <c r="J159" s="26">
        <f t="shared" si="77"/>
        <v>942215.91666666698</v>
      </c>
      <c r="K159" s="26">
        <f t="shared" si="77"/>
        <v>1061382.916666667</v>
      </c>
      <c r="L159" s="26">
        <f t="shared" si="77"/>
        <v>1019612.4166666672</v>
      </c>
      <c r="M159" s="26"/>
      <c r="N159" s="822"/>
      <c r="O159" s="822"/>
      <c r="P159" s="26">
        <f>P150+P156-P153</f>
        <v>1011904.7466666671</v>
      </c>
      <c r="Q159" s="26">
        <f>Q150+Q156-Q153</f>
        <v>782191.23811366991</v>
      </c>
      <c r="R159" s="26">
        <f>R150+R156-R153</f>
        <v>638715.73911367008</v>
      </c>
      <c r="S159" s="26">
        <f>S150+S156-S153</f>
        <v>638715.73911367008</v>
      </c>
      <c r="T159" s="26">
        <f>T150+T156-T153</f>
        <v>543099.90711366991</v>
      </c>
      <c r="U159" s="26" t="e">
        <f>SUM(#REF!,T159)</f>
        <v>#REF!</v>
      </c>
      <c r="V159" s="26"/>
      <c r="W159" s="822"/>
      <c r="X159" s="822"/>
      <c r="Y159" s="26">
        <f>Y150+Y156-Y153</f>
        <v>201484.00133466988</v>
      </c>
      <c r="Z159" s="26">
        <f>Z150+Z156-Z153</f>
        <v>255818.66800266987</v>
      </c>
      <c r="AA159" s="26">
        <f>AA150+AA156-AA153</f>
        <v>123311.33467066991</v>
      </c>
      <c r="AB159" s="26">
        <f>AB150+AB156-AB153</f>
        <v>154887.00133866994</v>
      </c>
      <c r="AC159" s="26">
        <f>AC150+AC156-AC153</f>
        <v>137778.00133866994</v>
      </c>
      <c r="AD159" s="26">
        <f t="shared" si="67"/>
        <v>873279.00668534951</v>
      </c>
      <c r="AE159" s="822"/>
      <c r="AF159" s="822"/>
      <c r="AG159" s="822"/>
    </row>
    <row r="160" spans="1:33" ht="31.5" x14ac:dyDescent="0.25">
      <c r="A160" s="257" t="s">
        <v>564</v>
      </c>
      <c r="B160" s="1103" t="s">
        <v>1094</v>
      </c>
      <c r="C160" s="830" t="e">
        <f t="shared" ref="C160:L160" si="78">C159/C149</f>
        <v>#DIV/0!</v>
      </c>
      <c r="D160" s="830" t="e">
        <f t="shared" si="78"/>
        <v>#DIV/0!</v>
      </c>
      <c r="E160" s="830" t="e">
        <f t="shared" si="78"/>
        <v>#DIV/0!</v>
      </c>
      <c r="F160" s="830" t="e">
        <f t="shared" si="78"/>
        <v>#DIV/0!</v>
      </c>
      <c r="G160" s="992">
        <f t="shared" si="78"/>
        <v>1.7799151234567911</v>
      </c>
      <c r="H160" s="992">
        <f t="shared" si="78"/>
        <v>1.563604626225491</v>
      </c>
      <c r="I160" s="992">
        <f t="shared" si="78"/>
        <v>1.4890506204173719</v>
      </c>
      <c r="J160" s="992">
        <f t="shared" si="78"/>
        <v>1.5729814969393439</v>
      </c>
      <c r="K160" s="992">
        <f t="shared" si="78"/>
        <v>1.424675055928412</v>
      </c>
      <c r="L160" s="992">
        <f t="shared" si="78"/>
        <v>1.4141642394822014</v>
      </c>
      <c r="M160" s="992"/>
      <c r="N160" s="992"/>
      <c r="O160" s="992"/>
      <c r="P160" s="992">
        <f>P159/P149</f>
        <v>1.2089662445240945</v>
      </c>
      <c r="Q160" s="992">
        <f>Q159/Q149</f>
        <v>0.72559484055071422</v>
      </c>
      <c r="R160" s="992">
        <f>R159/R149</f>
        <v>0.55685766269718406</v>
      </c>
      <c r="S160" s="992">
        <f>S159/S149</f>
        <v>0.55685766269718406</v>
      </c>
      <c r="T160" s="992">
        <f>T159/T149</f>
        <v>0.41648765882950145</v>
      </c>
      <c r="U160" s="992" t="e">
        <f>SUM(#REF!,T160)</f>
        <v>#REF!</v>
      </c>
      <c r="V160" s="992"/>
      <c r="W160" s="992"/>
      <c r="X160" s="992"/>
      <c r="Y160" s="992">
        <f>Y159/Y149</f>
        <v>0.15546605041255393</v>
      </c>
      <c r="Z160" s="992">
        <f>Z159/Z149</f>
        <v>0.18143167943451763</v>
      </c>
      <c r="AA160" s="992">
        <f>AA159/AA149</f>
        <v>8.1447380892120155E-2</v>
      </c>
      <c r="AB160" s="992">
        <f>AB159/AB149</f>
        <v>9.5786642757371643E-2</v>
      </c>
      <c r="AC160" s="992">
        <f>AC159/AC149</f>
        <v>7.9502597425660668E-2</v>
      </c>
      <c r="AD160" s="992">
        <f t="shared" si="67"/>
        <v>0.59363435092222405</v>
      </c>
      <c r="AE160" s="992"/>
      <c r="AF160" s="992"/>
      <c r="AG160" s="992"/>
    </row>
    <row r="161" spans="1:33" ht="31.5" x14ac:dyDescent="0.25">
      <c r="A161" s="1105" t="s">
        <v>564</v>
      </c>
      <c r="B161" s="1106" t="s">
        <v>1095</v>
      </c>
      <c r="C161" s="1107" t="e">
        <f>C160/C31</f>
        <v>#DIV/0!</v>
      </c>
      <c r="D161" s="1107" t="e">
        <f>D160/D31</f>
        <v>#DIV/0!</v>
      </c>
      <c r="E161" s="1107" t="e">
        <f>E160/E31</f>
        <v>#DIV/0!</v>
      </c>
      <c r="F161" s="1107" t="e">
        <f>F160/F31</f>
        <v>#DIV/0!</v>
      </c>
      <c r="G161" s="1006"/>
      <c r="H161" s="1006">
        <f>H159/H31</f>
        <v>2.039663613329178E-2</v>
      </c>
      <c r="I161" s="1006">
        <f>I159/I31</f>
        <v>1.998839159303761E-2</v>
      </c>
      <c r="J161" s="1006">
        <f>J159/J31</f>
        <v>1.9501115917432466E-2</v>
      </c>
      <c r="K161" s="1006">
        <f>K159/K31</f>
        <v>1.9849321451725521E-2</v>
      </c>
      <c r="L161" s="1006">
        <f>L159/L31</f>
        <v>1.7822786719351516E-2</v>
      </c>
      <c r="M161" s="1006"/>
      <c r="N161" s="1006"/>
      <c r="O161" s="1006"/>
      <c r="P161" s="1006">
        <f>P159/P31</f>
        <v>1.6263053661712729E-2</v>
      </c>
      <c r="Q161" s="1006">
        <f>Q159/Q31</f>
        <v>1.1454203716622783E-2</v>
      </c>
      <c r="R161" s="1006">
        <f>R159/R31</f>
        <v>8.4179022254986715E-3</v>
      </c>
      <c r="S161" s="1006">
        <f>S159/S31</f>
        <v>7.7624264928803045E-3</v>
      </c>
      <c r="T161" s="1006">
        <f>T159/T31</f>
        <v>6.2731724760458551E-3</v>
      </c>
      <c r="U161" s="1006" t="e">
        <f>SUM(#REF!,T161)</f>
        <v>#REF!</v>
      </c>
      <c r="V161" s="1006"/>
      <c r="W161" s="1006"/>
      <c r="X161" s="1006"/>
      <c r="Y161" s="1006">
        <f>Y159/Y31</f>
        <v>2.1750251803138642E-3</v>
      </c>
      <c r="Z161" s="1006">
        <f>Z159/Z31</f>
        <v>2.5809059433878016E-3</v>
      </c>
      <c r="AA161" s="1006">
        <f>AA159/AA31</f>
        <v>1.1626772242361552E-3</v>
      </c>
      <c r="AB161" s="1006">
        <f>AB159/AB31</f>
        <v>1.364857657865087E-3</v>
      </c>
      <c r="AC161" s="1006">
        <f>AC159/AC31</f>
        <v>1.1346671763367486E-3</v>
      </c>
      <c r="AD161" s="1006">
        <f t="shared" si="67"/>
        <v>8.418133182139657E-3</v>
      </c>
      <c r="AE161" s="1006"/>
      <c r="AF161" s="1006"/>
      <c r="AG161" s="1006"/>
    </row>
    <row r="163" spans="1:33" x14ac:dyDescent="0.25">
      <c r="H163" s="852"/>
      <c r="I163" s="854"/>
      <c r="J163" s="854"/>
      <c r="K163" s="854"/>
      <c r="L163" s="210">
        <f>L7-L27</f>
        <v>3985613</v>
      </c>
      <c r="N163" s="852"/>
      <c r="P163" s="210">
        <f>P7-P27</f>
        <v>5024618</v>
      </c>
      <c r="Q163" s="210">
        <f>Q7-Q27</f>
        <v>5374100</v>
      </c>
      <c r="R163" s="210">
        <f>R7-R27</f>
        <v>5612594</v>
      </c>
      <c r="T163" s="210">
        <f>T7-T27</f>
        <v>6250000</v>
      </c>
      <c r="Z163" s="826">
        <f>Z7-Z27</f>
        <v>7307000</v>
      </c>
      <c r="AA163" s="826">
        <f>AA7-AA27</f>
        <v>7951000</v>
      </c>
      <c r="AB163" s="826">
        <f>AB7-AB27</f>
        <v>8661000</v>
      </c>
      <c r="AC163" s="826">
        <f>AC7-AC27</f>
        <v>9450000</v>
      </c>
      <c r="AD163" s="826">
        <f>SUM(Z163:AC163)</f>
        <v>33369000</v>
      </c>
    </row>
    <row r="164" spans="1:33" x14ac:dyDescent="0.25">
      <c r="P164" s="852">
        <f>P163/L163</f>
        <v>1.2606888827389915</v>
      </c>
      <c r="Q164" s="852">
        <f>Q163/P163</f>
        <v>1.0695539442003352</v>
      </c>
      <c r="R164" s="852">
        <f>R163/Q163</f>
        <v>1.0443784075473102</v>
      </c>
      <c r="S164" s="852"/>
      <c r="T164" s="852">
        <f>T163/R163</f>
        <v>1.1135670957136754</v>
      </c>
      <c r="U164" s="852"/>
    </row>
    <row r="165" spans="1:33" x14ac:dyDescent="0.25">
      <c r="R165" s="210">
        <v>202096</v>
      </c>
    </row>
    <row r="166" spans="1:33" x14ac:dyDescent="0.25">
      <c r="G166" s="210">
        <f>G107+G110+G113+G125+G116+G119+G122</f>
        <v>557315.62888800004</v>
      </c>
      <c r="O166" s="229"/>
      <c r="R166" s="210">
        <f>+R165+R163</f>
        <v>5814690</v>
      </c>
      <c r="T166" s="854">
        <f>T7/S7</f>
        <v>0.91779592619461403</v>
      </c>
      <c r="U166" s="854">
        <f>1-T166</f>
        <v>8.2204073805385969E-2</v>
      </c>
      <c r="X166" s="210">
        <v>8425000</v>
      </c>
      <c r="Y166" s="826">
        <v>5910000</v>
      </c>
      <c r="Z166" s="826">
        <v>6346000</v>
      </c>
      <c r="AA166" s="826">
        <v>6923000</v>
      </c>
      <c r="AB166" s="826"/>
      <c r="AC166" s="826"/>
    </row>
    <row r="167" spans="1:33" x14ac:dyDescent="0.25">
      <c r="G167" s="210">
        <f>G103-G166</f>
        <v>0</v>
      </c>
      <c r="N167" s="210">
        <f>400*18%</f>
        <v>72</v>
      </c>
      <c r="R167" s="210">
        <v>17385</v>
      </c>
      <c r="T167" s="854">
        <f>+T9/S9</f>
        <v>0.87939961728086846</v>
      </c>
      <c r="U167" s="854">
        <f>1-T167</f>
        <v>0.12060038271913154</v>
      </c>
      <c r="Y167" s="924">
        <f>Y166/T9</f>
        <v>1.0916143332101957</v>
      </c>
      <c r="Z167" s="924">
        <f>Z166/Y166</f>
        <v>1.0737732656514383</v>
      </c>
      <c r="AA167" s="924">
        <f>AA166/Z166</f>
        <v>1.0909234163252441</v>
      </c>
      <c r="AB167" s="924">
        <f>(Y167*Z167*AA167)^(1/3)</f>
        <v>1.0854055220090784</v>
      </c>
    </row>
    <row r="168" spans="1:33" x14ac:dyDescent="0.25">
      <c r="R168" s="210">
        <f>+R166+R167</f>
        <v>5832075</v>
      </c>
    </row>
    <row r="169" spans="1:33" x14ac:dyDescent="0.25">
      <c r="R169" s="852"/>
      <c r="S169" s="852"/>
      <c r="X169" s="210">
        <v>91</v>
      </c>
      <c r="Z169" s="210">
        <v>108</v>
      </c>
      <c r="AA169" s="210">
        <f>500-101</f>
        <v>399</v>
      </c>
    </row>
    <row r="170" spans="1:33" x14ac:dyDescent="0.25">
      <c r="R170" s="826">
        <v>200000000</v>
      </c>
      <c r="S170" s="826"/>
      <c r="T170" s="826" t="e">
        <f>+R170*#REF!</f>
        <v>#REF!</v>
      </c>
      <c r="U170" s="826"/>
      <c r="Z170" s="210">
        <f>+Z169+X169</f>
        <v>199</v>
      </c>
    </row>
    <row r="171" spans="1:33" x14ac:dyDescent="0.25">
      <c r="R171" s="826">
        <v>41420</v>
      </c>
      <c r="S171" s="826"/>
      <c r="T171" s="210">
        <v>7000000</v>
      </c>
      <c r="Z171" s="210">
        <v>140</v>
      </c>
    </row>
    <row r="172" spans="1:33" x14ac:dyDescent="0.25">
      <c r="R172" s="917">
        <f>R171*5</f>
        <v>207100</v>
      </c>
      <c r="S172" s="917"/>
      <c r="T172" s="852" t="e">
        <f>+T171/T170</f>
        <v>#REF!</v>
      </c>
      <c r="U172" s="852"/>
      <c r="Z172" s="210">
        <f>+Z170+Z171</f>
        <v>339</v>
      </c>
    </row>
    <row r="173" spans="1:33" x14ac:dyDescent="0.25">
      <c r="W173" s="210" t="s">
        <v>1322</v>
      </c>
    </row>
    <row r="174" spans="1:33" x14ac:dyDescent="0.25">
      <c r="V174" s="852" t="e">
        <f>#REF!/#REF!</f>
        <v>#REF!</v>
      </c>
      <c r="W174" s="210">
        <v>1650000</v>
      </c>
      <c r="X174" s="210">
        <f>RANK(W174,$W$174:$W$186,0)</f>
        <v>1</v>
      </c>
      <c r="Z174" s="924">
        <f>W174/$W$187</f>
        <v>0.19219569015725102</v>
      </c>
    </row>
    <row r="175" spans="1:33" x14ac:dyDescent="0.25">
      <c r="V175" s="852" t="e">
        <f>#REF!/#REF!</f>
        <v>#REF!</v>
      </c>
      <c r="W175" s="210">
        <v>770000</v>
      </c>
      <c r="X175" s="210">
        <f t="shared" ref="X175:X186" si="79">RANK(W175,$W$174:$W$186,0)</f>
        <v>4</v>
      </c>
      <c r="Z175" s="924">
        <f t="shared" ref="Z175:Z186" si="80">W175/$W$187</f>
        <v>8.9691322073383803E-2</v>
      </c>
    </row>
    <row r="176" spans="1:33" x14ac:dyDescent="0.25">
      <c r="V176" s="852" t="e">
        <f>#REF!/#REF!</f>
        <v>#REF!</v>
      </c>
      <c r="W176" s="210">
        <v>470000</v>
      </c>
      <c r="X176" s="210">
        <f t="shared" si="79"/>
        <v>7</v>
      </c>
      <c r="Z176" s="924">
        <f t="shared" si="80"/>
        <v>5.4746651135701804E-2</v>
      </c>
    </row>
    <row r="177" spans="22:26" x14ac:dyDescent="0.25">
      <c r="V177" s="852" t="e">
        <f>#REF!/#REF!</f>
        <v>#REF!</v>
      </c>
      <c r="W177" s="210">
        <v>440000</v>
      </c>
      <c r="X177" s="210">
        <f t="shared" si="79"/>
        <v>9</v>
      </c>
      <c r="Z177" s="924">
        <f t="shared" si="80"/>
        <v>5.1252184041933602E-2</v>
      </c>
    </row>
    <row r="178" spans="22:26" x14ac:dyDescent="0.25">
      <c r="V178" s="852" t="e">
        <f>#REF!/#REF!</f>
        <v>#REF!</v>
      </c>
      <c r="W178" s="210">
        <v>465000</v>
      </c>
      <c r="X178" s="210">
        <f t="shared" si="79"/>
        <v>8</v>
      </c>
      <c r="Z178" s="924">
        <f t="shared" si="80"/>
        <v>5.4164239953407106E-2</v>
      </c>
    </row>
    <row r="179" spans="22:26" x14ac:dyDescent="0.25">
      <c r="V179" s="852" t="e">
        <f>#REF!/#REF!</f>
        <v>#REF!</v>
      </c>
      <c r="W179" s="210">
        <v>1000000</v>
      </c>
      <c r="X179" s="210">
        <f t="shared" si="79"/>
        <v>3</v>
      </c>
      <c r="Z179" s="924">
        <f t="shared" si="80"/>
        <v>0.11648223645894001</v>
      </c>
    </row>
    <row r="180" spans="22:26" x14ac:dyDescent="0.25">
      <c r="V180" s="852" t="e">
        <f>#REF!/#REF!</f>
        <v>#REF!</v>
      </c>
      <c r="W180" s="210">
        <v>315000</v>
      </c>
      <c r="X180" s="210">
        <f t="shared" si="79"/>
        <v>13</v>
      </c>
      <c r="Z180" s="924">
        <f t="shared" si="80"/>
        <v>3.6691904484566107E-2</v>
      </c>
    </row>
    <row r="181" spans="22:26" x14ac:dyDescent="0.25">
      <c r="V181" s="852" t="e">
        <f>#REF!/#REF!</f>
        <v>#REF!</v>
      </c>
      <c r="W181" s="210">
        <v>360000</v>
      </c>
      <c r="X181" s="210">
        <f t="shared" si="79"/>
        <v>11</v>
      </c>
      <c r="Z181" s="924">
        <f t="shared" si="80"/>
        <v>4.1933605125218404E-2</v>
      </c>
    </row>
    <row r="182" spans="22:26" x14ac:dyDescent="0.25">
      <c r="V182" s="852" t="e">
        <f>#REF!/#REF!</f>
        <v>#REF!</v>
      </c>
      <c r="W182" s="210">
        <v>620000</v>
      </c>
      <c r="X182" s="210">
        <f t="shared" si="79"/>
        <v>5</v>
      </c>
      <c r="Z182" s="924">
        <f t="shared" si="80"/>
        <v>7.2218986604542804E-2</v>
      </c>
    </row>
    <row r="183" spans="22:26" x14ac:dyDescent="0.25">
      <c r="V183" s="924" t="e">
        <f>#REF!/#REF!</f>
        <v>#REF!</v>
      </c>
      <c r="W183" s="210">
        <v>580000</v>
      </c>
      <c r="X183" s="210">
        <f t="shared" si="79"/>
        <v>6</v>
      </c>
      <c r="Z183" s="924">
        <f t="shared" si="80"/>
        <v>6.7559697146185205E-2</v>
      </c>
    </row>
    <row r="184" spans="22:26" x14ac:dyDescent="0.25">
      <c r="V184" s="852" t="e">
        <f>#REF!/#REF!</f>
        <v>#REF!</v>
      </c>
      <c r="W184" s="210">
        <v>1200000</v>
      </c>
      <c r="X184" s="210">
        <f t="shared" si="79"/>
        <v>2</v>
      </c>
      <c r="Z184" s="924">
        <f t="shared" si="80"/>
        <v>0.13977868375072802</v>
      </c>
    </row>
    <row r="185" spans="22:26" x14ac:dyDescent="0.25">
      <c r="V185" s="852" t="e">
        <f>#REF!/#REF!</f>
        <v>#REF!</v>
      </c>
      <c r="W185" s="210">
        <v>335000</v>
      </c>
      <c r="X185" s="210">
        <f t="shared" si="79"/>
        <v>12</v>
      </c>
      <c r="Z185" s="924">
        <f t="shared" si="80"/>
        <v>3.9021549213744906E-2</v>
      </c>
    </row>
    <row r="186" spans="22:26" x14ac:dyDescent="0.25">
      <c r="V186" s="852" t="e">
        <f>#REF!/#REF!</f>
        <v>#REF!</v>
      </c>
      <c r="W186" s="210">
        <v>380000</v>
      </c>
      <c r="X186" s="210">
        <f t="shared" si="79"/>
        <v>10</v>
      </c>
      <c r="Z186" s="924">
        <f t="shared" si="80"/>
        <v>4.4263249854397203E-2</v>
      </c>
    </row>
    <row r="187" spans="22:26" x14ac:dyDescent="0.25">
      <c r="W187" s="210">
        <f>SUM(W174:W186)</f>
        <v>8585000</v>
      </c>
      <c r="Z187" s="852">
        <f>SUM(Z174:Z186)</f>
        <v>1</v>
      </c>
    </row>
    <row r="188" spans="22:26" x14ac:dyDescent="0.25">
      <c r="W188" s="210">
        <v>71856</v>
      </c>
    </row>
    <row r="189" spans="22:26" x14ac:dyDescent="0.25">
      <c r="W189" s="210">
        <v>18413</v>
      </c>
    </row>
    <row r="190" spans="22:26" x14ac:dyDescent="0.25">
      <c r="W190" s="210">
        <f>+W188+W189</f>
        <v>90269</v>
      </c>
      <c r="X190" s="210">
        <v>90910</v>
      </c>
    </row>
    <row r="191" spans="22:26" x14ac:dyDescent="0.25">
      <c r="X191" s="210">
        <v>213</v>
      </c>
    </row>
    <row r="192" spans="22:26" x14ac:dyDescent="0.25">
      <c r="X192" s="826">
        <f>+X191*X190</f>
        <v>19363830</v>
      </c>
      <c r="Y192" s="826"/>
    </row>
    <row r="193" spans="24:25" x14ac:dyDescent="0.25">
      <c r="X193" s="210">
        <v>7000000</v>
      </c>
    </row>
    <row r="194" spans="24:25" x14ac:dyDescent="0.25">
      <c r="X194" s="852">
        <f>+X193/X192</f>
        <v>0.36149873243051606</v>
      </c>
      <c r="Y194" s="852"/>
    </row>
  </sheetData>
  <mergeCells count="34">
    <mergeCell ref="AF3:AF5"/>
    <mergeCell ref="AG3:AG5"/>
    <mergeCell ref="Z3:Z5"/>
    <mergeCell ref="AA3:AA5"/>
    <mergeCell ref="AB3:AB5"/>
    <mergeCell ref="AC3:AC5"/>
    <mergeCell ref="AD3:AD5"/>
    <mergeCell ref="AE3:AE5"/>
    <mergeCell ref="Y3:Y5"/>
    <mergeCell ref="P3:P5"/>
    <mergeCell ref="Q3:Q5"/>
    <mergeCell ref="R3:R5"/>
    <mergeCell ref="S3:S5"/>
    <mergeCell ref="T3:T5"/>
    <mergeCell ref="U3:U5"/>
    <mergeCell ref="V3:V5"/>
    <mergeCell ref="W3:W5"/>
    <mergeCell ref="X3:X5"/>
    <mergeCell ref="O3:O5"/>
    <mergeCell ref="A1:AF1"/>
    <mergeCell ref="A3:A5"/>
    <mergeCell ref="B3:B5"/>
    <mergeCell ref="C3:C5"/>
    <mergeCell ref="D3:D5"/>
    <mergeCell ref="E3:E5"/>
    <mergeCell ref="F3:F5"/>
    <mergeCell ref="G3:G5"/>
    <mergeCell ref="H3:H5"/>
    <mergeCell ref="I3:I5"/>
    <mergeCell ref="J3:J5"/>
    <mergeCell ref="K3:K5"/>
    <mergeCell ref="L3:L5"/>
    <mergeCell ref="M3:M5"/>
    <mergeCell ref="N3:N5"/>
  </mergeCells>
  <pageMargins left="0" right="0" top="0" bottom="0" header="0" footer="0"/>
  <pageSetup paperSize="9" scale="70" orientation="landscape"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8"/>
    <pageSetUpPr fitToPage="1"/>
  </sheetPr>
  <dimension ref="A1:DB59"/>
  <sheetViews>
    <sheetView zoomScaleNormal="100" workbookViewId="0">
      <pane xSplit="3" ySplit="7" topLeftCell="D8" activePane="bottomRight" state="frozen"/>
      <selection activeCell="D13" sqref="D13"/>
      <selection pane="topRight" activeCell="D13" sqref="D13"/>
      <selection pane="bottomLeft" activeCell="D13" sqref="D13"/>
      <selection pane="bottomRight" activeCell="D13" sqref="D13"/>
    </sheetView>
  </sheetViews>
  <sheetFormatPr defaultRowHeight="12.75" x14ac:dyDescent="0.2"/>
  <cols>
    <col min="1" max="1" width="4.375" style="321" bestFit="1" customWidth="1"/>
    <col min="2" max="2" width="43.125" style="321" customWidth="1"/>
    <col min="3" max="3" width="10.625" style="351" customWidth="1"/>
    <col min="4" max="8" width="10.625" style="321" customWidth="1"/>
    <col min="9" max="10" width="8.625" style="321" customWidth="1"/>
    <col min="11" max="16" width="10.625" style="321" customWidth="1"/>
    <col min="17" max="18" width="8.625" style="321" customWidth="1"/>
    <col min="19" max="24" width="10.625" style="321" customWidth="1"/>
    <col min="25" max="26" width="8.625" style="321" customWidth="1"/>
    <col min="27" max="32" width="10.625" style="321" customWidth="1"/>
    <col min="33" max="34" width="8.625" style="321" customWidth="1"/>
    <col min="35" max="40" width="10.625" style="321" customWidth="1"/>
    <col min="41" max="42" width="8.625" style="321" customWidth="1"/>
    <col min="43" max="48" width="10.625" style="321" customWidth="1"/>
    <col min="49" max="50" width="8.625" style="321" customWidth="1"/>
    <col min="51" max="56" width="10.625" style="321" customWidth="1"/>
    <col min="57" max="58" width="8.625" style="321" customWidth="1"/>
    <col min="59" max="64" width="10.625" style="321" customWidth="1"/>
    <col min="65" max="66" width="8.625" style="321" customWidth="1"/>
    <col min="67" max="72" width="10.625" style="321" customWidth="1"/>
    <col min="73" max="74" width="8.625" style="321" customWidth="1"/>
    <col min="75" max="80" width="10.625" style="321" customWidth="1"/>
    <col min="81" max="82" width="8.625" style="321" customWidth="1"/>
    <col min="83" max="88" width="10.625" style="321" customWidth="1"/>
    <col min="89" max="90" width="8.625" style="321" customWidth="1"/>
    <col min="91" max="96" width="10.625" style="321" customWidth="1"/>
    <col min="97" max="98" width="8.625" style="321" customWidth="1"/>
    <col min="99" max="104" width="10.625" style="321" customWidth="1"/>
    <col min="105" max="106" width="8.625" style="321" customWidth="1"/>
    <col min="107" max="16384" width="9" style="321"/>
  </cols>
  <sheetData>
    <row r="1" spans="1:106" ht="22.5" customHeight="1" x14ac:dyDescent="0.2">
      <c r="C1" s="322" t="s">
        <v>1541</v>
      </c>
      <c r="D1" s="322"/>
      <c r="E1" s="322"/>
      <c r="F1" s="322"/>
      <c r="G1" s="323"/>
      <c r="H1" s="323"/>
      <c r="I1" s="323"/>
      <c r="J1" s="323"/>
      <c r="K1" s="322" t="s">
        <v>1541</v>
      </c>
      <c r="L1" s="322"/>
      <c r="M1" s="324"/>
      <c r="N1" s="324"/>
      <c r="O1" s="324"/>
      <c r="P1" s="324"/>
      <c r="Q1" s="324"/>
      <c r="R1" s="324"/>
      <c r="S1" s="322" t="s">
        <v>1541</v>
      </c>
      <c r="T1" s="322"/>
      <c r="U1" s="324"/>
      <c r="V1" s="324"/>
      <c r="W1" s="324"/>
      <c r="X1" s="324"/>
      <c r="Y1" s="324"/>
      <c r="Z1" s="324"/>
      <c r="AA1" s="322" t="s">
        <v>1541</v>
      </c>
      <c r="AB1" s="323"/>
      <c r="AC1" s="323"/>
      <c r="AD1" s="323"/>
      <c r="AE1" s="323"/>
      <c r="AF1" s="323"/>
      <c r="AG1" s="323"/>
      <c r="AH1" s="323"/>
      <c r="AI1" s="322" t="s">
        <v>1541</v>
      </c>
      <c r="AJ1" s="323"/>
      <c r="AK1" s="323"/>
      <c r="AL1" s="323"/>
      <c r="AM1" s="323"/>
      <c r="AN1" s="323"/>
      <c r="AO1" s="323"/>
      <c r="AP1" s="323"/>
      <c r="AQ1" s="322" t="s">
        <v>1541</v>
      </c>
      <c r="AR1" s="323"/>
      <c r="AS1" s="323"/>
      <c r="AT1" s="323"/>
      <c r="AU1" s="323"/>
      <c r="AV1" s="323"/>
      <c r="AW1" s="323"/>
      <c r="AX1" s="323"/>
      <c r="AY1" s="322" t="s">
        <v>1541</v>
      </c>
      <c r="AZ1" s="323"/>
      <c r="BA1" s="323"/>
      <c r="BB1" s="323"/>
      <c r="BC1" s="323"/>
      <c r="BD1" s="323"/>
      <c r="BE1" s="323"/>
      <c r="BF1" s="323"/>
      <c r="BG1" s="322" t="s">
        <v>1541</v>
      </c>
      <c r="BH1" s="323"/>
      <c r="BI1" s="323"/>
      <c r="BJ1" s="323"/>
      <c r="BK1" s="323"/>
      <c r="BL1" s="323"/>
      <c r="BM1" s="323"/>
      <c r="BN1" s="323"/>
      <c r="BO1" s="322" t="s">
        <v>1541</v>
      </c>
      <c r="BP1" s="323"/>
      <c r="BQ1" s="323"/>
      <c r="BR1" s="323"/>
      <c r="BS1" s="323"/>
      <c r="BT1" s="323"/>
      <c r="BU1" s="323"/>
      <c r="BV1" s="323"/>
      <c r="BW1" s="322" t="s">
        <v>1541</v>
      </c>
      <c r="BX1" s="323"/>
      <c r="BY1" s="323"/>
      <c r="BZ1" s="323"/>
      <c r="CA1" s="323"/>
      <c r="CB1" s="323"/>
      <c r="CC1" s="323"/>
      <c r="CD1" s="323"/>
      <c r="CE1" s="322" t="s">
        <v>1541</v>
      </c>
      <c r="CF1" s="323"/>
      <c r="CG1" s="323"/>
      <c r="CH1" s="323"/>
      <c r="CI1" s="323"/>
      <c r="CJ1" s="323"/>
      <c r="CK1" s="323"/>
      <c r="CL1" s="323"/>
      <c r="CM1" s="322" t="s">
        <v>1541</v>
      </c>
      <c r="CN1" s="323"/>
      <c r="CO1" s="323"/>
      <c r="CP1" s="323"/>
      <c r="CQ1" s="323"/>
      <c r="CR1" s="323"/>
      <c r="CS1" s="323"/>
      <c r="CT1" s="323"/>
      <c r="CU1" s="322" t="s">
        <v>1541</v>
      </c>
      <c r="CV1" s="323"/>
      <c r="CW1" s="323"/>
      <c r="CX1" s="323"/>
      <c r="CY1" s="323"/>
      <c r="CZ1" s="323"/>
      <c r="DA1" s="323"/>
      <c r="DB1" s="323"/>
    </row>
    <row r="2" spans="1:106" s="325" customFormat="1" ht="18" customHeight="1" thickBot="1" x14ac:dyDescent="0.25">
      <c r="B2" s="326"/>
      <c r="C2" s="327"/>
      <c r="D2" s="326"/>
      <c r="E2" s="326"/>
      <c r="F2" s="326"/>
      <c r="G2" s="326"/>
      <c r="H2" s="326"/>
      <c r="J2" s="328" t="s">
        <v>516</v>
      </c>
      <c r="Q2" s="328"/>
      <c r="R2" s="328" t="s">
        <v>516</v>
      </c>
      <c r="Y2" s="328"/>
      <c r="Z2" s="328" t="s">
        <v>516</v>
      </c>
      <c r="AG2" s="328"/>
      <c r="AH2" s="328" t="s">
        <v>516</v>
      </c>
      <c r="AO2" s="328"/>
      <c r="AP2" s="328" t="s">
        <v>516</v>
      </c>
      <c r="AW2" s="328"/>
      <c r="AX2" s="328" t="s">
        <v>516</v>
      </c>
      <c r="BE2" s="328"/>
      <c r="BF2" s="328" t="s">
        <v>516</v>
      </c>
      <c r="BM2" s="328"/>
      <c r="BN2" s="328" t="s">
        <v>516</v>
      </c>
      <c r="BU2" s="328"/>
      <c r="BV2" s="328" t="s">
        <v>516</v>
      </c>
      <c r="CC2" s="328"/>
      <c r="CD2" s="328" t="s">
        <v>516</v>
      </c>
      <c r="CK2" s="328"/>
      <c r="CL2" s="328" t="s">
        <v>516</v>
      </c>
      <c r="CS2" s="328"/>
      <c r="CT2" s="328" t="s">
        <v>516</v>
      </c>
      <c r="DB2" s="328" t="s">
        <v>516</v>
      </c>
    </row>
    <row r="3" spans="1:106" s="329" customFormat="1" ht="21" customHeight="1" x14ac:dyDescent="0.25">
      <c r="A3" s="1504" t="s">
        <v>519</v>
      </c>
      <c r="B3" s="1506" t="s">
        <v>357</v>
      </c>
      <c r="C3" s="1500" t="s">
        <v>520</v>
      </c>
      <c r="D3" s="1501"/>
      <c r="E3" s="1501"/>
      <c r="F3" s="1501"/>
      <c r="G3" s="1501"/>
      <c r="H3" s="1501"/>
      <c r="I3" s="1501"/>
      <c r="J3" s="1502"/>
      <c r="K3" s="1500" t="s">
        <v>550</v>
      </c>
      <c r="L3" s="1501"/>
      <c r="M3" s="1501"/>
      <c r="N3" s="1501"/>
      <c r="O3" s="1501"/>
      <c r="P3" s="1501"/>
      <c r="Q3" s="1501"/>
      <c r="R3" s="1502"/>
      <c r="S3" s="1500" t="s">
        <v>1519</v>
      </c>
      <c r="T3" s="1501"/>
      <c r="U3" s="1501"/>
      <c r="V3" s="1501"/>
      <c r="W3" s="1501"/>
      <c r="X3" s="1501"/>
      <c r="Y3" s="1501"/>
      <c r="Z3" s="1502"/>
      <c r="AA3" s="1500" t="s">
        <v>551</v>
      </c>
      <c r="AB3" s="1501"/>
      <c r="AC3" s="1501"/>
      <c r="AD3" s="1501"/>
      <c r="AE3" s="1501"/>
      <c r="AF3" s="1501"/>
      <c r="AG3" s="1501"/>
      <c r="AH3" s="1502"/>
      <c r="AI3" s="1500" t="s">
        <v>552</v>
      </c>
      <c r="AJ3" s="1501"/>
      <c r="AK3" s="1501"/>
      <c r="AL3" s="1501"/>
      <c r="AM3" s="1501"/>
      <c r="AN3" s="1501"/>
      <c r="AO3" s="1501"/>
      <c r="AP3" s="1502"/>
      <c r="AQ3" s="1500" t="s">
        <v>358</v>
      </c>
      <c r="AR3" s="1501"/>
      <c r="AS3" s="1501"/>
      <c r="AT3" s="1501"/>
      <c r="AU3" s="1501"/>
      <c r="AV3" s="1501"/>
      <c r="AW3" s="1501"/>
      <c r="AX3" s="1502"/>
      <c r="AY3" s="1500" t="s">
        <v>1520</v>
      </c>
      <c r="AZ3" s="1501"/>
      <c r="BA3" s="1501"/>
      <c r="BB3" s="1501"/>
      <c r="BC3" s="1501"/>
      <c r="BD3" s="1501"/>
      <c r="BE3" s="1501"/>
      <c r="BF3" s="1502"/>
      <c r="BG3" s="1500" t="s">
        <v>359</v>
      </c>
      <c r="BH3" s="1501"/>
      <c r="BI3" s="1501"/>
      <c r="BJ3" s="1501"/>
      <c r="BK3" s="1501"/>
      <c r="BL3" s="1501"/>
      <c r="BM3" s="1501"/>
      <c r="BN3" s="1502"/>
      <c r="BO3" s="1500" t="s">
        <v>556</v>
      </c>
      <c r="BP3" s="1501"/>
      <c r="BQ3" s="1501"/>
      <c r="BR3" s="1501"/>
      <c r="BS3" s="1501"/>
      <c r="BT3" s="1501"/>
      <c r="BU3" s="1501"/>
      <c r="BV3" s="1502"/>
      <c r="BW3" s="1500" t="s">
        <v>557</v>
      </c>
      <c r="BX3" s="1501"/>
      <c r="BY3" s="1501"/>
      <c r="BZ3" s="1501"/>
      <c r="CA3" s="1501"/>
      <c r="CB3" s="1501"/>
      <c r="CC3" s="1501"/>
      <c r="CD3" s="1502"/>
      <c r="CE3" s="1500" t="s">
        <v>558</v>
      </c>
      <c r="CF3" s="1501"/>
      <c r="CG3" s="1501"/>
      <c r="CH3" s="1501"/>
      <c r="CI3" s="1501"/>
      <c r="CJ3" s="1501"/>
      <c r="CK3" s="1501"/>
      <c r="CL3" s="1502"/>
      <c r="CM3" s="1500" t="s">
        <v>1521</v>
      </c>
      <c r="CN3" s="1501"/>
      <c r="CO3" s="1501"/>
      <c r="CP3" s="1501"/>
      <c r="CQ3" s="1501"/>
      <c r="CR3" s="1501"/>
      <c r="CS3" s="1501"/>
      <c r="CT3" s="1502"/>
      <c r="CU3" s="1500" t="s">
        <v>559</v>
      </c>
      <c r="CV3" s="1501"/>
      <c r="CW3" s="1501"/>
      <c r="CX3" s="1501"/>
      <c r="CY3" s="1501"/>
      <c r="CZ3" s="1501"/>
      <c r="DA3" s="1501"/>
      <c r="DB3" s="1503"/>
    </row>
    <row r="4" spans="1:106" s="330" customFormat="1" ht="24.95" customHeight="1" x14ac:dyDescent="0.25">
      <c r="A4" s="1505"/>
      <c r="B4" s="1507"/>
      <c r="C4" s="1495" t="s">
        <v>905</v>
      </c>
      <c r="D4" s="1496"/>
      <c r="E4" s="1497"/>
      <c r="F4" s="1495" t="s">
        <v>1405</v>
      </c>
      <c r="G4" s="1496"/>
      <c r="H4" s="1497"/>
      <c r="I4" s="1498" t="s">
        <v>1406</v>
      </c>
      <c r="J4" s="1498" t="s">
        <v>1407</v>
      </c>
      <c r="K4" s="1495" t="s">
        <v>905</v>
      </c>
      <c r="L4" s="1496"/>
      <c r="M4" s="1497"/>
      <c r="N4" s="1495" t="s">
        <v>1405</v>
      </c>
      <c r="O4" s="1496"/>
      <c r="P4" s="1497"/>
      <c r="Q4" s="1498" t="s">
        <v>1406</v>
      </c>
      <c r="R4" s="1498" t="s">
        <v>1407</v>
      </c>
      <c r="S4" s="1495" t="s">
        <v>905</v>
      </c>
      <c r="T4" s="1496"/>
      <c r="U4" s="1497"/>
      <c r="V4" s="1495" t="s">
        <v>1405</v>
      </c>
      <c r="W4" s="1496"/>
      <c r="X4" s="1497"/>
      <c r="Y4" s="1498" t="s">
        <v>1406</v>
      </c>
      <c r="Z4" s="1498" t="s">
        <v>1407</v>
      </c>
      <c r="AA4" s="1495" t="s">
        <v>905</v>
      </c>
      <c r="AB4" s="1496"/>
      <c r="AC4" s="1497"/>
      <c r="AD4" s="1495" t="s">
        <v>1405</v>
      </c>
      <c r="AE4" s="1496"/>
      <c r="AF4" s="1497"/>
      <c r="AG4" s="1498" t="s">
        <v>1406</v>
      </c>
      <c r="AH4" s="1498" t="s">
        <v>1407</v>
      </c>
      <c r="AI4" s="1495" t="s">
        <v>905</v>
      </c>
      <c r="AJ4" s="1496"/>
      <c r="AK4" s="1497"/>
      <c r="AL4" s="1495" t="s">
        <v>1405</v>
      </c>
      <c r="AM4" s="1496"/>
      <c r="AN4" s="1497"/>
      <c r="AO4" s="1498" t="s">
        <v>1406</v>
      </c>
      <c r="AP4" s="1498" t="s">
        <v>1407</v>
      </c>
      <c r="AQ4" s="1495" t="s">
        <v>905</v>
      </c>
      <c r="AR4" s="1496"/>
      <c r="AS4" s="1497"/>
      <c r="AT4" s="1495" t="s">
        <v>1405</v>
      </c>
      <c r="AU4" s="1496"/>
      <c r="AV4" s="1497"/>
      <c r="AW4" s="1498" t="s">
        <v>1406</v>
      </c>
      <c r="AX4" s="1498" t="s">
        <v>1407</v>
      </c>
      <c r="AY4" s="1495" t="s">
        <v>905</v>
      </c>
      <c r="AZ4" s="1496"/>
      <c r="BA4" s="1497"/>
      <c r="BB4" s="1495" t="s">
        <v>1405</v>
      </c>
      <c r="BC4" s="1496"/>
      <c r="BD4" s="1497"/>
      <c r="BE4" s="1498" t="s">
        <v>1406</v>
      </c>
      <c r="BF4" s="1498" t="s">
        <v>1407</v>
      </c>
      <c r="BG4" s="1495" t="s">
        <v>905</v>
      </c>
      <c r="BH4" s="1496"/>
      <c r="BI4" s="1497"/>
      <c r="BJ4" s="1495" t="s">
        <v>1405</v>
      </c>
      <c r="BK4" s="1496"/>
      <c r="BL4" s="1497"/>
      <c r="BM4" s="1498" t="s">
        <v>1406</v>
      </c>
      <c r="BN4" s="1498" t="s">
        <v>1407</v>
      </c>
      <c r="BO4" s="1495" t="s">
        <v>905</v>
      </c>
      <c r="BP4" s="1496"/>
      <c r="BQ4" s="1497"/>
      <c r="BR4" s="1495" t="s">
        <v>1405</v>
      </c>
      <c r="BS4" s="1496"/>
      <c r="BT4" s="1497"/>
      <c r="BU4" s="1498" t="s">
        <v>1406</v>
      </c>
      <c r="BV4" s="1498" t="s">
        <v>1407</v>
      </c>
      <c r="BW4" s="1495" t="s">
        <v>905</v>
      </c>
      <c r="BX4" s="1496"/>
      <c r="BY4" s="1497"/>
      <c r="BZ4" s="1495" t="s">
        <v>1405</v>
      </c>
      <c r="CA4" s="1496"/>
      <c r="CB4" s="1497"/>
      <c r="CC4" s="1498" t="s">
        <v>1406</v>
      </c>
      <c r="CD4" s="1498" t="s">
        <v>1407</v>
      </c>
      <c r="CE4" s="1495" t="s">
        <v>905</v>
      </c>
      <c r="CF4" s="1496"/>
      <c r="CG4" s="1497"/>
      <c r="CH4" s="1495" t="s">
        <v>1405</v>
      </c>
      <c r="CI4" s="1496"/>
      <c r="CJ4" s="1497"/>
      <c r="CK4" s="1498" t="s">
        <v>1406</v>
      </c>
      <c r="CL4" s="1498" t="s">
        <v>1407</v>
      </c>
      <c r="CM4" s="1495" t="s">
        <v>905</v>
      </c>
      <c r="CN4" s="1496"/>
      <c r="CO4" s="1497"/>
      <c r="CP4" s="1495" t="s">
        <v>1405</v>
      </c>
      <c r="CQ4" s="1496"/>
      <c r="CR4" s="1497"/>
      <c r="CS4" s="1498" t="s">
        <v>1406</v>
      </c>
      <c r="CT4" s="1498" t="s">
        <v>1407</v>
      </c>
      <c r="CU4" s="1495" t="s">
        <v>905</v>
      </c>
      <c r="CV4" s="1496"/>
      <c r="CW4" s="1497"/>
      <c r="CX4" s="1495" t="s">
        <v>1405</v>
      </c>
      <c r="CY4" s="1496"/>
      <c r="CZ4" s="1497"/>
      <c r="DA4" s="1498" t="s">
        <v>1406</v>
      </c>
      <c r="DB4" s="1498" t="s">
        <v>1407</v>
      </c>
    </row>
    <row r="5" spans="1:106" s="330" customFormat="1" ht="116.25" customHeight="1" x14ac:dyDescent="0.25">
      <c r="A5" s="1505"/>
      <c r="B5" s="1507"/>
      <c r="C5" s="331" t="s">
        <v>582</v>
      </c>
      <c r="D5" s="331" t="s">
        <v>1474</v>
      </c>
      <c r="E5" s="331" t="s">
        <v>1384</v>
      </c>
      <c r="F5" s="331" t="s">
        <v>583</v>
      </c>
      <c r="G5" s="331" t="s">
        <v>1490</v>
      </c>
      <c r="H5" s="331" t="s">
        <v>1475</v>
      </c>
      <c r="I5" s="1499"/>
      <c r="J5" s="1499"/>
      <c r="K5" s="331" t="s">
        <v>582</v>
      </c>
      <c r="L5" s="331" t="s">
        <v>1474</v>
      </c>
      <c r="M5" s="331" t="s">
        <v>1384</v>
      </c>
      <c r="N5" s="331" t="s">
        <v>583</v>
      </c>
      <c r="O5" s="331" t="s">
        <v>1490</v>
      </c>
      <c r="P5" s="331" t="s">
        <v>1475</v>
      </c>
      <c r="Q5" s="1499"/>
      <c r="R5" s="1499"/>
      <c r="S5" s="331" t="s">
        <v>582</v>
      </c>
      <c r="T5" s="331" t="s">
        <v>1474</v>
      </c>
      <c r="U5" s="331" t="s">
        <v>1384</v>
      </c>
      <c r="V5" s="331" t="s">
        <v>583</v>
      </c>
      <c r="W5" s="331" t="s">
        <v>1490</v>
      </c>
      <c r="X5" s="331" t="s">
        <v>1475</v>
      </c>
      <c r="Y5" s="1499"/>
      <c r="Z5" s="1499"/>
      <c r="AA5" s="331" t="s">
        <v>582</v>
      </c>
      <c r="AB5" s="331" t="s">
        <v>1474</v>
      </c>
      <c r="AC5" s="331" t="s">
        <v>1384</v>
      </c>
      <c r="AD5" s="331" t="s">
        <v>583</v>
      </c>
      <c r="AE5" s="331" t="s">
        <v>1490</v>
      </c>
      <c r="AF5" s="331" t="s">
        <v>1475</v>
      </c>
      <c r="AG5" s="1499"/>
      <c r="AH5" s="1499"/>
      <c r="AI5" s="331" t="s">
        <v>582</v>
      </c>
      <c r="AJ5" s="331" t="s">
        <v>1474</v>
      </c>
      <c r="AK5" s="331" t="s">
        <v>1384</v>
      </c>
      <c r="AL5" s="331" t="s">
        <v>583</v>
      </c>
      <c r="AM5" s="331" t="s">
        <v>1490</v>
      </c>
      <c r="AN5" s="331" t="s">
        <v>1475</v>
      </c>
      <c r="AO5" s="1499"/>
      <c r="AP5" s="1499"/>
      <c r="AQ5" s="331" t="s">
        <v>582</v>
      </c>
      <c r="AR5" s="331" t="s">
        <v>1474</v>
      </c>
      <c r="AS5" s="331" t="s">
        <v>1384</v>
      </c>
      <c r="AT5" s="331" t="s">
        <v>583</v>
      </c>
      <c r="AU5" s="331" t="s">
        <v>1490</v>
      </c>
      <c r="AV5" s="331" t="s">
        <v>1475</v>
      </c>
      <c r="AW5" s="1499"/>
      <c r="AX5" s="1499"/>
      <c r="AY5" s="331" t="s">
        <v>582</v>
      </c>
      <c r="AZ5" s="331" t="s">
        <v>1474</v>
      </c>
      <c r="BA5" s="331" t="s">
        <v>1384</v>
      </c>
      <c r="BB5" s="331" t="s">
        <v>583</v>
      </c>
      <c r="BC5" s="331" t="s">
        <v>1490</v>
      </c>
      <c r="BD5" s="331" t="s">
        <v>1475</v>
      </c>
      <c r="BE5" s="1499"/>
      <c r="BF5" s="1499"/>
      <c r="BG5" s="331" t="s">
        <v>582</v>
      </c>
      <c r="BH5" s="331" t="s">
        <v>1474</v>
      </c>
      <c r="BI5" s="331" t="s">
        <v>1384</v>
      </c>
      <c r="BJ5" s="331" t="s">
        <v>583</v>
      </c>
      <c r="BK5" s="331" t="s">
        <v>1490</v>
      </c>
      <c r="BL5" s="331" t="s">
        <v>1475</v>
      </c>
      <c r="BM5" s="1499"/>
      <c r="BN5" s="1499"/>
      <c r="BO5" s="331" t="s">
        <v>582</v>
      </c>
      <c r="BP5" s="331" t="s">
        <v>1474</v>
      </c>
      <c r="BQ5" s="331" t="s">
        <v>1384</v>
      </c>
      <c r="BR5" s="331" t="s">
        <v>583</v>
      </c>
      <c r="BS5" s="331" t="s">
        <v>1490</v>
      </c>
      <c r="BT5" s="331" t="s">
        <v>1475</v>
      </c>
      <c r="BU5" s="1499"/>
      <c r="BV5" s="1499"/>
      <c r="BW5" s="331" t="s">
        <v>582</v>
      </c>
      <c r="BX5" s="331" t="s">
        <v>1474</v>
      </c>
      <c r="BY5" s="331" t="s">
        <v>1384</v>
      </c>
      <c r="BZ5" s="331" t="s">
        <v>583</v>
      </c>
      <c r="CA5" s="331" t="s">
        <v>1490</v>
      </c>
      <c r="CB5" s="331" t="s">
        <v>1475</v>
      </c>
      <c r="CC5" s="1499"/>
      <c r="CD5" s="1499"/>
      <c r="CE5" s="331" t="s">
        <v>582</v>
      </c>
      <c r="CF5" s="331" t="s">
        <v>1474</v>
      </c>
      <c r="CG5" s="331" t="s">
        <v>1384</v>
      </c>
      <c r="CH5" s="331" t="s">
        <v>583</v>
      </c>
      <c r="CI5" s="331" t="s">
        <v>1490</v>
      </c>
      <c r="CJ5" s="331" t="s">
        <v>1475</v>
      </c>
      <c r="CK5" s="1499"/>
      <c r="CL5" s="1499"/>
      <c r="CM5" s="331" t="s">
        <v>582</v>
      </c>
      <c r="CN5" s="331" t="s">
        <v>1474</v>
      </c>
      <c r="CO5" s="331" t="s">
        <v>1384</v>
      </c>
      <c r="CP5" s="331" t="s">
        <v>583</v>
      </c>
      <c r="CQ5" s="331" t="s">
        <v>1490</v>
      </c>
      <c r="CR5" s="331" t="s">
        <v>1475</v>
      </c>
      <c r="CS5" s="1499"/>
      <c r="CT5" s="1499"/>
      <c r="CU5" s="331" t="s">
        <v>582</v>
      </c>
      <c r="CV5" s="331" t="s">
        <v>1474</v>
      </c>
      <c r="CW5" s="331" t="s">
        <v>1384</v>
      </c>
      <c r="CX5" s="331" t="s">
        <v>583</v>
      </c>
      <c r="CY5" s="331" t="s">
        <v>1490</v>
      </c>
      <c r="CZ5" s="331" t="s">
        <v>1475</v>
      </c>
      <c r="DA5" s="1499"/>
      <c r="DB5" s="1499"/>
    </row>
    <row r="6" spans="1:106" s="335" customFormat="1" x14ac:dyDescent="0.2">
      <c r="A6" s="332" t="s">
        <v>407</v>
      </c>
      <c r="B6" s="333" t="s">
        <v>422</v>
      </c>
      <c r="C6" s="334">
        <v>1</v>
      </c>
      <c r="D6" s="334">
        <f>C6+1</f>
        <v>2</v>
      </c>
      <c r="E6" s="334">
        <v>3</v>
      </c>
      <c r="F6" s="334">
        <v>4</v>
      </c>
      <c r="G6" s="334">
        <v>5</v>
      </c>
      <c r="H6" s="334">
        <v>6</v>
      </c>
      <c r="I6" s="333" t="s">
        <v>636</v>
      </c>
      <c r="J6" s="333" t="s">
        <v>637</v>
      </c>
      <c r="K6" s="334">
        <v>1</v>
      </c>
      <c r="L6" s="334">
        <f>K6+1</f>
        <v>2</v>
      </c>
      <c r="M6" s="334">
        <v>3</v>
      </c>
      <c r="N6" s="334">
        <v>4</v>
      </c>
      <c r="O6" s="334">
        <v>5</v>
      </c>
      <c r="P6" s="334">
        <v>6</v>
      </c>
      <c r="Q6" s="333" t="s">
        <v>636</v>
      </c>
      <c r="R6" s="333" t="s">
        <v>637</v>
      </c>
      <c r="S6" s="334">
        <v>1</v>
      </c>
      <c r="T6" s="334">
        <f>S6+1</f>
        <v>2</v>
      </c>
      <c r="U6" s="334">
        <v>3</v>
      </c>
      <c r="V6" s="334">
        <v>4</v>
      </c>
      <c r="W6" s="334">
        <v>5</v>
      </c>
      <c r="X6" s="334">
        <v>6</v>
      </c>
      <c r="Y6" s="333" t="s">
        <v>636</v>
      </c>
      <c r="Z6" s="333" t="s">
        <v>637</v>
      </c>
      <c r="AA6" s="334">
        <v>1</v>
      </c>
      <c r="AB6" s="334">
        <f>AA6+1</f>
        <v>2</v>
      </c>
      <c r="AC6" s="334">
        <v>3</v>
      </c>
      <c r="AD6" s="334">
        <v>4</v>
      </c>
      <c r="AE6" s="334">
        <v>5</v>
      </c>
      <c r="AF6" s="334">
        <v>6</v>
      </c>
      <c r="AG6" s="333" t="s">
        <v>636</v>
      </c>
      <c r="AH6" s="333" t="s">
        <v>637</v>
      </c>
      <c r="AI6" s="334">
        <v>1</v>
      </c>
      <c r="AJ6" s="334">
        <f>AI6+1</f>
        <v>2</v>
      </c>
      <c r="AK6" s="334">
        <v>3</v>
      </c>
      <c r="AL6" s="334">
        <v>4</v>
      </c>
      <c r="AM6" s="334">
        <v>5</v>
      </c>
      <c r="AN6" s="334">
        <v>6</v>
      </c>
      <c r="AO6" s="333" t="s">
        <v>636</v>
      </c>
      <c r="AP6" s="333" t="s">
        <v>637</v>
      </c>
      <c r="AQ6" s="334">
        <v>1</v>
      </c>
      <c r="AR6" s="334">
        <f>AQ6+1</f>
        <v>2</v>
      </c>
      <c r="AS6" s="334">
        <v>3</v>
      </c>
      <c r="AT6" s="334">
        <v>4</v>
      </c>
      <c r="AU6" s="334">
        <v>5</v>
      </c>
      <c r="AV6" s="334">
        <v>6</v>
      </c>
      <c r="AW6" s="333" t="s">
        <v>636</v>
      </c>
      <c r="AX6" s="333" t="s">
        <v>637</v>
      </c>
      <c r="AY6" s="334">
        <v>1</v>
      </c>
      <c r="AZ6" s="334">
        <f>AY6+1</f>
        <v>2</v>
      </c>
      <c r="BA6" s="334">
        <v>3</v>
      </c>
      <c r="BB6" s="334">
        <v>4</v>
      </c>
      <c r="BC6" s="334">
        <v>5</v>
      </c>
      <c r="BD6" s="334">
        <v>6</v>
      </c>
      <c r="BE6" s="333" t="s">
        <v>636</v>
      </c>
      <c r="BF6" s="333" t="s">
        <v>637</v>
      </c>
      <c r="BG6" s="334">
        <v>1</v>
      </c>
      <c r="BH6" s="334">
        <f>BG6+1</f>
        <v>2</v>
      </c>
      <c r="BI6" s="334">
        <v>3</v>
      </c>
      <c r="BJ6" s="334">
        <v>4</v>
      </c>
      <c r="BK6" s="334">
        <v>5</v>
      </c>
      <c r="BL6" s="334">
        <v>6</v>
      </c>
      <c r="BM6" s="333" t="s">
        <v>636</v>
      </c>
      <c r="BN6" s="333" t="s">
        <v>637</v>
      </c>
      <c r="BO6" s="334">
        <v>1</v>
      </c>
      <c r="BP6" s="334">
        <f>BO6+1</f>
        <v>2</v>
      </c>
      <c r="BQ6" s="334">
        <v>3</v>
      </c>
      <c r="BR6" s="334">
        <v>4</v>
      </c>
      <c r="BS6" s="334">
        <v>5</v>
      </c>
      <c r="BT6" s="334">
        <v>6</v>
      </c>
      <c r="BU6" s="333" t="s">
        <v>636</v>
      </c>
      <c r="BV6" s="333" t="s">
        <v>637</v>
      </c>
      <c r="BW6" s="334">
        <v>1</v>
      </c>
      <c r="BX6" s="334">
        <f>BW6+1</f>
        <v>2</v>
      </c>
      <c r="BY6" s="334">
        <v>3</v>
      </c>
      <c r="BZ6" s="334">
        <v>4</v>
      </c>
      <c r="CA6" s="334">
        <v>5</v>
      </c>
      <c r="CB6" s="334">
        <v>6</v>
      </c>
      <c r="CC6" s="333" t="s">
        <v>636</v>
      </c>
      <c r="CD6" s="333" t="s">
        <v>637</v>
      </c>
      <c r="CE6" s="334">
        <v>1</v>
      </c>
      <c r="CF6" s="334">
        <f>CE6+1</f>
        <v>2</v>
      </c>
      <c r="CG6" s="334">
        <v>3</v>
      </c>
      <c r="CH6" s="334">
        <v>4</v>
      </c>
      <c r="CI6" s="334">
        <v>5</v>
      </c>
      <c r="CJ6" s="334">
        <v>6</v>
      </c>
      <c r="CK6" s="333" t="s">
        <v>636</v>
      </c>
      <c r="CL6" s="333" t="s">
        <v>637</v>
      </c>
      <c r="CM6" s="334">
        <v>1</v>
      </c>
      <c r="CN6" s="334">
        <f>CM6+1</f>
        <v>2</v>
      </c>
      <c r="CO6" s="334">
        <v>3</v>
      </c>
      <c r="CP6" s="334">
        <v>4</v>
      </c>
      <c r="CQ6" s="334">
        <v>5</v>
      </c>
      <c r="CR6" s="334">
        <v>6</v>
      </c>
      <c r="CS6" s="333" t="s">
        <v>636</v>
      </c>
      <c r="CT6" s="333" t="s">
        <v>637</v>
      </c>
      <c r="CU6" s="334">
        <v>1</v>
      </c>
      <c r="CV6" s="334">
        <f>CU6+1</f>
        <v>2</v>
      </c>
      <c r="CW6" s="334">
        <v>3</v>
      </c>
      <c r="CX6" s="334">
        <v>4</v>
      </c>
      <c r="CY6" s="334">
        <v>5</v>
      </c>
      <c r="CZ6" s="334">
        <v>6</v>
      </c>
      <c r="DA6" s="333" t="s">
        <v>636</v>
      </c>
      <c r="DB6" s="333" t="s">
        <v>637</v>
      </c>
    </row>
    <row r="7" spans="1:106" s="338" customFormat="1" ht="18.95" customHeight="1" x14ac:dyDescent="0.2">
      <c r="A7" s="336" t="s">
        <v>409</v>
      </c>
      <c r="B7" s="337" t="s">
        <v>1548</v>
      </c>
      <c r="C7" s="562">
        <f t="shared" ref="C7:H7" si="0">SUM(C8,C10,C11,C15,C16,C17,C18,C19,C20,C21,C22,C24,C25)</f>
        <v>7059294</v>
      </c>
      <c r="D7" s="562">
        <f t="shared" si="0"/>
        <v>0</v>
      </c>
      <c r="E7" s="562">
        <f t="shared" si="0"/>
        <v>6682108.5</v>
      </c>
      <c r="F7" s="562">
        <f t="shared" si="0"/>
        <v>7453009</v>
      </c>
      <c r="G7" s="562">
        <f t="shared" si="0"/>
        <v>0</v>
      </c>
      <c r="H7" s="562">
        <f t="shared" si="0"/>
        <v>7453009</v>
      </c>
      <c r="I7" s="563">
        <f t="shared" ref="I7:I13" si="1">F7-C7</f>
        <v>393715</v>
      </c>
      <c r="J7" s="564">
        <f>F7/C7%</f>
        <v>105.57725744245812</v>
      </c>
      <c r="K7" s="562">
        <f t="shared" ref="K7:P7" si="2">SUM(K8,K10,K11,K15,K16,K17,K18,K19,K20,K21,K22,K24,K25)</f>
        <v>495278</v>
      </c>
      <c r="L7" s="562">
        <f t="shared" si="2"/>
        <v>0</v>
      </c>
      <c r="M7" s="562">
        <f t="shared" si="2"/>
        <v>490731</v>
      </c>
      <c r="N7" s="562">
        <f t="shared" si="2"/>
        <v>508630</v>
      </c>
      <c r="O7" s="562">
        <f t="shared" si="2"/>
        <v>0</v>
      </c>
      <c r="P7" s="562">
        <f t="shared" si="2"/>
        <v>508630</v>
      </c>
      <c r="Q7" s="563">
        <f>N7-K7</f>
        <v>13352</v>
      </c>
      <c r="R7" s="564">
        <f>N7/K7%</f>
        <v>102.69585969899734</v>
      </c>
      <c r="S7" s="562">
        <f t="shared" ref="S7:X7" si="3">SUM(S8,S10,S11,S15,S16,S17,S18,S19,S20,S21,S22,S24,S25)</f>
        <v>460081</v>
      </c>
      <c r="T7" s="562">
        <f t="shared" si="3"/>
        <v>0</v>
      </c>
      <c r="U7" s="562">
        <f t="shared" si="3"/>
        <v>447818</v>
      </c>
      <c r="V7" s="562">
        <f t="shared" si="3"/>
        <v>466908</v>
      </c>
      <c r="W7" s="562">
        <f t="shared" si="3"/>
        <v>0</v>
      </c>
      <c r="X7" s="562">
        <f t="shared" si="3"/>
        <v>466908</v>
      </c>
      <c r="Y7" s="563">
        <f>V7-S7</f>
        <v>6827</v>
      </c>
      <c r="Z7" s="564">
        <f>V7/S7%</f>
        <v>101.48386914478102</v>
      </c>
      <c r="AA7" s="562">
        <f t="shared" ref="AA7:AF7" si="4">SUM(AA8,AA10,AA11,AA15,AA16,AA17,AA18,AA19,AA20,AA21,AA22,AA24,AA25)</f>
        <v>435248</v>
      </c>
      <c r="AB7" s="562">
        <f t="shared" si="4"/>
        <v>0</v>
      </c>
      <c r="AC7" s="562">
        <f t="shared" si="4"/>
        <v>459037.5</v>
      </c>
      <c r="AD7" s="562">
        <f t="shared" si="4"/>
        <v>443090</v>
      </c>
      <c r="AE7" s="562">
        <f t="shared" si="4"/>
        <v>0</v>
      </c>
      <c r="AF7" s="562">
        <f t="shared" si="4"/>
        <v>443090</v>
      </c>
      <c r="AG7" s="563">
        <f>AD7-AA7</f>
        <v>7842</v>
      </c>
      <c r="AH7" s="564">
        <f>AD7/AA7%</f>
        <v>101.80173142668089</v>
      </c>
      <c r="AI7" s="562">
        <f t="shared" ref="AI7:AN7" si="5">SUM(AI8,AI10,AI11,AI15,AI16,AI17,AI18,AI19,AI20,AI21,AI22,AI24,AI25)</f>
        <v>444525</v>
      </c>
      <c r="AJ7" s="562">
        <f t="shared" si="5"/>
        <v>0</v>
      </c>
      <c r="AK7" s="562">
        <f t="shared" si="5"/>
        <v>396938</v>
      </c>
      <c r="AL7" s="562">
        <f t="shared" si="5"/>
        <v>449344</v>
      </c>
      <c r="AM7" s="562">
        <f t="shared" si="5"/>
        <v>0</v>
      </c>
      <c r="AN7" s="562">
        <f t="shared" si="5"/>
        <v>449344</v>
      </c>
      <c r="AO7" s="563">
        <f t="shared" ref="AO7:AO13" si="6">AL7-AI7</f>
        <v>4819</v>
      </c>
      <c r="AP7" s="564">
        <f>AL7/AI7%</f>
        <v>101.08407851076993</v>
      </c>
      <c r="AQ7" s="562">
        <f t="shared" ref="AQ7:AV7" si="7">SUM(AQ8,AQ10,AQ11,AQ15,AQ16,AQ17,AQ18,AQ19,AQ20,AQ21,AQ22,AQ24,AQ25)</f>
        <v>567836.5</v>
      </c>
      <c r="AR7" s="562">
        <f t="shared" si="7"/>
        <v>0</v>
      </c>
      <c r="AS7" s="562">
        <f t="shared" si="7"/>
        <v>521873</v>
      </c>
      <c r="AT7" s="562">
        <f t="shared" si="7"/>
        <v>565232</v>
      </c>
      <c r="AU7" s="562">
        <f t="shared" si="7"/>
        <v>0</v>
      </c>
      <c r="AV7" s="562">
        <f t="shared" si="7"/>
        <v>565232</v>
      </c>
      <c r="AW7" s="563">
        <f>AT7-AQ7</f>
        <v>-2604.5</v>
      </c>
      <c r="AX7" s="564">
        <f>AT7/AQ7%</f>
        <v>99.541329238257845</v>
      </c>
      <c r="AY7" s="562">
        <f t="shared" ref="AY7:BD7" si="8">SUM(AY8,AY10,AY11,AY15,AY16,AY17,AY18,AY19,AY20,AY21,AY22,AY24,AY25)</f>
        <v>1001173</v>
      </c>
      <c r="AZ7" s="562">
        <f t="shared" si="8"/>
        <v>0</v>
      </c>
      <c r="BA7" s="562">
        <f t="shared" si="8"/>
        <v>967718</v>
      </c>
      <c r="BB7" s="562">
        <f t="shared" si="8"/>
        <v>1287780</v>
      </c>
      <c r="BC7" s="562">
        <f t="shared" si="8"/>
        <v>0</v>
      </c>
      <c r="BD7" s="562">
        <f t="shared" si="8"/>
        <v>1287780</v>
      </c>
      <c r="BE7" s="563">
        <f>BB7-AY7</f>
        <v>286607</v>
      </c>
      <c r="BF7" s="564">
        <f>BB7/AY7%</f>
        <v>128.62712038778514</v>
      </c>
      <c r="BG7" s="562">
        <f t="shared" ref="BG7:BL7" si="9">SUM(BG8,BG10,BG11,BG15,BG16,BG17,BG18,BG19,BG20,BG21,BG22,BG24,BG25)</f>
        <v>697597</v>
      </c>
      <c r="BH7" s="562">
        <f t="shared" si="9"/>
        <v>0</v>
      </c>
      <c r="BI7" s="562">
        <f t="shared" si="9"/>
        <v>649037</v>
      </c>
      <c r="BJ7" s="562">
        <f t="shared" si="9"/>
        <v>701919</v>
      </c>
      <c r="BK7" s="562">
        <f t="shared" si="9"/>
        <v>0</v>
      </c>
      <c r="BL7" s="562">
        <f t="shared" si="9"/>
        <v>701919</v>
      </c>
      <c r="BM7" s="563">
        <f>BJ7-BG7</f>
        <v>4322</v>
      </c>
      <c r="BN7" s="564">
        <f>BJ7/BG7%</f>
        <v>100.61955541666606</v>
      </c>
      <c r="BO7" s="562">
        <f t="shared" ref="BO7:BT7" si="10">SUM(BO8,BO10,BO11,BO15,BO16,BO17,BO18,BO19,BO20,BO21,BO22,BO24,BO25)</f>
        <v>634927</v>
      </c>
      <c r="BP7" s="562">
        <f t="shared" si="10"/>
        <v>0</v>
      </c>
      <c r="BQ7" s="562">
        <f t="shared" si="10"/>
        <v>571036.5</v>
      </c>
      <c r="BR7" s="562">
        <f t="shared" si="10"/>
        <v>641617</v>
      </c>
      <c r="BS7" s="562">
        <f t="shared" si="10"/>
        <v>0</v>
      </c>
      <c r="BT7" s="562">
        <f t="shared" si="10"/>
        <v>641617</v>
      </c>
      <c r="BU7" s="563">
        <f>BR7-BO7</f>
        <v>6690</v>
      </c>
      <c r="BV7" s="564">
        <f>BR7/BO7%</f>
        <v>101.05366443701401</v>
      </c>
      <c r="BW7" s="562">
        <f t="shared" ref="BW7:CB7" si="11">SUM(BW8,BW10,BW11,BW15,BW16,BW17,BW18,BW19,BW20,BW21,BW22,BW24,BW25)</f>
        <v>624056.5</v>
      </c>
      <c r="BX7" s="562">
        <f t="shared" si="11"/>
        <v>0</v>
      </c>
      <c r="BY7" s="562">
        <f t="shared" si="11"/>
        <v>570912</v>
      </c>
      <c r="BZ7" s="562">
        <f t="shared" si="11"/>
        <v>592111</v>
      </c>
      <c r="CA7" s="562">
        <f t="shared" si="11"/>
        <v>0</v>
      </c>
      <c r="CB7" s="562">
        <f t="shared" si="11"/>
        <v>592111</v>
      </c>
      <c r="CC7" s="563">
        <f>BZ7-BW7</f>
        <v>-31945.5</v>
      </c>
      <c r="CD7" s="564">
        <f>BZ7/BW7%</f>
        <v>94.880992346045602</v>
      </c>
      <c r="CE7" s="562">
        <f t="shared" ref="CE7:CJ7" si="12">SUM(CE8,CE10,CE11,CE15,CE16,CE17,CE18,CE19,CE20,CE21,CE22,CE24,CE25)</f>
        <v>502271.5</v>
      </c>
      <c r="CF7" s="562">
        <f t="shared" si="12"/>
        <v>0</v>
      </c>
      <c r="CG7" s="562">
        <f t="shared" si="12"/>
        <v>450231</v>
      </c>
      <c r="CH7" s="562">
        <f t="shared" si="12"/>
        <v>515138</v>
      </c>
      <c r="CI7" s="562">
        <f t="shared" si="12"/>
        <v>0</v>
      </c>
      <c r="CJ7" s="562">
        <f t="shared" si="12"/>
        <v>515138</v>
      </c>
      <c r="CK7" s="563">
        <f>CH7-CE7</f>
        <v>12866.5</v>
      </c>
      <c r="CL7" s="564">
        <f>CH7/CE7%</f>
        <v>102.56166236786279</v>
      </c>
      <c r="CM7" s="562">
        <f t="shared" ref="CM7:CR7" si="13">SUM(CM8,CM10,CM11,CM15,CM16,CM17,CM18,CM19,CM20,CM21,CM22,CM24,CM25)</f>
        <v>725981</v>
      </c>
      <c r="CN7" s="562">
        <f t="shared" si="13"/>
        <v>0</v>
      </c>
      <c r="CO7" s="562">
        <f t="shared" si="13"/>
        <v>724731.5</v>
      </c>
      <c r="CP7" s="562">
        <f t="shared" si="13"/>
        <v>791375</v>
      </c>
      <c r="CQ7" s="562">
        <f t="shared" si="13"/>
        <v>0</v>
      </c>
      <c r="CR7" s="562">
        <f t="shared" si="13"/>
        <v>791375</v>
      </c>
      <c r="CS7" s="563">
        <f>CP7-CM7</f>
        <v>65394</v>
      </c>
      <c r="CT7" s="564">
        <f>CP7/CM7%</f>
        <v>109.00767375454728</v>
      </c>
      <c r="CU7" s="562">
        <f t="shared" ref="CU7:CZ7" si="14">SUM(CU8,CU10,CU11,CU15,CU16,CU17,CU18,CU19,CU20,CU21,CU22,CU24,CU25)</f>
        <v>470319.5</v>
      </c>
      <c r="CV7" s="562">
        <f t="shared" si="14"/>
        <v>0</v>
      </c>
      <c r="CW7" s="562">
        <f t="shared" si="14"/>
        <v>432045</v>
      </c>
      <c r="CX7" s="562">
        <f t="shared" si="14"/>
        <v>489865</v>
      </c>
      <c r="CY7" s="562">
        <f t="shared" si="14"/>
        <v>0</v>
      </c>
      <c r="CZ7" s="562">
        <f t="shared" si="14"/>
        <v>489865</v>
      </c>
      <c r="DA7" s="563">
        <f>CX7-CU7</f>
        <v>19545.5</v>
      </c>
      <c r="DB7" s="564">
        <f>CX7/CU7%</f>
        <v>104.15579196695013</v>
      </c>
    </row>
    <row r="8" spans="1:106" s="335" customFormat="1" ht="18.95" customHeight="1" x14ac:dyDescent="0.2">
      <c r="A8" s="343">
        <v>1</v>
      </c>
      <c r="B8" s="1182" t="s">
        <v>298</v>
      </c>
      <c r="C8" s="1183">
        <f t="shared" ref="C8:C25" si="15">+K8+S8+AA8+AI8+AQ8+AY8+BG8+BO8+BW8+CE8+CM8+CU8</f>
        <v>2508435</v>
      </c>
      <c r="D8" s="1183"/>
      <c r="E8" s="1183">
        <f t="shared" ref="E8:E25" si="16">+M8+U8+AC8+AK8+AS8+BA8+BI8+BQ8+BY8+CG8+CO8+CW8</f>
        <v>2391255.5</v>
      </c>
      <c r="F8" s="1183">
        <f>SUM(N8,V8,AD8,AL8,AT8,BB8,BJ8,BR8,BZ8,CH8,CP8,CX8)</f>
        <v>2377310</v>
      </c>
      <c r="G8" s="1183">
        <f>SUM(O8,W8,AE8,AM8,AU8,BC8,BK8,BS8,CA8,CI8,CQ8,CY8)</f>
        <v>0</v>
      </c>
      <c r="H8" s="1183">
        <f>SUM(P8,X8,AF8,AN8,AV8,BD8,BL8,BT8,CB8,CJ8,CR8,CZ8)</f>
        <v>2377310</v>
      </c>
      <c r="I8" s="1184">
        <f t="shared" si="1"/>
        <v>-131125</v>
      </c>
      <c r="J8" s="1183">
        <f>F8/C8%</f>
        <v>94.772637122349195</v>
      </c>
      <c r="K8" s="1183">
        <f>'Thu NSH'!P8</f>
        <v>60330</v>
      </c>
      <c r="L8" s="1183"/>
      <c r="M8" s="1183">
        <f>'Thu NSH'!T8</f>
        <v>58165</v>
      </c>
      <c r="N8" s="1183">
        <f>'Thu NSH'!V8</f>
        <v>64000</v>
      </c>
      <c r="O8" s="1183"/>
      <c r="P8" s="1183">
        <f>N8</f>
        <v>64000</v>
      </c>
      <c r="Q8" s="1184">
        <f>N8-K8</f>
        <v>3670</v>
      </c>
      <c r="R8" s="1183">
        <f>N8/K8%</f>
        <v>106.08320901707278</v>
      </c>
      <c r="S8" s="1183">
        <f>'Thu NSH'!AB8</f>
        <v>225250</v>
      </c>
      <c r="T8" s="1183"/>
      <c r="U8" s="1183">
        <f>'Thu NSH'!AF8</f>
        <v>214780</v>
      </c>
      <c r="V8" s="1183">
        <f>'Thu NSH'!AH8</f>
        <v>195950</v>
      </c>
      <c r="W8" s="1183"/>
      <c r="X8" s="1183">
        <f>V8</f>
        <v>195950</v>
      </c>
      <c r="Y8" s="1184">
        <f>V8-S8</f>
        <v>-29300</v>
      </c>
      <c r="Z8" s="1183">
        <f>V8/S8%</f>
        <v>86.992230854605992</v>
      </c>
      <c r="AA8" s="1183">
        <f>'Thu NSH'!AN8</f>
        <v>44215</v>
      </c>
      <c r="AB8" s="1183"/>
      <c r="AC8" s="1183">
        <f>'Thu NSH'!AR8</f>
        <v>70140.5</v>
      </c>
      <c r="AD8" s="1183">
        <f>'Thu NSH'!AT8</f>
        <v>50570</v>
      </c>
      <c r="AE8" s="1183"/>
      <c r="AF8" s="1183">
        <f>AD8</f>
        <v>50570</v>
      </c>
      <c r="AG8" s="1184">
        <f>AD8-AA8</f>
        <v>6355</v>
      </c>
      <c r="AH8" s="1183">
        <f>AD8/AA8%</f>
        <v>114.37295035621396</v>
      </c>
      <c r="AI8" s="1183">
        <f>'Thu NSH'!AZ8</f>
        <v>72820</v>
      </c>
      <c r="AJ8" s="1183"/>
      <c r="AK8" s="1183">
        <f>'Thu NSH'!BD8</f>
        <v>74400</v>
      </c>
      <c r="AL8" s="1183">
        <f>'Thu NSH'!BF8</f>
        <v>66380</v>
      </c>
      <c r="AM8" s="1183"/>
      <c r="AN8" s="1183">
        <f>AL8</f>
        <v>66380</v>
      </c>
      <c r="AO8" s="1184">
        <f t="shared" si="6"/>
        <v>-6440</v>
      </c>
      <c r="AP8" s="1183">
        <f>AL8/AI8%</f>
        <v>91.156275748420754</v>
      </c>
      <c r="AQ8" s="1183">
        <f>'Thu NSH'!BL8</f>
        <v>143170</v>
      </c>
      <c r="AR8" s="1183"/>
      <c r="AS8" s="1183">
        <f>'Thu NSH'!BP8</f>
        <v>128200</v>
      </c>
      <c r="AT8" s="1183">
        <f>'Thu NSH'!BR8</f>
        <v>140700</v>
      </c>
      <c r="AU8" s="1183"/>
      <c r="AV8" s="1183">
        <f>AT8</f>
        <v>140700</v>
      </c>
      <c r="AW8" s="1184">
        <f>AT8-AQ8</f>
        <v>-2470</v>
      </c>
      <c r="AX8" s="1183">
        <f>AT8/AQ8%</f>
        <v>98.274778235663888</v>
      </c>
      <c r="AY8" s="1183">
        <f>'Thu NSH'!BX8</f>
        <v>781330</v>
      </c>
      <c r="AZ8" s="1183"/>
      <c r="BA8" s="1183">
        <f>'Thu NSH'!CB8</f>
        <v>748800</v>
      </c>
      <c r="BB8" s="1183">
        <f>'Thu NSH'!CD8</f>
        <v>738900</v>
      </c>
      <c r="BC8" s="1183"/>
      <c r="BD8" s="1183">
        <f>BB8</f>
        <v>738900</v>
      </c>
      <c r="BE8" s="1184">
        <f>BB8-AY8</f>
        <v>-42430</v>
      </c>
      <c r="BF8" s="1183">
        <f>BB8/AY8%</f>
        <v>94.569516081553246</v>
      </c>
      <c r="BG8" s="1183">
        <f>'Thu NSH'!CJ8</f>
        <v>155600</v>
      </c>
      <c r="BH8" s="1183"/>
      <c r="BI8" s="1183">
        <f>'Thu NSH'!CN8</f>
        <v>154930</v>
      </c>
      <c r="BJ8" s="1183">
        <f>'Thu NSH'!CP8</f>
        <v>145720</v>
      </c>
      <c r="BK8" s="1183"/>
      <c r="BL8" s="1183">
        <f>BJ8</f>
        <v>145720</v>
      </c>
      <c r="BM8" s="1184">
        <f>BJ8-BG8</f>
        <v>-9880</v>
      </c>
      <c r="BN8" s="1183">
        <f>BJ8/BG8%</f>
        <v>93.650385604113112</v>
      </c>
      <c r="BO8" s="1183">
        <f>'Thu NSH'!CV8</f>
        <v>154670</v>
      </c>
      <c r="BP8" s="1183"/>
      <c r="BQ8" s="1183">
        <f>'Thu NSH'!CZ8</f>
        <v>131892.5</v>
      </c>
      <c r="BR8" s="1183">
        <f>'Thu NSH'!DB8</f>
        <v>145720</v>
      </c>
      <c r="BS8" s="1183"/>
      <c r="BT8" s="1183">
        <f>BR8</f>
        <v>145720</v>
      </c>
      <c r="BU8" s="1184">
        <f>BR8-BO8</f>
        <v>-8950</v>
      </c>
      <c r="BV8" s="1183">
        <f>BR8/BO8%</f>
        <v>94.213486778302183</v>
      </c>
      <c r="BW8" s="1183">
        <f>'Thu NSH'!DH8</f>
        <v>201000</v>
      </c>
      <c r="BX8" s="1183"/>
      <c r="BY8" s="1183">
        <f>'Thu NSH'!DL8</f>
        <v>159076</v>
      </c>
      <c r="BZ8" s="1183">
        <f>'Thu NSH'!DN8</f>
        <v>149950</v>
      </c>
      <c r="CA8" s="1183"/>
      <c r="CB8" s="1183">
        <f>BZ8</f>
        <v>149950</v>
      </c>
      <c r="CC8" s="1184">
        <f>BZ8-BW8</f>
        <v>-51050</v>
      </c>
      <c r="CD8" s="1183">
        <f>BZ8/BW8%</f>
        <v>74.601990049751237</v>
      </c>
      <c r="CE8" s="1183">
        <f>'Thu NSH'!DT8</f>
        <v>107990</v>
      </c>
      <c r="CF8" s="1183"/>
      <c r="CG8" s="1183">
        <f>'Thu NSH'!DX8</f>
        <v>95031</v>
      </c>
      <c r="CH8" s="1183">
        <f>'Thu NSH'!DZ8</f>
        <v>94500</v>
      </c>
      <c r="CI8" s="1183"/>
      <c r="CJ8" s="1183">
        <f>CH8</f>
        <v>94500</v>
      </c>
      <c r="CK8" s="1184">
        <f>CH8-CE8</f>
        <v>-13490</v>
      </c>
      <c r="CL8" s="1183">
        <f>CH8/CE8%</f>
        <v>87.508102602092777</v>
      </c>
      <c r="CM8" s="1183">
        <f>'Thu NSH'!EF8</f>
        <v>460240</v>
      </c>
      <c r="CN8" s="1183"/>
      <c r="CO8" s="1183">
        <f>'Thu NSH'!EJ8</f>
        <v>459670.5</v>
      </c>
      <c r="CP8" s="1183">
        <f>'Thu NSH'!EL8</f>
        <v>473520</v>
      </c>
      <c r="CQ8" s="1183"/>
      <c r="CR8" s="1183">
        <f>CP8</f>
        <v>473520</v>
      </c>
      <c r="CS8" s="1184">
        <f>CP8-CM8</f>
        <v>13280</v>
      </c>
      <c r="CT8" s="1183">
        <f>CP8/CM8%</f>
        <v>102.88545106900749</v>
      </c>
      <c r="CU8" s="1183">
        <f>'Thu NSH'!ER8</f>
        <v>101820</v>
      </c>
      <c r="CV8" s="1183"/>
      <c r="CW8" s="1183">
        <f>'Thu NSH'!EV8</f>
        <v>96170</v>
      </c>
      <c r="CX8" s="1183">
        <f>'Thu NSH'!EX8</f>
        <v>111400</v>
      </c>
      <c r="CY8" s="1183"/>
      <c r="CZ8" s="1183">
        <f>CX8</f>
        <v>111400</v>
      </c>
      <c r="DA8" s="1184">
        <f>CX8-CU8</f>
        <v>9580</v>
      </c>
      <c r="DB8" s="1183">
        <f>CX8/CU8%</f>
        <v>109.40876055784717</v>
      </c>
    </row>
    <row r="9" spans="1:106" s="592" customFormat="1" ht="18.95" customHeight="1" x14ac:dyDescent="0.2">
      <c r="A9" s="345" t="s">
        <v>564</v>
      </c>
      <c r="B9" s="1181" t="s">
        <v>1469</v>
      </c>
      <c r="C9" s="589">
        <f t="shared" si="15"/>
        <v>500000</v>
      </c>
      <c r="D9" s="589"/>
      <c r="E9" s="589">
        <f t="shared" si="16"/>
        <v>750000</v>
      </c>
      <c r="F9" s="589">
        <f>SUM(N9,V9,AD9,AL9,AT9,BB9,BJ9,BR9,BZ9,CH9,CP9,CX9)</f>
        <v>650000</v>
      </c>
      <c r="G9" s="589"/>
      <c r="H9" s="589">
        <f>SUM(P9,X9,AF9,AN9,AV9,BD9,BL9,BT9,CB9,CJ9,CR9,CZ9)</f>
        <v>650000</v>
      </c>
      <c r="I9" s="590">
        <f t="shared" si="1"/>
        <v>150000</v>
      </c>
      <c r="J9" s="589">
        <f>F9/C9%</f>
        <v>130</v>
      </c>
      <c r="K9" s="589">
        <f>'Thu NSH'!P28</f>
        <v>13000</v>
      </c>
      <c r="L9" s="589"/>
      <c r="M9" s="589">
        <f>'Thu NSH'!T28</f>
        <v>25000</v>
      </c>
      <c r="N9" s="589">
        <f>'Thu NSH'!V28</f>
        <v>25000</v>
      </c>
      <c r="O9" s="589"/>
      <c r="P9" s="589">
        <f>N9</f>
        <v>25000</v>
      </c>
      <c r="Q9" s="590">
        <f>N9-K9</f>
        <v>12000</v>
      </c>
      <c r="R9" s="589">
        <f>N9/K9%</f>
        <v>192.30769230769232</v>
      </c>
      <c r="S9" s="589">
        <f>'Thu NSH'!AB28</f>
        <v>150000</v>
      </c>
      <c r="T9" s="589"/>
      <c r="U9" s="589">
        <f>'Thu NSH'!AF28</f>
        <v>160000</v>
      </c>
      <c r="V9" s="589">
        <f>'Thu NSH'!AH28</f>
        <v>150000</v>
      </c>
      <c r="W9" s="589"/>
      <c r="X9" s="589">
        <f>V9</f>
        <v>150000</v>
      </c>
      <c r="Y9" s="590">
        <f>V9-S9</f>
        <v>0</v>
      </c>
      <c r="Z9" s="589">
        <f>V9/S9%</f>
        <v>100</v>
      </c>
      <c r="AA9" s="589">
        <f>'Thu NSH'!AN28</f>
        <v>10000</v>
      </c>
      <c r="AB9" s="589"/>
      <c r="AC9" s="589">
        <f>'Thu NSH'!AR28</f>
        <v>30000</v>
      </c>
      <c r="AD9" s="589">
        <f>'Thu NSH'!AT28</f>
        <v>15000</v>
      </c>
      <c r="AE9" s="589"/>
      <c r="AF9" s="589">
        <f>AD9</f>
        <v>15000</v>
      </c>
      <c r="AG9" s="590">
        <f>AD9-AA9</f>
        <v>5000</v>
      </c>
      <c r="AH9" s="589">
        <f>AD9/AA9%</f>
        <v>150</v>
      </c>
      <c r="AI9" s="589">
        <f>'Thu NSH'!AZ28</f>
        <v>20000</v>
      </c>
      <c r="AJ9" s="589"/>
      <c r="AK9" s="589">
        <f>'Thu NSH'!BD28</f>
        <v>25000</v>
      </c>
      <c r="AL9" s="589">
        <f>'Thu NSH'!BF28</f>
        <v>20000</v>
      </c>
      <c r="AM9" s="589"/>
      <c r="AN9" s="589">
        <f>AL9</f>
        <v>20000</v>
      </c>
      <c r="AO9" s="590">
        <f t="shared" si="6"/>
        <v>0</v>
      </c>
      <c r="AP9" s="589">
        <f>AL9/AI9%</f>
        <v>100</v>
      </c>
      <c r="AQ9" s="589">
        <f>'Thu NSH'!BL28</f>
        <v>20000</v>
      </c>
      <c r="AR9" s="589"/>
      <c r="AS9" s="589">
        <f>'Thu NSH'!BP28</f>
        <v>20000</v>
      </c>
      <c r="AT9" s="589">
        <f>'Thu NSH'!BR28</f>
        <v>25000</v>
      </c>
      <c r="AU9" s="589"/>
      <c r="AV9" s="589">
        <f>AT9</f>
        <v>25000</v>
      </c>
      <c r="AW9" s="590">
        <f>AT9-AQ9</f>
        <v>5000</v>
      </c>
      <c r="AX9" s="589">
        <f>AT9/AQ9%</f>
        <v>125</v>
      </c>
      <c r="AY9" s="589">
        <f>'Thu NSH'!BX28</f>
        <v>52000</v>
      </c>
      <c r="AZ9" s="589"/>
      <c r="BA9" s="589">
        <f>'Thu NSH'!CB28</f>
        <v>160000</v>
      </c>
      <c r="BB9" s="589">
        <f>'Thu NSH'!CD28</f>
        <v>100000</v>
      </c>
      <c r="BC9" s="589"/>
      <c r="BD9" s="589">
        <f>BB9</f>
        <v>100000</v>
      </c>
      <c r="BE9" s="590">
        <f>BB9-AY9</f>
        <v>48000</v>
      </c>
      <c r="BF9" s="589">
        <f>BB9/AY9%</f>
        <v>192.30769230769232</v>
      </c>
      <c r="BG9" s="589">
        <f>'Thu NSH'!CJ28</f>
        <v>35000</v>
      </c>
      <c r="BH9" s="589"/>
      <c r="BI9" s="589">
        <f>'Thu NSH'!CN28</f>
        <v>40000</v>
      </c>
      <c r="BJ9" s="589">
        <f>'Thu NSH'!CP28</f>
        <v>35000</v>
      </c>
      <c r="BK9" s="589"/>
      <c r="BL9" s="589">
        <f>BJ9</f>
        <v>35000</v>
      </c>
      <c r="BM9" s="590">
        <f>BJ9-BG9</f>
        <v>0</v>
      </c>
      <c r="BN9" s="589">
        <f>BJ9/BG9%</f>
        <v>100</v>
      </c>
      <c r="BO9" s="589">
        <f>'Thu NSH'!CV28</f>
        <v>50000</v>
      </c>
      <c r="BP9" s="589"/>
      <c r="BQ9" s="589">
        <f>'Thu NSH'!CZ28</f>
        <v>55000</v>
      </c>
      <c r="BR9" s="589">
        <f>'Thu NSH'!DB28</f>
        <v>60000</v>
      </c>
      <c r="BS9" s="589"/>
      <c r="BT9" s="589">
        <f>BR9</f>
        <v>60000</v>
      </c>
      <c r="BU9" s="590">
        <f>BR9-BO9</f>
        <v>10000</v>
      </c>
      <c r="BV9" s="589">
        <f>BR9/BO9%</f>
        <v>120</v>
      </c>
      <c r="BW9" s="589">
        <f>'Thu NSH'!DH28</f>
        <v>15000</v>
      </c>
      <c r="BX9" s="589"/>
      <c r="BY9" s="589">
        <f>'Thu NSH'!DL28</f>
        <v>40000</v>
      </c>
      <c r="BZ9" s="589">
        <f>'Thu NSH'!DN28</f>
        <v>25000</v>
      </c>
      <c r="CA9" s="589"/>
      <c r="CB9" s="589">
        <f>BZ9</f>
        <v>25000</v>
      </c>
      <c r="CC9" s="590">
        <f>BZ9-BW9</f>
        <v>10000</v>
      </c>
      <c r="CD9" s="589">
        <f>BZ9/BW9%</f>
        <v>166.66666666666666</v>
      </c>
      <c r="CE9" s="589">
        <f>'Thu NSH'!DT28</f>
        <v>15000</v>
      </c>
      <c r="CF9" s="589"/>
      <c r="CG9" s="589">
        <f>'Thu NSH'!DX28</f>
        <v>27000</v>
      </c>
      <c r="CH9" s="589">
        <f>'Thu NSH'!DZ28</f>
        <v>20000</v>
      </c>
      <c r="CI9" s="589"/>
      <c r="CJ9" s="589">
        <f>CH9</f>
        <v>20000</v>
      </c>
      <c r="CK9" s="590">
        <f>CH9-CE9</f>
        <v>5000</v>
      </c>
      <c r="CL9" s="589">
        <f>CH9/CE9%</f>
        <v>133.33333333333334</v>
      </c>
      <c r="CM9" s="589">
        <f>'Thu NSH'!EF28</f>
        <v>100000</v>
      </c>
      <c r="CN9" s="589"/>
      <c r="CO9" s="589">
        <f>'Thu NSH'!EJ28</f>
        <v>143000</v>
      </c>
      <c r="CP9" s="589">
        <f>'Thu NSH'!EL28</f>
        <v>140000</v>
      </c>
      <c r="CQ9" s="589"/>
      <c r="CR9" s="589">
        <f>CP9</f>
        <v>140000</v>
      </c>
      <c r="CS9" s="590">
        <f>CP9-CM9</f>
        <v>40000</v>
      </c>
      <c r="CT9" s="589">
        <f>CP9/CM9%</f>
        <v>140</v>
      </c>
      <c r="CU9" s="589">
        <f>'Thu NSH'!ER28</f>
        <v>20000</v>
      </c>
      <c r="CV9" s="589"/>
      <c r="CW9" s="589">
        <f>'Thu NSH'!EV28</f>
        <v>25000</v>
      </c>
      <c r="CX9" s="589">
        <f>'Thu NSH'!EX28</f>
        <v>35000</v>
      </c>
      <c r="CY9" s="589"/>
      <c r="CZ9" s="589">
        <f>CX9</f>
        <v>35000</v>
      </c>
      <c r="DA9" s="590">
        <f>CX9-CU9</f>
        <v>15000</v>
      </c>
      <c r="DB9" s="589">
        <f>CX9/CU9%</f>
        <v>175</v>
      </c>
    </row>
    <row r="10" spans="1:106" s="335" customFormat="1" ht="18.95" customHeight="1" x14ac:dyDescent="0.2">
      <c r="A10" s="343">
        <v>2</v>
      </c>
      <c r="B10" s="1185" t="s">
        <v>646</v>
      </c>
      <c r="C10" s="1183">
        <f t="shared" si="15"/>
        <v>3464851</v>
      </c>
      <c r="D10" s="1183"/>
      <c r="E10" s="1183">
        <f t="shared" si="16"/>
        <v>3464851</v>
      </c>
      <c r="F10" s="1183">
        <f>SUM(N10,V10,AD10,AL10,AT10,BB10,BJ10,BR10,BZ10,CH10,CP10,CX10)</f>
        <v>3464851</v>
      </c>
      <c r="G10" s="1183">
        <f>SUM(O10,W10,AE10,AM10,AU10,BC10,BK10,BS10,CA10,CI10,CQ10,CY10)</f>
        <v>0</v>
      </c>
      <c r="H10" s="1183">
        <f>SUM(P10,X10,AF10,AN10,AV10,BD10,BL10,BT10,CB10,CJ10,CR10,CZ10)</f>
        <v>3464851</v>
      </c>
      <c r="I10" s="1184">
        <f t="shared" si="1"/>
        <v>0</v>
      </c>
      <c r="J10" s="1183">
        <f>F10/C10%</f>
        <v>100</v>
      </c>
      <c r="K10" s="1183">
        <v>344881</v>
      </c>
      <c r="L10" s="1183"/>
      <c r="M10" s="1183">
        <f>K10</f>
        <v>344881</v>
      </c>
      <c r="N10" s="1183">
        <f>K10</f>
        <v>344881</v>
      </c>
      <c r="O10" s="1183"/>
      <c r="P10" s="1183">
        <f>N10</f>
        <v>344881</v>
      </c>
      <c r="Q10" s="1184">
        <f>N10-K10</f>
        <v>0</v>
      </c>
      <c r="R10" s="1183">
        <f>N10/K10%</f>
        <v>100</v>
      </c>
      <c r="S10" s="1183">
        <v>191415</v>
      </c>
      <c r="T10" s="1183"/>
      <c r="U10" s="1183">
        <f>S10</f>
        <v>191415</v>
      </c>
      <c r="V10" s="1183">
        <f>S10</f>
        <v>191415</v>
      </c>
      <c r="W10" s="1183"/>
      <c r="X10" s="1183">
        <f>V10</f>
        <v>191415</v>
      </c>
      <c r="Y10" s="1184">
        <f>V10-S10</f>
        <v>0</v>
      </c>
      <c r="Z10" s="1183">
        <f>V10/S10%</f>
        <v>100</v>
      </c>
      <c r="AA10" s="1183">
        <v>305519</v>
      </c>
      <c r="AB10" s="1183"/>
      <c r="AC10" s="1183">
        <f>AA10</f>
        <v>305519</v>
      </c>
      <c r="AD10" s="1183">
        <f>AA10</f>
        <v>305519</v>
      </c>
      <c r="AE10" s="1183"/>
      <c r="AF10" s="1183">
        <f t="shared" ref="AF10:AF25" si="17">AD10</f>
        <v>305519</v>
      </c>
      <c r="AG10" s="1184">
        <f>AD10-AA10</f>
        <v>0</v>
      </c>
      <c r="AH10" s="1183">
        <f>AD10/AA10%</f>
        <v>100</v>
      </c>
      <c r="AI10" s="1183">
        <v>260487</v>
      </c>
      <c r="AJ10" s="1183"/>
      <c r="AK10" s="1183">
        <f>AI10</f>
        <v>260487</v>
      </c>
      <c r="AL10" s="1183">
        <f>AI10</f>
        <v>260487</v>
      </c>
      <c r="AM10" s="1183"/>
      <c r="AN10" s="1183">
        <f t="shared" ref="AN10:AN25" si="18">AL10</f>
        <v>260487</v>
      </c>
      <c r="AO10" s="1184">
        <f t="shared" si="6"/>
        <v>0</v>
      </c>
      <c r="AP10" s="1183">
        <f>AL10/AI10%</f>
        <v>100</v>
      </c>
      <c r="AQ10" s="1183">
        <v>334903</v>
      </c>
      <c r="AR10" s="1183"/>
      <c r="AS10" s="1183">
        <f>AQ10</f>
        <v>334903</v>
      </c>
      <c r="AT10" s="1183">
        <f>AQ10</f>
        <v>334903</v>
      </c>
      <c r="AU10" s="1183"/>
      <c r="AV10" s="1183">
        <f t="shared" ref="AV10:AV25" si="19">AT10</f>
        <v>334903</v>
      </c>
      <c r="AW10" s="1184">
        <f>AT10-AQ10</f>
        <v>0</v>
      </c>
      <c r="AX10" s="1183">
        <f>AT10/AQ10%</f>
        <v>100</v>
      </c>
      <c r="AY10" s="1183">
        <v>116197</v>
      </c>
      <c r="AZ10" s="1183"/>
      <c r="BA10" s="1183">
        <f>AY10</f>
        <v>116197</v>
      </c>
      <c r="BB10" s="1183">
        <f>AY10</f>
        <v>116197</v>
      </c>
      <c r="BC10" s="1183"/>
      <c r="BD10" s="1183">
        <f t="shared" ref="BD10:BD25" si="20">BB10</f>
        <v>116197</v>
      </c>
      <c r="BE10" s="1184">
        <f>BB10-AY10</f>
        <v>0</v>
      </c>
      <c r="BF10" s="1183">
        <f>BB10/AY10%</f>
        <v>100</v>
      </c>
      <c r="BG10" s="1183">
        <v>425722</v>
      </c>
      <c r="BH10" s="1183"/>
      <c r="BI10" s="1183">
        <f>BG10</f>
        <v>425722</v>
      </c>
      <c r="BJ10" s="1183">
        <f>BG10</f>
        <v>425722</v>
      </c>
      <c r="BK10" s="1183"/>
      <c r="BL10" s="1183">
        <f t="shared" ref="BL10:BL25" si="21">BJ10</f>
        <v>425722</v>
      </c>
      <c r="BM10" s="1184">
        <f>BJ10-BG10</f>
        <v>0</v>
      </c>
      <c r="BN10" s="1183">
        <f>BJ10/BG10%</f>
        <v>100</v>
      </c>
      <c r="BO10" s="1183">
        <v>363769</v>
      </c>
      <c r="BP10" s="1183"/>
      <c r="BQ10" s="1183">
        <f>BO10</f>
        <v>363769</v>
      </c>
      <c r="BR10" s="1183">
        <f>BO10</f>
        <v>363769</v>
      </c>
      <c r="BS10" s="1183"/>
      <c r="BT10" s="1183">
        <f t="shared" ref="BT10:BT25" si="22">BR10</f>
        <v>363769</v>
      </c>
      <c r="BU10" s="1184">
        <f>BR10-BO10</f>
        <v>0</v>
      </c>
      <c r="BV10" s="1183">
        <f>BR10/BO10%</f>
        <v>100</v>
      </c>
      <c r="BW10" s="1183">
        <v>343539</v>
      </c>
      <c r="BX10" s="1183"/>
      <c r="BY10" s="1183">
        <f>BW10</f>
        <v>343539</v>
      </c>
      <c r="BZ10" s="1183">
        <f>BW10</f>
        <v>343539</v>
      </c>
      <c r="CA10" s="1183"/>
      <c r="CB10" s="1183">
        <f t="shared" ref="CB10:CB25" si="23">BZ10</f>
        <v>343539</v>
      </c>
      <c r="CC10" s="1184">
        <f>BZ10-BW10</f>
        <v>0</v>
      </c>
      <c r="CD10" s="1183">
        <f>BZ10/BW10%</f>
        <v>100</v>
      </c>
      <c r="CE10" s="1183">
        <v>323859</v>
      </c>
      <c r="CF10" s="1183"/>
      <c r="CG10" s="1183">
        <f>CE10</f>
        <v>323859</v>
      </c>
      <c r="CH10" s="1183">
        <f>CE10</f>
        <v>323859</v>
      </c>
      <c r="CI10" s="1183"/>
      <c r="CJ10" s="1183">
        <f t="shared" ref="CJ10:CJ25" si="24">CH10</f>
        <v>323859</v>
      </c>
      <c r="CK10" s="1184">
        <f>CH10-CE10</f>
        <v>0</v>
      </c>
      <c r="CL10" s="1183">
        <f>CH10/CE10%</f>
        <v>100</v>
      </c>
      <c r="CM10" s="1183">
        <v>159099</v>
      </c>
      <c r="CN10" s="1183"/>
      <c r="CO10" s="1183">
        <f>CM10</f>
        <v>159099</v>
      </c>
      <c r="CP10" s="1183">
        <f>CM10</f>
        <v>159099</v>
      </c>
      <c r="CQ10" s="1183"/>
      <c r="CR10" s="1183">
        <f t="shared" ref="CR10:CR25" si="25">CP10</f>
        <v>159099</v>
      </c>
      <c r="CS10" s="1184">
        <f>CP10-CM10</f>
        <v>0</v>
      </c>
      <c r="CT10" s="1183">
        <f>CP10/CM10%</f>
        <v>100</v>
      </c>
      <c r="CU10" s="1183">
        <v>295461</v>
      </c>
      <c r="CV10" s="1183"/>
      <c r="CW10" s="1183">
        <f>CU10</f>
        <v>295461</v>
      </c>
      <c r="CX10" s="1183">
        <f>CU10</f>
        <v>295461</v>
      </c>
      <c r="CY10" s="1183"/>
      <c r="CZ10" s="1183">
        <f t="shared" ref="CZ10:CZ25" si="26">CX10</f>
        <v>295461</v>
      </c>
      <c r="DA10" s="1184">
        <f>CX10-CU10</f>
        <v>0</v>
      </c>
      <c r="DB10" s="1183">
        <f>CX10/CU10%</f>
        <v>100</v>
      </c>
    </row>
    <row r="11" spans="1:106" s="335" customFormat="1" ht="18.95" customHeight="1" x14ac:dyDescent="0.2">
      <c r="A11" s="343">
        <v>3</v>
      </c>
      <c r="B11" s="1185" t="s">
        <v>1470</v>
      </c>
      <c r="C11" s="1183">
        <f t="shared" si="15"/>
        <v>342197</v>
      </c>
      <c r="D11" s="1183"/>
      <c r="E11" s="1183">
        <f t="shared" si="16"/>
        <v>106365</v>
      </c>
      <c r="F11" s="1183">
        <f t="shared" ref="F11:H16" si="27">SUM(N11,V11,AD11,AL11,AT11,BB11,BJ11,BR11,BZ11,CH11,CP11,CX11)</f>
        <v>508829</v>
      </c>
      <c r="G11" s="1183">
        <f t="shared" si="27"/>
        <v>0</v>
      </c>
      <c r="H11" s="1183">
        <f t="shared" si="27"/>
        <v>508829</v>
      </c>
      <c r="I11" s="1184">
        <f t="shared" si="1"/>
        <v>166632</v>
      </c>
      <c r="J11" s="1183">
        <f>F11/C11%</f>
        <v>148.69475769805112</v>
      </c>
      <c r="K11" s="1183">
        <f t="shared" ref="K11:P11" si="28">SUM(K12:K14)</f>
        <v>47478</v>
      </c>
      <c r="L11" s="1183">
        <f t="shared" si="28"/>
        <v>0</v>
      </c>
      <c r="M11" s="1183">
        <f t="shared" si="28"/>
        <v>47478</v>
      </c>
      <c r="N11" s="1183">
        <f t="shared" si="28"/>
        <v>59799</v>
      </c>
      <c r="O11" s="1183">
        <f t="shared" si="28"/>
        <v>0</v>
      </c>
      <c r="P11" s="1183">
        <f t="shared" si="28"/>
        <v>59799</v>
      </c>
      <c r="Q11" s="1184">
        <f>N11-K11</f>
        <v>12321</v>
      </c>
      <c r="R11" s="1183"/>
      <c r="S11" s="1183">
        <f t="shared" ref="S11:X11" si="29">SUM(S12:S14)</f>
        <v>19404</v>
      </c>
      <c r="T11" s="1183">
        <f t="shared" si="29"/>
        <v>0</v>
      </c>
      <c r="U11" s="1183">
        <f t="shared" si="29"/>
        <v>19404</v>
      </c>
      <c r="V11" s="1183">
        <f t="shared" si="29"/>
        <v>38659</v>
      </c>
      <c r="W11" s="1183">
        <f t="shared" si="29"/>
        <v>0</v>
      </c>
      <c r="X11" s="1183">
        <f t="shared" si="29"/>
        <v>38659</v>
      </c>
      <c r="Y11" s="1184">
        <f>V11-S11</f>
        <v>19255</v>
      </c>
      <c r="Z11" s="1183"/>
      <c r="AA11" s="1183">
        <f>SUM(AA12:AA14)</f>
        <v>39483</v>
      </c>
      <c r="AB11" s="1183">
        <f>SUM(AB12:AB14)</f>
        <v>0</v>
      </c>
      <c r="AC11" s="1183">
        <f>SUM(AC12:AC14)</f>
        <v>39483</v>
      </c>
      <c r="AD11" s="1183">
        <f>SUM(AD12:AD14)</f>
        <v>42261</v>
      </c>
      <c r="AE11" s="1183">
        <f>SUM(AE12:AE14)</f>
        <v>0</v>
      </c>
      <c r="AF11" s="1183">
        <f t="shared" si="17"/>
        <v>42261</v>
      </c>
      <c r="AG11" s="1184">
        <f>AD11-AA11</f>
        <v>2778</v>
      </c>
      <c r="AH11" s="1183"/>
      <c r="AI11" s="1183">
        <f>SUM(AI12:AI14)</f>
        <v>46681</v>
      </c>
      <c r="AJ11" s="1183">
        <f>SUM(AJ12:AJ14)</f>
        <v>0</v>
      </c>
      <c r="AK11" s="1183">
        <f>SUM(AK12:AK14)</f>
        <v>0</v>
      </c>
      <c r="AL11" s="1183">
        <f>SUM(AL12:AL14)</f>
        <v>57859</v>
      </c>
      <c r="AM11" s="1183">
        <f>SUM(AM12:AM14)</f>
        <v>0</v>
      </c>
      <c r="AN11" s="1183">
        <f t="shared" si="18"/>
        <v>57859</v>
      </c>
      <c r="AO11" s="1184">
        <f t="shared" si="6"/>
        <v>11178</v>
      </c>
      <c r="AP11" s="1183"/>
      <c r="AQ11" s="1183">
        <f>SUM(AQ12:AQ14)</f>
        <v>28347</v>
      </c>
      <c r="AR11" s="1183">
        <f>SUM(AR12:AR14)</f>
        <v>0</v>
      </c>
      <c r="AS11" s="1183">
        <f>SUM(AS12:AS14)</f>
        <v>0</v>
      </c>
      <c r="AT11" s="1183">
        <f>SUM(AT12:AT14)</f>
        <v>41402</v>
      </c>
      <c r="AU11" s="1183">
        <f>SUM(AU12:AU14)</f>
        <v>0</v>
      </c>
      <c r="AV11" s="1183">
        <f t="shared" si="19"/>
        <v>41402</v>
      </c>
      <c r="AW11" s="1184">
        <f>AT11-AQ11</f>
        <v>13055</v>
      </c>
      <c r="AX11" s="1183"/>
      <c r="AY11" s="1183">
        <f>SUM(AY12:AY14)</f>
        <v>0</v>
      </c>
      <c r="AZ11" s="1183">
        <f>SUM(AZ12:AZ14)</f>
        <v>0</v>
      </c>
      <c r="BA11" s="1183">
        <f>SUM(BA12:BA14)</f>
        <v>0</v>
      </c>
      <c r="BB11" s="1183">
        <f>SUM(BB12:BB14)</f>
        <v>0</v>
      </c>
      <c r="BC11" s="1183">
        <f>SUM(BC12:BC14)</f>
        <v>0</v>
      </c>
      <c r="BD11" s="1183">
        <f t="shared" si="20"/>
        <v>0</v>
      </c>
      <c r="BE11" s="1184">
        <f>BB11-AY11</f>
        <v>0</v>
      </c>
      <c r="BF11" s="1183"/>
      <c r="BG11" s="1183">
        <f>SUM(BG12:BG14)</f>
        <v>45011</v>
      </c>
      <c r="BH11" s="1183">
        <f>SUM(BH12:BH14)</f>
        <v>0</v>
      </c>
      <c r="BI11" s="1183">
        <f>SUM(BI12:BI14)</f>
        <v>0</v>
      </c>
      <c r="BJ11" s="1183">
        <f>SUM(BJ12:BJ14)</f>
        <v>61624</v>
      </c>
      <c r="BK11" s="1183">
        <f>SUM(BK12:BK14)</f>
        <v>0</v>
      </c>
      <c r="BL11" s="1183">
        <f t="shared" si="21"/>
        <v>61624</v>
      </c>
      <c r="BM11" s="1184">
        <f>BJ11-BG11</f>
        <v>16613</v>
      </c>
      <c r="BN11" s="1183"/>
      <c r="BO11" s="1183">
        <f>SUM(BO12:BO14)</f>
        <v>39053</v>
      </c>
      <c r="BP11" s="1183">
        <f>SUM(BP12:BP14)</f>
        <v>0</v>
      </c>
      <c r="BQ11" s="1183">
        <f>SUM(BQ12:BQ14)</f>
        <v>0</v>
      </c>
      <c r="BR11" s="1183">
        <f>SUM(BR12:BR14)</f>
        <v>58327</v>
      </c>
      <c r="BS11" s="1183">
        <f>SUM(BS12:BS14)</f>
        <v>0</v>
      </c>
      <c r="BT11" s="1183">
        <f t="shared" si="22"/>
        <v>58327</v>
      </c>
      <c r="BU11" s="1184">
        <f>BR11-BO11</f>
        <v>19274</v>
      </c>
      <c r="BV11" s="1183"/>
      <c r="BW11" s="1183">
        <f>SUM(BW12:BW14)</f>
        <v>9873</v>
      </c>
      <c r="BX11" s="1183">
        <f>SUM(BX12:BX14)</f>
        <v>0</v>
      </c>
      <c r="BY11" s="1183">
        <f>SUM(BY12:BY14)</f>
        <v>0</v>
      </c>
      <c r="BZ11" s="1183">
        <f>SUM(BZ12:BZ14)</f>
        <v>46626</v>
      </c>
      <c r="CA11" s="1183">
        <f>SUM(CA12:CA14)</f>
        <v>0</v>
      </c>
      <c r="CB11" s="1183">
        <f t="shared" si="23"/>
        <v>46626</v>
      </c>
      <c r="CC11" s="1184">
        <f>BZ11-BW11</f>
        <v>36753</v>
      </c>
      <c r="CD11" s="1183"/>
      <c r="CE11" s="1183">
        <f>SUM(CE12:CE14)</f>
        <v>36666</v>
      </c>
      <c r="CF11" s="1183">
        <f>SUM(CF12:CF14)</f>
        <v>0</v>
      </c>
      <c r="CG11" s="1183">
        <f>SUM(CG12:CG14)</f>
        <v>0</v>
      </c>
      <c r="CH11" s="1183">
        <f>SUM(CH12:CH14)</f>
        <v>54623</v>
      </c>
      <c r="CI11" s="1183">
        <f>SUM(CI12:CI14)</f>
        <v>0</v>
      </c>
      <c r="CJ11" s="1183">
        <f t="shared" si="24"/>
        <v>54623</v>
      </c>
      <c r="CK11" s="1184">
        <f>CH11-CE11</f>
        <v>17957</v>
      </c>
      <c r="CL11" s="1183"/>
      <c r="CM11" s="1183">
        <f>SUM(CM12:CM14)</f>
        <v>0</v>
      </c>
      <c r="CN11" s="1183">
        <f>SUM(CN12:CN14)</f>
        <v>0</v>
      </c>
      <c r="CO11" s="1183">
        <f>SUM(CO12:CO14)</f>
        <v>0</v>
      </c>
      <c r="CP11" s="1183">
        <f>SUM(CP12:CP14)</f>
        <v>0</v>
      </c>
      <c r="CQ11" s="1183">
        <f>SUM(CQ12:CQ14)</f>
        <v>0</v>
      </c>
      <c r="CR11" s="1183">
        <f t="shared" si="25"/>
        <v>0</v>
      </c>
      <c r="CS11" s="1184">
        <f>CP11-CM11</f>
        <v>0</v>
      </c>
      <c r="CT11" s="1183"/>
      <c r="CU11" s="1183">
        <f>SUM(CU12:CU14)</f>
        <v>30201</v>
      </c>
      <c r="CV11" s="1183">
        <f>SUM(CV12:CV14)</f>
        <v>0</v>
      </c>
      <c r="CW11" s="1183">
        <f>SUM(CW12:CW14)</f>
        <v>0</v>
      </c>
      <c r="CX11" s="1183">
        <f>SUM(CX12:CX14)</f>
        <v>47649</v>
      </c>
      <c r="CY11" s="1183">
        <f>SUM(CY12:CY14)</f>
        <v>0</v>
      </c>
      <c r="CZ11" s="1183">
        <f t="shared" si="26"/>
        <v>47649</v>
      </c>
      <c r="DA11" s="1184">
        <f>CX11-CU11</f>
        <v>17448</v>
      </c>
      <c r="DB11" s="1183"/>
    </row>
    <row r="12" spans="1:106" s="592" customFormat="1" ht="18.95" customHeight="1" x14ac:dyDescent="0.25">
      <c r="A12" s="345" t="s">
        <v>434</v>
      </c>
      <c r="B12" s="588" t="s">
        <v>1472</v>
      </c>
      <c r="C12" s="589">
        <f t="shared" si="15"/>
        <v>342197</v>
      </c>
      <c r="D12" s="589"/>
      <c r="E12" s="589">
        <f t="shared" si="16"/>
        <v>106365</v>
      </c>
      <c r="F12" s="589">
        <f t="shared" si="27"/>
        <v>342197</v>
      </c>
      <c r="G12" s="589">
        <f>SUM(O12,W12,AE12,AM12,AU12,BC12,BK12,BS12,CA12,CI12,CQ12,CY12)</f>
        <v>0</v>
      </c>
      <c r="H12" s="589">
        <f>SUM(P12,X12,AF12,AN12,AV12,BD12,BL12,BT12,CB12,CJ12,CR12,CZ12)</f>
        <v>342197</v>
      </c>
      <c r="I12" s="566">
        <f t="shared" si="1"/>
        <v>0</v>
      </c>
      <c r="J12" s="589"/>
      <c r="K12" s="589">
        <v>47478</v>
      </c>
      <c r="L12" s="589"/>
      <c r="M12" s="589">
        <f>K12</f>
        <v>47478</v>
      </c>
      <c r="N12" s="589">
        <f>K12</f>
        <v>47478</v>
      </c>
      <c r="O12" s="589"/>
      <c r="P12" s="589">
        <f t="shared" ref="P12:P17" si="30">N12</f>
        <v>47478</v>
      </c>
      <c r="Q12" s="591"/>
      <c r="R12" s="589"/>
      <c r="S12" s="589">
        <v>19404</v>
      </c>
      <c r="T12" s="589"/>
      <c r="U12" s="589">
        <f>S12</f>
        <v>19404</v>
      </c>
      <c r="V12" s="589">
        <f>S12</f>
        <v>19404</v>
      </c>
      <c r="W12" s="589"/>
      <c r="X12" s="589">
        <f t="shared" ref="X12:X17" si="31">V12</f>
        <v>19404</v>
      </c>
      <c r="Y12" s="590"/>
      <c r="Z12" s="589"/>
      <c r="AA12" s="589">
        <v>39483</v>
      </c>
      <c r="AB12" s="589"/>
      <c r="AC12" s="589">
        <f>AA12</f>
        <v>39483</v>
      </c>
      <c r="AD12" s="589">
        <f>AA12</f>
        <v>39483</v>
      </c>
      <c r="AE12" s="589"/>
      <c r="AF12" s="589">
        <f t="shared" si="17"/>
        <v>39483</v>
      </c>
      <c r="AG12" s="590"/>
      <c r="AH12" s="589"/>
      <c r="AI12" s="589">
        <v>46681</v>
      </c>
      <c r="AJ12" s="589"/>
      <c r="AK12" s="589"/>
      <c r="AL12" s="589">
        <f>AI12</f>
        <v>46681</v>
      </c>
      <c r="AM12" s="589"/>
      <c r="AN12" s="589">
        <f t="shared" si="18"/>
        <v>46681</v>
      </c>
      <c r="AO12" s="566">
        <f t="shared" si="6"/>
        <v>0</v>
      </c>
      <c r="AP12" s="589"/>
      <c r="AQ12" s="589">
        <v>28347</v>
      </c>
      <c r="AR12" s="589"/>
      <c r="AS12" s="589"/>
      <c r="AT12" s="589">
        <f>AQ12</f>
        <v>28347</v>
      </c>
      <c r="AU12" s="589"/>
      <c r="AV12" s="589">
        <f t="shared" si="19"/>
        <v>28347</v>
      </c>
      <c r="AW12" s="590"/>
      <c r="AX12" s="589"/>
      <c r="AY12" s="589">
        <f>0+0+0</f>
        <v>0</v>
      </c>
      <c r="AZ12" s="589"/>
      <c r="BA12" s="589"/>
      <c r="BB12" s="589">
        <f>AY12</f>
        <v>0</v>
      </c>
      <c r="BC12" s="589"/>
      <c r="BD12" s="589">
        <f t="shared" si="20"/>
        <v>0</v>
      </c>
      <c r="BE12" s="590"/>
      <c r="BF12" s="589"/>
      <c r="BG12" s="589">
        <v>45011</v>
      </c>
      <c r="BH12" s="589"/>
      <c r="BI12" s="589"/>
      <c r="BJ12" s="589">
        <f>BG12</f>
        <v>45011</v>
      </c>
      <c r="BK12" s="589">
        <f>IF($BK$14&gt;0,'CCTL nam 2020- 2021'!K23,0)</f>
        <v>0</v>
      </c>
      <c r="BL12" s="589">
        <f t="shared" si="21"/>
        <v>45011</v>
      </c>
      <c r="BM12" s="590"/>
      <c r="BN12" s="589"/>
      <c r="BO12" s="589">
        <v>39053</v>
      </c>
      <c r="BP12" s="589"/>
      <c r="BQ12" s="589"/>
      <c r="BR12" s="589">
        <f>BO12</f>
        <v>39053</v>
      </c>
      <c r="BS12" s="589"/>
      <c r="BT12" s="589">
        <f t="shared" si="22"/>
        <v>39053</v>
      </c>
      <c r="BU12" s="590"/>
      <c r="BV12" s="589"/>
      <c r="BW12" s="589">
        <v>9873</v>
      </c>
      <c r="BX12" s="589"/>
      <c r="BY12" s="589"/>
      <c r="BZ12" s="589">
        <f>BW12</f>
        <v>9873</v>
      </c>
      <c r="CA12" s="589"/>
      <c r="CB12" s="589">
        <f t="shared" si="23"/>
        <v>9873</v>
      </c>
      <c r="CC12" s="590"/>
      <c r="CD12" s="589"/>
      <c r="CE12" s="589">
        <v>36666</v>
      </c>
      <c r="CF12" s="589"/>
      <c r="CG12" s="589"/>
      <c r="CH12" s="589">
        <f>CE12</f>
        <v>36666</v>
      </c>
      <c r="CI12" s="589"/>
      <c r="CJ12" s="589">
        <f t="shared" si="24"/>
        <v>36666</v>
      </c>
      <c r="CK12" s="590"/>
      <c r="CL12" s="589"/>
      <c r="CM12" s="589">
        <v>0</v>
      </c>
      <c r="CN12" s="589"/>
      <c r="CO12" s="589"/>
      <c r="CP12" s="589">
        <f>CM12</f>
        <v>0</v>
      </c>
      <c r="CQ12" s="589"/>
      <c r="CR12" s="589">
        <f t="shared" si="25"/>
        <v>0</v>
      </c>
      <c r="CS12" s="590"/>
      <c r="CT12" s="589"/>
      <c r="CU12" s="589">
        <v>30201</v>
      </c>
      <c r="CV12" s="589"/>
      <c r="CW12" s="589"/>
      <c r="CX12" s="589">
        <f>CU12</f>
        <v>30201</v>
      </c>
      <c r="CY12" s="589"/>
      <c r="CZ12" s="589">
        <f t="shared" si="26"/>
        <v>30201</v>
      </c>
      <c r="DA12" s="590"/>
      <c r="DB12" s="589"/>
    </row>
    <row r="13" spans="1:106" s="592" customFormat="1" ht="18.95" customHeight="1" x14ac:dyDescent="0.25">
      <c r="A13" s="345" t="s">
        <v>435</v>
      </c>
      <c r="B13" s="588" t="s">
        <v>1507</v>
      </c>
      <c r="C13" s="589">
        <f t="shared" si="15"/>
        <v>0</v>
      </c>
      <c r="D13" s="589"/>
      <c r="E13" s="589">
        <f t="shared" si="16"/>
        <v>0</v>
      </c>
      <c r="F13" s="589">
        <f t="shared" si="27"/>
        <v>4442</v>
      </c>
      <c r="G13" s="589">
        <f>SUM(O13,W13,AE13,AM13,AU13,BC13,BK13,BS13,CA13,CI13,CQ13,CY13)</f>
        <v>0</v>
      </c>
      <c r="H13" s="589">
        <f>SUM(P13,X13,AF13,AN13,AV13,BD13,BL13,BT13,CB13,CJ13,CR13,CZ13)</f>
        <v>4442</v>
      </c>
      <c r="I13" s="566">
        <f t="shared" si="1"/>
        <v>4442</v>
      </c>
      <c r="J13" s="589"/>
      <c r="K13" s="589"/>
      <c r="L13" s="589"/>
      <c r="M13" s="589"/>
      <c r="N13" s="589">
        <f>IF($N$14&gt;0,'CCTL nam 2020- 2021'!E24,0)</f>
        <v>594</v>
      </c>
      <c r="O13" s="589"/>
      <c r="P13" s="589">
        <f t="shared" si="30"/>
        <v>594</v>
      </c>
      <c r="Q13" s="591"/>
      <c r="R13" s="589"/>
      <c r="S13" s="589"/>
      <c r="T13" s="589"/>
      <c r="U13" s="589"/>
      <c r="V13" s="589">
        <f>IF($V$14&gt;0,'CCTL nam 2020- 2021'!F24,0)</f>
        <v>403</v>
      </c>
      <c r="W13" s="589"/>
      <c r="X13" s="589">
        <f t="shared" si="31"/>
        <v>403</v>
      </c>
      <c r="Y13" s="590"/>
      <c r="Z13" s="589"/>
      <c r="AA13" s="589"/>
      <c r="AB13" s="589"/>
      <c r="AC13" s="589"/>
      <c r="AD13" s="589">
        <f>IF($AD$14&gt;0,'CCTL nam 2020- 2021'!G24,0)</f>
        <v>586</v>
      </c>
      <c r="AE13" s="589"/>
      <c r="AF13" s="589">
        <f t="shared" si="17"/>
        <v>586</v>
      </c>
      <c r="AG13" s="590"/>
      <c r="AH13" s="589"/>
      <c r="AI13" s="589"/>
      <c r="AJ13" s="589"/>
      <c r="AK13" s="589"/>
      <c r="AL13" s="589">
        <f>IF($AL$14&gt;0,'CCTL nam 2020- 2021'!H24,0)</f>
        <v>309</v>
      </c>
      <c r="AM13" s="589"/>
      <c r="AN13" s="589">
        <f t="shared" si="18"/>
        <v>309</v>
      </c>
      <c r="AO13" s="566">
        <f t="shared" si="6"/>
        <v>309</v>
      </c>
      <c r="AP13" s="589"/>
      <c r="AQ13" s="589"/>
      <c r="AR13" s="589"/>
      <c r="AS13" s="589"/>
      <c r="AT13" s="589">
        <f>INT(IF($AT$14&gt;0,'CCTL nam 2020- 2021'!I24,0))</f>
        <v>411</v>
      </c>
      <c r="AU13" s="589"/>
      <c r="AV13" s="589">
        <f t="shared" si="19"/>
        <v>411</v>
      </c>
      <c r="AW13" s="590"/>
      <c r="AX13" s="589"/>
      <c r="AY13" s="589"/>
      <c r="AZ13" s="589"/>
      <c r="BA13" s="589"/>
      <c r="BB13" s="589">
        <f>IF($BB$14&gt;0,'CCTL nam 2020- 2021'!J24,0)</f>
        <v>0</v>
      </c>
      <c r="BC13" s="589"/>
      <c r="BD13" s="589">
        <f t="shared" si="20"/>
        <v>0</v>
      </c>
      <c r="BE13" s="590"/>
      <c r="BF13" s="589"/>
      <c r="BG13" s="589"/>
      <c r="BH13" s="589"/>
      <c r="BI13" s="589"/>
      <c r="BJ13" s="589">
        <f>IF($BJ$14&gt;0,'CCTL nam 2020- 2021'!K24,0)</f>
        <v>508</v>
      </c>
      <c r="BK13" s="589">
        <f>IF($BK$14&gt;0,'CCTL nam 2020- 2021'!K24,0)</f>
        <v>0</v>
      </c>
      <c r="BL13" s="589">
        <f t="shared" si="21"/>
        <v>508</v>
      </c>
      <c r="BM13" s="590"/>
      <c r="BN13" s="589"/>
      <c r="BO13" s="589"/>
      <c r="BP13" s="589"/>
      <c r="BQ13" s="589"/>
      <c r="BR13" s="589">
        <f>IF($BR$14&gt;0,'CCTL nam 2020- 2021'!L24,0)</f>
        <v>422</v>
      </c>
      <c r="BS13" s="589"/>
      <c r="BT13" s="589">
        <f t="shared" si="22"/>
        <v>422</v>
      </c>
      <c r="BU13" s="590"/>
      <c r="BV13" s="589"/>
      <c r="BW13" s="589">
        <v>0</v>
      </c>
      <c r="BX13" s="589"/>
      <c r="BY13" s="589"/>
      <c r="BZ13" s="589">
        <f>INT(IF($BZ$14&gt;0,'CCTL nam 2020- 2021'!M24,0))</f>
        <v>445</v>
      </c>
      <c r="CA13" s="589"/>
      <c r="CB13" s="589">
        <f t="shared" si="23"/>
        <v>445</v>
      </c>
      <c r="CC13" s="590"/>
      <c r="CD13" s="589"/>
      <c r="CE13" s="589"/>
      <c r="CF13" s="589"/>
      <c r="CG13" s="589"/>
      <c r="CH13" s="589">
        <f>IF($CH$14&gt;0,'CCTL nam 2020- 2021'!N24,0)</f>
        <v>396</v>
      </c>
      <c r="CI13" s="589"/>
      <c r="CJ13" s="589">
        <f t="shared" si="24"/>
        <v>396</v>
      </c>
      <c r="CK13" s="590"/>
      <c r="CL13" s="589"/>
      <c r="CM13" s="589"/>
      <c r="CN13" s="589"/>
      <c r="CO13" s="589"/>
      <c r="CP13" s="589">
        <f>IF($CP$14&gt;0,'CCTL nam 2020- 2021'!O24,0)</f>
        <v>0</v>
      </c>
      <c r="CQ13" s="589"/>
      <c r="CR13" s="589">
        <f t="shared" si="25"/>
        <v>0</v>
      </c>
      <c r="CS13" s="590"/>
      <c r="CT13" s="589"/>
      <c r="CU13" s="589"/>
      <c r="CV13" s="589"/>
      <c r="CW13" s="589"/>
      <c r="CX13" s="589">
        <f>INT(IF($CX$14&gt;0,'CCTL nam 2020- 2021'!P24,0))</f>
        <v>368</v>
      </c>
      <c r="CY13" s="589"/>
      <c r="CZ13" s="589">
        <f t="shared" si="26"/>
        <v>368</v>
      </c>
      <c r="DA13" s="590"/>
      <c r="DB13" s="589"/>
    </row>
    <row r="14" spans="1:106" s="592" customFormat="1" ht="18.95" customHeight="1" x14ac:dyDescent="0.25">
      <c r="A14" s="345" t="s">
        <v>436</v>
      </c>
      <c r="B14" s="588" t="s">
        <v>1508</v>
      </c>
      <c r="C14" s="589">
        <f t="shared" si="15"/>
        <v>0</v>
      </c>
      <c r="D14" s="589"/>
      <c r="E14" s="589">
        <f t="shared" si="16"/>
        <v>0</v>
      </c>
      <c r="F14" s="589">
        <f t="shared" si="27"/>
        <v>162190</v>
      </c>
      <c r="G14" s="589"/>
      <c r="H14" s="589">
        <f>SUM(P14,X14,AF14,AN14,AV14,BD14,BL14,BT14,CB14,CJ14,CR14,CZ14)</f>
        <v>162190</v>
      </c>
      <c r="I14" s="566"/>
      <c r="J14" s="589"/>
      <c r="K14" s="589"/>
      <c r="L14" s="589"/>
      <c r="M14" s="589"/>
      <c r="N14" s="589">
        <f>IF(('CCTL nam 2020- 2021'!E34)&gt;0,0,-('CCTL nam 2020- 2021'!E34))</f>
        <v>11727</v>
      </c>
      <c r="O14" s="589"/>
      <c r="P14" s="589">
        <f t="shared" si="30"/>
        <v>11727</v>
      </c>
      <c r="Q14" s="591"/>
      <c r="R14" s="589"/>
      <c r="S14" s="589"/>
      <c r="T14" s="589"/>
      <c r="U14" s="589"/>
      <c r="V14" s="589">
        <f>IF(('CCTL nam 2020- 2021'!F34)&gt;0,0,-('CCTL nam 2020- 2021'!F34))</f>
        <v>18852</v>
      </c>
      <c r="W14" s="589"/>
      <c r="X14" s="589">
        <f t="shared" si="31"/>
        <v>18852</v>
      </c>
      <c r="Y14" s="590"/>
      <c r="Z14" s="589"/>
      <c r="AA14" s="589"/>
      <c r="AB14" s="589"/>
      <c r="AC14" s="589"/>
      <c r="AD14" s="589">
        <f>IF(('CCTL nam 2020- 2021'!G34)&gt;0,0,-('CCTL nam 2020- 2021'!G34))</f>
        <v>2192</v>
      </c>
      <c r="AE14" s="589"/>
      <c r="AF14" s="589">
        <f t="shared" si="17"/>
        <v>2192</v>
      </c>
      <c r="AG14" s="590"/>
      <c r="AH14" s="589"/>
      <c r="AI14" s="589"/>
      <c r="AJ14" s="589"/>
      <c r="AK14" s="589"/>
      <c r="AL14" s="589">
        <f>IF(('CCTL nam 2020- 2021'!H34)&gt;0,0,-('CCTL nam 2020- 2021'!H34))</f>
        <v>10869</v>
      </c>
      <c r="AM14" s="589"/>
      <c r="AN14" s="589">
        <f t="shared" si="18"/>
        <v>10869</v>
      </c>
      <c r="AO14" s="566"/>
      <c r="AP14" s="589"/>
      <c r="AQ14" s="589"/>
      <c r="AR14" s="589"/>
      <c r="AS14" s="589"/>
      <c r="AT14" s="589">
        <f>INT(IF(('CCTL nam 2020- 2021'!I34)&gt;0,0,-('CCTL nam 2020- 2021'!I34)))</f>
        <v>12644</v>
      </c>
      <c r="AU14" s="589"/>
      <c r="AV14" s="589">
        <f t="shared" si="19"/>
        <v>12644</v>
      </c>
      <c r="AW14" s="590"/>
      <c r="AX14" s="589"/>
      <c r="AY14" s="589"/>
      <c r="AZ14" s="589"/>
      <c r="BA14" s="589"/>
      <c r="BB14" s="589">
        <f>IF(('CCTL nam 2020- 2021'!J34)&gt;0,0,-('CCTL nam 2020- 2021'!J34))</f>
        <v>0</v>
      </c>
      <c r="BC14" s="589"/>
      <c r="BD14" s="589">
        <f t="shared" si="20"/>
        <v>0</v>
      </c>
      <c r="BE14" s="590"/>
      <c r="BF14" s="589"/>
      <c r="BG14" s="589"/>
      <c r="BH14" s="589"/>
      <c r="BI14" s="589"/>
      <c r="BJ14" s="589">
        <f>IF(('CCTL nam 2020- 2021'!K34)&gt;0,0,-('CCTL nam 2020- 2021'!K34))</f>
        <v>16105</v>
      </c>
      <c r="BK14" s="589"/>
      <c r="BL14" s="589">
        <f t="shared" si="21"/>
        <v>16105</v>
      </c>
      <c r="BM14" s="590"/>
      <c r="BN14" s="589"/>
      <c r="BO14" s="589"/>
      <c r="BP14" s="589"/>
      <c r="BQ14" s="589"/>
      <c r="BR14" s="589">
        <f>IF(('CCTL nam 2020- 2021'!L34)&gt;0,0,-('CCTL nam 2020- 2021'!L34))</f>
        <v>18852</v>
      </c>
      <c r="BS14" s="589"/>
      <c r="BT14" s="589">
        <f t="shared" si="22"/>
        <v>18852</v>
      </c>
      <c r="BU14" s="590"/>
      <c r="BV14" s="589"/>
      <c r="BW14" s="589"/>
      <c r="BX14" s="589"/>
      <c r="BY14" s="589"/>
      <c r="BZ14" s="589">
        <f>INT(IF(('CCTL nam 2020- 2021'!M34)&gt;0,0,-('CCTL nam 2020- 2021'!M34)))</f>
        <v>36308</v>
      </c>
      <c r="CA14" s="589"/>
      <c r="CB14" s="589">
        <f t="shared" si="23"/>
        <v>36308</v>
      </c>
      <c r="CC14" s="590"/>
      <c r="CD14" s="589"/>
      <c r="CE14" s="589"/>
      <c r="CF14" s="589"/>
      <c r="CG14" s="589"/>
      <c r="CH14" s="589">
        <f>IF(('CCTL nam 2020- 2021'!N34)&gt;0,0,-('CCTL nam 2020- 2021'!N34))</f>
        <v>17561</v>
      </c>
      <c r="CI14" s="589"/>
      <c r="CJ14" s="589">
        <f t="shared" si="24"/>
        <v>17561</v>
      </c>
      <c r="CK14" s="590"/>
      <c r="CL14" s="589"/>
      <c r="CM14" s="589"/>
      <c r="CN14" s="589"/>
      <c r="CO14" s="589"/>
      <c r="CP14" s="589">
        <f>IF(('CCTL nam 2020- 2021'!O34)&gt;0,0,-('CCTL nam 2020- 2021'!O34))</f>
        <v>0</v>
      </c>
      <c r="CQ14" s="589"/>
      <c r="CR14" s="589">
        <f t="shared" si="25"/>
        <v>0</v>
      </c>
      <c r="CS14" s="590"/>
      <c r="CT14" s="589"/>
      <c r="CU14" s="589"/>
      <c r="CV14" s="589"/>
      <c r="CW14" s="589"/>
      <c r="CX14" s="589">
        <f>INT(IF(('CCTL nam 2020- 2021'!P34)&gt;0,0,-('CCTL nam 2020- 2021'!P34)))</f>
        <v>17080</v>
      </c>
      <c r="CY14" s="589"/>
      <c r="CZ14" s="589">
        <f t="shared" si="26"/>
        <v>17080</v>
      </c>
      <c r="DA14" s="590"/>
      <c r="DB14" s="589"/>
    </row>
    <row r="15" spans="1:106" s="1205" customFormat="1" ht="18.95" customHeight="1" x14ac:dyDescent="0.2">
      <c r="A15" s="1204">
        <v>4</v>
      </c>
      <c r="B15" s="1185" t="s">
        <v>648</v>
      </c>
      <c r="C15" s="1183">
        <f>+K15+S15+AA15+AI15+AQ15+AY15+BG15+BO15+BW15+CE15+CM15+CU15</f>
        <v>685</v>
      </c>
      <c r="D15" s="1183"/>
      <c r="E15" s="1183">
        <f>+M15+U15+AC15+AK15+AS15+BA15+BI15+BQ15+BY15+CG15+CO15+CW15</f>
        <v>685</v>
      </c>
      <c r="F15" s="1183">
        <f t="shared" si="27"/>
        <v>0</v>
      </c>
      <c r="G15" s="1183">
        <f>SUM(O15,W15,AE15,AM15,AU15,BC15,BK15,BS15,CA15,CI15,CQ15,CY15)</f>
        <v>0</v>
      </c>
      <c r="H15" s="1183">
        <f>SUM(P15,X15,AF15,AN15,AV15,BD15,BL15,BT15,CB15,CJ15,CR15,CZ15)</f>
        <v>0</v>
      </c>
      <c r="I15" s="1184">
        <f>F15-C15</f>
        <v>-685</v>
      </c>
      <c r="J15" s="1183"/>
      <c r="K15" s="1183">
        <v>0</v>
      </c>
      <c r="L15" s="1183"/>
      <c r="M15" s="1183">
        <f>K15</f>
        <v>0</v>
      </c>
      <c r="N15" s="1183">
        <f>IF('Thu NSH'!V39&gt;37000,0,-('Thu NSH'!V39-37000)/2)</f>
        <v>0</v>
      </c>
      <c r="O15" s="1183"/>
      <c r="P15" s="1183">
        <f t="shared" si="30"/>
        <v>0</v>
      </c>
      <c r="Q15" s="1184">
        <f>N15-K15</f>
        <v>0</v>
      </c>
      <c r="R15" s="1183"/>
      <c r="S15" s="1183">
        <v>0</v>
      </c>
      <c r="T15" s="1183"/>
      <c r="U15" s="1183"/>
      <c r="V15" s="1183"/>
      <c r="W15" s="1183"/>
      <c r="X15" s="1183">
        <f>V15</f>
        <v>0</v>
      </c>
      <c r="Y15" s="1184">
        <f>V15-S15</f>
        <v>0</v>
      </c>
      <c r="Z15" s="1183"/>
      <c r="AA15" s="1183">
        <v>0</v>
      </c>
      <c r="AB15" s="1183"/>
      <c r="AC15" s="1183"/>
      <c r="AD15" s="1183">
        <f>IF('Thu NSH'!AT39&gt;24610,0,-('Thu NSH'!AT39-24610)/2)</f>
        <v>0</v>
      </c>
      <c r="AE15" s="1183"/>
      <c r="AF15" s="1183">
        <f>AD15</f>
        <v>0</v>
      </c>
      <c r="AG15" s="1184">
        <f>AD15-AA15</f>
        <v>0</v>
      </c>
      <c r="AH15" s="1183"/>
      <c r="AI15" s="1183">
        <v>685</v>
      </c>
      <c r="AJ15" s="1183"/>
      <c r="AK15" s="1183">
        <f>AI15</f>
        <v>685</v>
      </c>
      <c r="AL15" s="1183"/>
      <c r="AM15" s="1183"/>
      <c r="AN15" s="1183">
        <f>AL15</f>
        <v>0</v>
      </c>
      <c r="AO15" s="1184">
        <f>AL15-AI15</f>
        <v>-685</v>
      </c>
      <c r="AP15" s="1183"/>
      <c r="AQ15" s="1183">
        <v>0</v>
      </c>
      <c r="AR15" s="1183"/>
      <c r="AS15" s="1183"/>
      <c r="AT15" s="1183">
        <f>IF('Thu NSH'!BR39&gt;69330,0,-('Thu NSH'!BR39-69330)/2)</f>
        <v>0</v>
      </c>
      <c r="AU15" s="1183"/>
      <c r="AV15" s="1183">
        <f>AT15</f>
        <v>0</v>
      </c>
      <c r="AW15" s="1184">
        <f>AT15-AQ15</f>
        <v>0</v>
      </c>
      <c r="AX15" s="1183"/>
      <c r="AY15" s="1183">
        <v>0</v>
      </c>
      <c r="AZ15" s="1183"/>
      <c r="BA15" s="1183"/>
      <c r="BB15" s="1183">
        <f>IF('Thu NSH'!CD39&gt;324940,0,-('Thu NSH'!CD39-324940)/2)</f>
        <v>0</v>
      </c>
      <c r="BC15" s="1183"/>
      <c r="BD15" s="1183">
        <f>BB15</f>
        <v>0</v>
      </c>
      <c r="BE15" s="1184">
        <f>BB15-AY15</f>
        <v>0</v>
      </c>
      <c r="BF15" s="1183"/>
      <c r="BG15" s="1183">
        <v>0</v>
      </c>
      <c r="BH15" s="1183"/>
      <c r="BI15" s="1183"/>
      <c r="BJ15" s="1183">
        <f>IF('Thu NSH'!CP39&gt;73980,0,-('Thu NSH'!CP39-73980)/2)</f>
        <v>0</v>
      </c>
      <c r="BK15" s="1183"/>
      <c r="BL15" s="1183">
        <f>BJ15</f>
        <v>0</v>
      </c>
      <c r="BM15" s="1184">
        <f>BJ15-BG15</f>
        <v>0</v>
      </c>
      <c r="BN15" s="1183"/>
      <c r="BO15" s="1183">
        <v>0</v>
      </c>
      <c r="BP15" s="1183"/>
      <c r="BQ15" s="1183"/>
      <c r="BR15" s="1183">
        <f>IF('Thu NSH'!DB39&gt;52710,0,-('Thu NSH'!DB39-52710)/2)</f>
        <v>0</v>
      </c>
      <c r="BS15" s="1183"/>
      <c r="BT15" s="1183">
        <f>BR15</f>
        <v>0</v>
      </c>
      <c r="BU15" s="1184">
        <f>BR15-BO15</f>
        <v>0</v>
      </c>
      <c r="BV15" s="1183"/>
      <c r="BW15" s="1183">
        <v>0</v>
      </c>
      <c r="BX15" s="1183"/>
      <c r="BY15" s="1183"/>
      <c r="BZ15" s="1183">
        <f>IF('Thu NSH'!DN39&gt;94220,0,-('Thu NSH'!DN39-94220)/2)</f>
        <v>0</v>
      </c>
      <c r="CA15" s="1183"/>
      <c r="CB15" s="1183">
        <f>BZ15</f>
        <v>0</v>
      </c>
      <c r="CC15" s="1184">
        <f>BZ15-BW15</f>
        <v>0</v>
      </c>
      <c r="CD15" s="1183"/>
      <c r="CE15" s="1183">
        <v>0</v>
      </c>
      <c r="CF15" s="1183"/>
      <c r="CG15" s="1183"/>
      <c r="CH15" s="1183">
        <f>IF('Thu NSH'!DZ39&gt;60420,0,-('Thu NSH'!DZ39-60420)/2)</f>
        <v>0</v>
      </c>
      <c r="CI15" s="1183"/>
      <c r="CJ15" s="1183">
        <f>CH15</f>
        <v>0</v>
      </c>
      <c r="CK15" s="1184">
        <f>CH15-CE15</f>
        <v>0</v>
      </c>
      <c r="CL15" s="1183"/>
      <c r="CM15" s="1183">
        <f>0</f>
        <v>0</v>
      </c>
      <c r="CN15" s="1183"/>
      <c r="CO15" s="1183"/>
      <c r="CP15" s="1183">
        <f>5155-5155</f>
        <v>0</v>
      </c>
      <c r="CQ15" s="1183"/>
      <c r="CR15" s="1183">
        <f>CP15</f>
        <v>0</v>
      </c>
      <c r="CS15" s="1184">
        <f>CP15-CM15</f>
        <v>0</v>
      </c>
      <c r="CT15" s="1183"/>
      <c r="CU15" s="1183">
        <v>0</v>
      </c>
      <c r="CV15" s="1183"/>
      <c r="CW15" s="1183"/>
      <c r="CX15" s="1183">
        <f>IF('Thu NSH'!EX39&gt;58010,0,-('Thu NSH'!EX39-58010)/2)</f>
        <v>0</v>
      </c>
      <c r="CY15" s="1183"/>
      <c r="CZ15" s="1183">
        <f>CX15</f>
        <v>0</v>
      </c>
      <c r="DA15" s="1184">
        <f>CX15-CU15</f>
        <v>0</v>
      </c>
      <c r="DB15" s="1183"/>
    </row>
    <row r="16" spans="1:106" s="335" customFormat="1" ht="18.95" customHeight="1" x14ac:dyDescent="0.2">
      <c r="A16" s="343">
        <v>5</v>
      </c>
      <c r="B16" s="1185" t="s">
        <v>373</v>
      </c>
      <c r="C16" s="1183">
        <f t="shared" si="15"/>
        <v>114645</v>
      </c>
      <c r="D16" s="1183"/>
      <c r="E16" s="1183">
        <f t="shared" si="16"/>
        <v>114645</v>
      </c>
      <c r="F16" s="1183">
        <f t="shared" si="27"/>
        <v>104088</v>
      </c>
      <c r="G16" s="1183">
        <f t="shared" si="27"/>
        <v>0</v>
      </c>
      <c r="H16" s="1183">
        <f t="shared" si="27"/>
        <v>104088</v>
      </c>
      <c r="I16" s="1184">
        <f>F16-C16</f>
        <v>-10557</v>
      </c>
      <c r="J16" s="1183"/>
      <c r="K16" s="1183">
        <v>15665</v>
      </c>
      <c r="L16" s="1183"/>
      <c r="M16" s="1183">
        <f>K16</f>
        <v>15665</v>
      </c>
      <c r="N16" s="1183">
        <f>INT('Chính sách chế độ 2020-2021'!AQ19)-6091</f>
        <v>10406</v>
      </c>
      <c r="O16" s="1183"/>
      <c r="P16" s="1183">
        <f t="shared" si="30"/>
        <v>10406</v>
      </c>
      <c r="Q16" s="1184">
        <f>N16-K16</f>
        <v>-5259</v>
      </c>
      <c r="R16" s="1183"/>
      <c r="S16" s="1183">
        <v>3056</v>
      </c>
      <c r="T16" s="1183"/>
      <c r="U16" s="1183">
        <f>S16</f>
        <v>3056</v>
      </c>
      <c r="V16" s="1183">
        <f>INT('Chính sách chế độ 2020-2021'!BL19)-897</f>
        <v>5191</v>
      </c>
      <c r="W16" s="1183"/>
      <c r="X16" s="1183">
        <f t="shared" si="31"/>
        <v>5191</v>
      </c>
      <c r="Y16" s="1184">
        <f>V16-S16</f>
        <v>2135</v>
      </c>
      <c r="Z16" s="1183"/>
      <c r="AA16" s="1183">
        <v>5240</v>
      </c>
      <c r="AB16" s="1183"/>
      <c r="AC16" s="1183">
        <f>AA16</f>
        <v>5240</v>
      </c>
      <c r="AD16" s="1183">
        <f>INT('Chính sách chế độ 2020-2021'!CG19)-4379</f>
        <v>0</v>
      </c>
      <c r="AE16" s="1183"/>
      <c r="AF16" s="1183">
        <f t="shared" si="17"/>
        <v>0</v>
      </c>
      <c r="AG16" s="1184">
        <f>AD16-AA16</f>
        <v>-5240</v>
      </c>
      <c r="AH16" s="1183"/>
      <c r="AI16" s="1183">
        <v>15466</v>
      </c>
      <c r="AJ16" s="1183"/>
      <c r="AK16" s="1183">
        <f>AI16</f>
        <v>15466</v>
      </c>
      <c r="AL16" s="1276">
        <f>INT('Chính sách chế độ 2020-2021'!DB19)-2719</f>
        <v>2619</v>
      </c>
      <c r="AM16" s="1183"/>
      <c r="AN16" s="1183">
        <f t="shared" si="18"/>
        <v>2619</v>
      </c>
      <c r="AO16" s="1184">
        <f>AL16-AI16</f>
        <v>-12847</v>
      </c>
      <c r="AP16" s="1183"/>
      <c r="AQ16" s="1183">
        <v>9326</v>
      </c>
      <c r="AR16" s="1183"/>
      <c r="AS16" s="1183">
        <f>AQ16</f>
        <v>9326</v>
      </c>
      <c r="AT16" s="1183">
        <f>INT('Chính sách chế độ 2020-2021'!DW19)</f>
        <v>13595</v>
      </c>
      <c r="AU16" s="1183"/>
      <c r="AV16" s="1183">
        <f t="shared" si="19"/>
        <v>13595</v>
      </c>
      <c r="AW16" s="1184">
        <f>AT16-AQ16</f>
        <v>4269</v>
      </c>
      <c r="AX16" s="1183"/>
      <c r="AY16" s="1183">
        <v>0</v>
      </c>
      <c r="AZ16" s="1183"/>
      <c r="BA16" s="1183">
        <f>AY16</f>
        <v>0</v>
      </c>
      <c r="BB16" s="1183">
        <f>INT('Chính sách chế độ 2020-2021'!ER19)-11904</f>
        <v>0</v>
      </c>
      <c r="BC16" s="1183"/>
      <c r="BD16" s="1183">
        <f t="shared" si="20"/>
        <v>0</v>
      </c>
      <c r="BE16" s="1184">
        <f>BB16-AY16</f>
        <v>0</v>
      </c>
      <c r="BF16" s="1183"/>
      <c r="BG16" s="1183">
        <v>15790</v>
      </c>
      <c r="BH16" s="1183"/>
      <c r="BI16" s="1183">
        <f>BG16</f>
        <v>15790</v>
      </c>
      <c r="BJ16" s="1183">
        <f>INT('Chính sách chế độ 2020-2021'!FM19)</f>
        <v>18949</v>
      </c>
      <c r="BK16" s="1183"/>
      <c r="BL16" s="1183">
        <f t="shared" si="21"/>
        <v>18949</v>
      </c>
      <c r="BM16" s="1184">
        <f>BJ16-BG16</f>
        <v>3159</v>
      </c>
      <c r="BN16" s="1183"/>
      <c r="BO16" s="1183">
        <v>8868</v>
      </c>
      <c r="BP16" s="1183"/>
      <c r="BQ16" s="1183">
        <f>BO16</f>
        <v>8868</v>
      </c>
      <c r="BR16" s="1183">
        <f>INT('Chính sách chế độ 2020-2021'!GH19)</f>
        <v>9881</v>
      </c>
      <c r="BS16" s="1183"/>
      <c r="BT16" s="1183">
        <f t="shared" si="22"/>
        <v>9881</v>
      </c>
      <c r="BU16" s="1184">
        <f>BR16-BO16</f>
        <v>1013</v>
      </c>
      <c r="BV16" s="1183"/>
      <c r="BW16" s="1183">
        <v>15662</v>
      </c>
      <c r="BX16" s="1183"/>
      <c r="BY16" s="1183">
        <f>BW16</f>
        <v>15662</v>
      </c>
      <c r="BZ16" s="1183">
        <f>INT('Chính sách chế độ 2020-2021'!HC19)</f>
        <v>16598</v>
      </c>
      <c r="CA16" s="1183"/>
      <c r="CB16" s="1183">
        <f t="shared" si="23"/>
        <v>16598</v>
      </c>
      <c r="CC16" s="1184">
        <f>BZ16-BW16</f>
        <v>936</v>
      </c>
      <c r="CD16" s="1183"/>
      <c r="CE16" s="1183">
        <v>11046</v>
      </c>
      <c r="CF16" s="1183"/>
      <c r="CG16" s="1183">
        <f>CE16</f>
        <v>11046</v>
      </c>
      <c r="CH16" s="1183">
        <f>INT('Chính sách chế độ 2020-2021'!HX19)-229</f>
        <v>13311</v>
      </c>
      <c r="CI16" s="1183"/>
      <c r="CJ16" s="1183">
        <f t="shared" si="24"/>
        <v>13311</v>
      </c>
      <c r="CK16" s="1184">
        <f>CH16-CE16</f>
        <v>2265</v>
      </c>
      <c r="CL16" s="1183"/>
      <c r="CM16" s="1183">
        <f>0</f>
        <v>0</v>
      </c>
      <c r="CN16" s="1183"/>
      <c r="CO16" s="1183">
        <f>CM16</f>
        <v>0</v>
      </c>
      <c r="CP16" s="1183">
        <f>INT('Chính sách chế độ 2020-2021'!IS19)-10956</f>
        <v>0</v>
      </c>
      <c r="CQ16" s="1183"/>
      <c r="CR16" s="1183">
        <f t="shared" si="25"/>
        <v>0</v>
      </c>
      <c r="CS16" s="1184">
        <f>CP16-CM16</f>
        <v>0</v>
      </c>
      <c r="CT16" s="1183"/>
      <c r="CU16" s="1183">
        <v>14526</v>
      </c>
      <c r="CV16" s="1183"/>
      <c r="CW16" s="1183">
        <f>CU16</f>
        <v>14526</v>
      </c>
      <c r="CX16" s="1183">
        <f>INT('Chính sách chế độ 2020-2021'!JN19)-1548</f>
        <v>13538</v>
      </c>
      <c r="CY16" s="1183"/>
      <c r="CZ16" s="1183">
        <f t="shared" si="26"/>
        <v>13538</v>
      </c>
      <c r="DA16" s="1184">
        <f>CX16-CU16</f>
        <v>-988</v>
      </c>
      <c r="DB16" s="1183"/>
    </row>
    <row r="17" spans="1:106" s="335" customFormat="1" ht="18.95" customHeight="1" x14ac:dyDescent="0.2">
      <c r="A17" s="343">
        <v>6</v>
      </c>
      <c r="B17" s="1185" t="s">
        <v>1214</v>
      </c>
      <c r="C17" s="1183">
        <f t="shared" si="15"/>
        <v>9704</v>
      </c>
      <c r="D17" s="1183"/>
      <c r="E17" s="1183">
        <f t="shared" si="16"/>
        <v>0</v>
      </c>
      <c r="F17" s="1183">
        <f t="shared" ref="F17:F25" si="32">SUM(N17,V17,AD17,AL17,AT17,BB17,BJ17,BR17,BZ17,CH17,CP17,CX17)</f>
        <v>9704</v>
      </c>
      <c r="G17" s="1183"/>
      <c r="H17" s="1183">
        <f t="shared" ref="H17:H25" si="33">SUM(P17,X17,AF17,AN17,AV17,BD17,BL17,BT17,CB17,CJ17,CR17,CZ17)</f>
        <v>9704</v>
      </c>
      <c r="I17" s="1184"/>
      <c r="J17" s="1183"/>
      <c r="K17" s="1183">
        <v>1012</v>
      </c>
      <c r="L17" s="1183"/>
      <c r="M17" s="1183"/>
      <c r="N17" s="1183">
        <f>1012</f>
        <v>1012</v>
      </c>
      <c r="O17" s="1183"/>
      <c r="P17" s="1183">
        <f t="shared" si="30"/>
        <v>1012</v>
      </c>
      <c r="Q17" s="1184"/>
      <c r="R17" s="1183"/>
      <c r="S17" s="1183">
        <v>628</v>
      </c>
      <c r="T17" s="1183"/>
      <c r="U17" s="1183"/>
      <c r="V17" s="1183">
        <f>S17</f>
        <v>628</v>
      </c>
      <c r="W17" s="1183"/>
      <c r="X17" s="1183">
        <f t="shared" si="31"/>
        <v>628</v>
      </c>
      <c r="Y17" s="1184"/>
      <c r="Z17" s="1183"/>
      <c r="AA17" s="1183">
        <v>806</v>
      </c>
      <c r="AB17" s="1183"/>
      <c r="AC17" s="1183"/>
      <c r="AD17" s="1183">
        <f>AA17</f>
        <v>806</v>
      </c>
      <c r="AE17" s="1183"/>
      <c r="AF17" s="1183">
        <f t="shared" si="17"/>
        <v>806</v>
      </c>
      <c r="AG17" s="1184"/>
      <c r="AH17" s="1183"/>
      <c r="AI17" s="1183">
        <v>1096</v>
      </c>
      <c r="AJ17" s="1183"/>
      <c r="AK17" s="1183"/>
      <c r="AL17" s="1183">
        <f>AI17</f>
        <v>1096</v>
      </c>
      <c r="AM17" s="1183"/>
      <c r="AN17" s="1183">
        <f t="shared" si="18"/>
        <v>1096</v>
      </c>
      <c r="AO17" s="1184"/>
      <c r="AP17" s="1183"/>
      <c r="AQ17" s="1183">
        <v>1174</v>
      </c>
      <c r="AR17" s="1183"/>
      <c r="AS17" s="1183"/>
      <c r="AT17" s="1183">
        <f>AQ17</f>
        <v>1174</v>
      </c>
      <c r="AU17" s="1183"/>
      <c r="AV17" s="1183">
        <f t="shared" si="19"/>
        <v>1174</v>
      </c>
      <c r="AW17" s="1184"/>
      <c r="AX17" s="1183"/>
      <c r="AY17" s="1183"/>
      <c r="AZ17" s="1183"/>
      <c r="BA17" s="1183"/>
      <c r="BB17" s="1183">
        <f>1316-1316</f>
        <v>0</v>
      </c>
      <c r="BC17" s="1183"/>
      <c r="BD17" s="1183">
        <f t="shared" si="20"/>
        <v>0</v>
      </c>
      <c r="BE17" s="1184"/>
      <c r="BF17" s="1183"/>
      <c r="BG17" s="1183">
        <v>1644</v>
      </c>
      <c r="BH17" s="1183"/>
      <c r="BI17" s="1183"/>
      <c r="BJ17" s="1183">
        <f>BG17</f>
        <v>1644</v>
      </c>
      <c r="BK17" s="1183"/>
      <c r="BL17" s="1183">
        <f t="shared" si="21"/>
        <v>1644</v>
      </c>
      <c r="BM17" s="1184"/>
      <c r="BN17" s="1183"/>
      <c r="BO17" s="1183">
        <v>1160</v>
      </c>
      <c r="BP17" s="1183"/>
      <c r="BQ17" s="1183"/>
      <c r="BR17" s="1183">
        <f>BO17</f>
        <v>1160</v>
      </c>
      <c r="BS17" s="1183"/>
      <c r="BT17" s="1183">
        <f t="shared" si="22"/>
        <v>1160</v>
      </c>
      <c r="BU17" s="1184"/>
      <c r="BV17" s="1183"/>
      <c r="BW17" s="1183"/>
      <c r="BX17" s="1183"/>
      <c r="BY17" s="1183"/>
      <c r="BZ17" s="1183"/>
      <c r="CA17" s="1183"/>
      <c r="CB17" s="1183">
        <f t="shared" si="23"/>
        <v>0</v>
      </c>
      <c r="CC17" s="1184"/>
      <c r="CD17" s="1183"/>
      <c r="CE17" s="1183">
        <v>1088</v>
      </c>
      <c r="CF17" s="1183"/>
      <c r="CG17" s="1183"/>
      <c r="CH17" s="1183">
        <f>CE17</f>
        <v>1088</v>
      </c>
      <c r="CI17" s="1183"/>
      <c r="CJ17" s="1183">
        <f t="shared" si="24"/>
        <v>1088</v>
      </c>
      <c r="CK17" s="1184"/>
      <c r="CL17" s="1183"/>
      <c r="CM17" s="1183">
        <v>0</v>
      </c>
      <c r="CN17" s="1183"/>
      <c r="CO17" s="1183"/>
      <c r="CP17" s="1183">
        <f>794-794</f>
        <v>0</v>
      </c>
      <c r="CQ17" s="1183"/>
      <c r="CR17" s="1183">
        <f t="shared" si="25"/>
        <v>0</v>
      </c>
      <c r="CS17" s="1184"/>
      <c r="CT17" s="1183"/>
      <c r="CU17" s="1183">
        <v>1096</v>
      </c>
      <c r="CV17" s="1183"/>
      <c r="CW17" s="1183"/>
      <c r="CX17" s="1183">
        <f>CU17</f>
        <v>1096</v>
      </c>
      <c r="CY17" s="1183"/>
      <c r="CZ17" s="1183">
        <f t="shared" si="26"/>
        <v>1096</v>
      </c>
      <c r="DA17" s="1184"/>
      <c r="DB17" s="1183"/>
    </row>
    <row r="18" spans="1:106" s="335" customFormat="1" ht="18.95" customHeight="1" x14ac:dyDescent="0.2">
      <c r="A18" s="343">
        <v>7</v>
      </c>
      <c r="B18" s="1185" t="s">
        <v>1217</v>
      </c>
      <c r="C18" s="1183">
        <f t="shared" si="15"/>
        <v>3600</v>
      </c>
      <c r="D18" s="1183"/>
      <c r="E18" s="1183">
        <f t="shared" si="16"/>
        <v>0</v>
      </c>
      <c r="F18" s="1183">
        <f t="shared" si="32"/>
        <v>3600</v>
      </c>
      <c r="G18" s="1183"/>
      <c r="H18" s="1183">
        <f t="shared" si="33"/>
        <v>3600</v>
      </c>
      <c r="I18" s="1184"/>
      <c r="J18" s="1183"/>
      <c r="K18" s="1183">
        <v>400</v>
      </c>
      <c r="L18" s="1183"/>
      <c r="M18" s="1183"/>
      <c r="N18" s="1183">
        <v>400</v>
      </c>
      <c r="O18" s="1183"/>
      <c r="P18" s="1183">
        <f t="shared" ref="P18:P24" si="34">N18</f>
        <v>400</v>
      </c>
      <c r="Q18" s="1184"/>
      <c r="R18" s="1183"/>
      <c r="S18" s="1183">
        <v>400</v>
      </c>
      <c r="T18" s="1183"/>
      <c r="U18" s="1183"/>
      <c r="V18" s="1183">
        <v>400</v>
      </c>
      <c r="W18" s="1183"/>
      <c r="X18" s="1183">
        <f t="shared" ref="X18:X25" si="35">V18</f>
        <v>400</v>
      </c>
      <c r="Y18" s="1184"/>
      <c r="Z18" s="1183"/>
      <c r="AA18" s="1183">
        <v>400</v>
      </c>
      <c r="AB18" s="1183"/>
      <c r="AC18" s="1183"/>
      <c r="AD18" s="1183">
        <v>400</v>
      </c>
      <c r="AE18" s="1183"/>
      <c r="AF18" s="1183">
        <f t="shared" ref="AF18:AF24" si="36">AD18</f>
        <v>400</v>
      </c>
      <c r="AG18" s="1184"/>
      <c r="AH18" s="1183"/>
      <c r="AI18" s="1183">
        <v>400</v>
      </c>
      <c r="AJ18" s="1183"/>
      <c r="AK18" s="1183"/>
      <c r="AL18" s="1183">
        <v>400</v>
      </c>
      <c r="AM18" s="1183"/>
      <c r="AN18" s="1183">
        <f t="shared" ref="AN18:AN24" si="37">AL18</f>
        <v>400</v>
      </c>
      <c r="AO18" s="1184"/>
      <c r="AP18" s="1183"/>
      <c r="AQ18" s="1183">
        <v>400</v>
      </c>
      <c r="AR18" s="1183"/>
      <c r="AS18" s="1183"/>
      <c r="AT18" s="1183">
        <v>400</v>
      </c>
      <c r="AU18" s="1183"/>
      <c r="AV18" s="1183">
        <f t="shared" ref="AV18:AV24" si="38">AT18</f>
        <v>400</v>
      </c>
      <c r="AW18" s="1184"/>
      <c r="AX18" s="1183"/>
      <c r="AY18" s="1183"/>
      <c r="AZ18" s="1183"/>
      <c r="BA18" s="1183"/>
      <c r="BB18" s="1183">
        <f>400-400</f>
        <v>0</v>
      </c>
      <c r="BC18" s="1183"/>
      <c r="BD18" s="1183">
        <f t="shared" ref="BD18:BD24" si="39">BB18</f>
        <v>0</v>
      </c>
      <c r="BE18" s="1184"/>
      <c r="BF18" s="1183"/>
      <c r="BG18" s="1183"/>
      <c r="BH18" s="1183"/>
      <c r="BI18" s="1183"/>
      <c r="BJ18" s="1183">
        <v>0</v>
      </c>
      <c r="BK18" s="1183"/>
      <c r="BL18" s="1183">
        <f t="shared" ref="BL18:BL24" si="40">BJ18</f>
        <v>0</v>
      </c>
      <c r="BM18" s="1184"/>
      <c r="BN18" s="1183"/>
      <c r="BO18" s="1183">
        <v>400</v>
      </c>
      <c r="BP18" s="1183"/>
      <c r="BQ18" s="1183"/>
      <c r="BR18" s="1183">
        <v>400</v>
      </c>
      <c r="BS18" s="1183"/>
      <c r="BT18" s="1183">
        <f t="shared" ref="BT18:BT24" si="41">BR18</f>
        <v>400</v>
      </c>
      <c r="BU18" s="1184"/>
      <c r="BV18" s="1183"/>
      <c r="BW18" s="1183">
        <v>400</v>
      </c>
      <c r="BX18" s="1183"/>
      <c r="BY18" s="1183"/>
      <c r="BZ18" s="1183">
        <v>400</v>
      </c>
      <c r="CA18" s="1183"/>
      <c r="CB18" s="1183">
        <f t="shared" ref="CB18:CB24" si="42">BZ18</f>
        <v>400</v>
      </c>
      <c r="CC18" s="1184"/>
      <c r="CD18" s="1183"/>
      <c r="CE18" s="1183">
        <v>400</v>
      </c>
      <c r="CF18" s="1183"/>
      <c r="CG18" s="1183"/>
      <c r="CH18" s="1183">
        <v>400</v>
      </c>
      <c r="CI18" s="1183"/>
      <c r="CJ18" s="1183">
        <f t="shared" ref="CJ18:CJ24" si="43">CH18</f>
        <v>400</v>
      </c>
      <c r="CK18" s="1184"/>
      <c r="CL18" s="1183"/>
      <c r="CM18" s="1183"/>
      <c r="CN18" s="1183"/>
      <c r="CO18" s="1183"/>
      <c r="CP18" s="1183">
        <f>400-400</f>
        <v>0</v>
      </c>
      <c r="CQ18" s="1183"/>
      <c r="CR18" s="1183">
        <f t="shared" ref="CR18:CR24" si="44">CP18</f>
        <v>0</v>
      </c>
      <c r="CS18" s="1184"/>
      <c r="CT18" s="1183"/>
      <c r="CU18" s="1183">
        <v>400</v>
      </c>
      <c r="CV18" s="1183"/>
      <c r="CW18" s="1183"/>
      <c r="CX18" s="1183">
        <v>400</v>
      </c>
      <c r="CY18" s="1183"/>
      <c r="CZ18" s="1183">
        <f t="shared" ref="CZ18:CZ24" si="45">CX18</f>
        <v>400</v>
      </c>
      <c r="DA18" s="1184"/>
      <c r="DB18" s="1183"/>
    </row>
    <row r="19" spans="1:106" s="335" customFormat="1" ht="18.95" customHeight="1" x14ac:dyDescent="0.2">
      <c r="A19" s="343">
        <v>8</v>
      </c>
      <c r="B19" s="1185" t="s">
        <v>1220</v>
      </c>
      <c r="C19" s="1183">
        <f t="shared" si="15"/>
        <v>8880</v>
      </c>
      <c r="D19" s="1183"/>
      <c r="E19" s="1183">
        <f t="shared" si="16"/>
        <v>760</v>
      </c>
      <c r="F19" s="1183">
        <f t="shared" si="32"/>
        <v>8860</v>
      </c>
      <c r="G19" s="1183"/>
      <c r="H19" s="1183">
        <f t="shared" si="33"/>
        <v>8860</v>
      </c>
      <c r="I19" s="1184"/>
      <c r="J19" s="1183"/>
      <c r="K19" s="1183">
        <v>720</v>
      </c>
      <c r="L19" s="1183"/>
      <c r="M19" s="1183"/>
      <c r="N19" s="1183">
        <f>500+20*10</f>
        <v>700</v>
      </c>
      <c r="O19" s="1183"/>
      <c r="P19" s="1183">
        <f t="shared" si="34"/>
        <v>700</v>
      </c>
      <c r="Q19" s="1184"/>
      <c r="R19" s="1183"/>
      <c r="S19" s="1183">
        <v>640</v>
      </c>
      <c r="T19" s="1183"/>
      <c r="U19" s="1183"/>
      <c r="V19" s="1183">
        <f>500+7*20</f>
        <v>640</v>
      </c>
      <c r="W19" s="1183"/>
      <c r="X19" s="1183">
        <f t="shared" si="35"/>
        <v>640</v>
      </c>
      <c r="Y19" s="1184"/>
      <c r="Z19" s="1183"/>
      <c r="AA19" s="1183">
        <v>680</v>
      </c>
      <c r="AB19" s="1183"/>
      <c r="AC19" s="1183"/>
      <c r="AD19" s="1183">
        <f>500+9*20</f>
        <v>680</v>
      </c>
      <c r="AE19" s="1183"/>
      <c r="AF19" s="1183">
        <f t="shared" si="36"/>
        <v>680</v>
      </c>
      <c r="AG19" s="1184"/>
      <c r="AH19" s="1183"/>
      <c r="AI19" s="1183">
        <v>740</v>
      </c>
      <c r="AJ19" s="1183"/>
      <c r="AK19" s="1183"/>
      <c r="AL19" s="1183">
        <f>500+12*20</f>
        <v>740</v>
      </c>
      <c r="AM19" s="1183"/>
      <c r="AN19" s="1183">
        <f t="shared" si="37"/>
        <v>740</v>
      </c>
      <c r="AO19" s="1184"/>
      <c r="AP19" s="1183"/>
      <c r="AQ19" s="1183">
        <v>760</v>
      </c>
      <c r="AR19" s="1183"/>
      <c r="AS19" s="1183"/>
      <c r="AT19" s="1183">
        <f>500+13*20</f>
        <v>760</v>
      </c>
      <c r="AU19" s="1183"/>
      <c r="AV19" s="1183">
        <f t="shared" si="38"/>
        <v>760</v>
      </c>
      <c r="AW19" s="1184"/>
      <c r="AX19" s="1183"/>
      <c r="AY19" s="1183">
        <v>800</v>
      </c>
      <c r="AZ19" s="1183"/>
      <c r="BA19" s="1183"/>
      <c r="BB19" s="1183">
        <f>500+15*20</f>
        <v>800</v>
      </c>
      <c r="BC19" s="1183"/>
      <c r="BD19" s="1183">
        <f t="shared" si="39"/>
        <v>800</v>
      </c>
      <c r="BE19" s="1184"/>
      <c r="BF19" s="1183"/>
      <c r="BG19" s="1183">
        <v>860</v>
      </c>
      <c r="BH19" s="1183"/>
      <c r="BI19" s="1183"/>
      <c r="BJ19" s="1183">
        <f>500+18*20</f>
        <v>860</v>
      </c>
      <c r="BK19" s="1183"/>
      <c r="BL19" s="1183">
        <f t="shared" si="40"/>
        <v>860</v>
      </c>
      <c r="BM19" s="1184"/>
      <c r="BN19" s="1183"/>
      <c r="BO19" s="1183">
        <v>760</v>
      </c>
      <c r="BP19" s="1183"/>
      <c r="BQ19" s="1183">
        <f>BO19</f>
        <v>760</v>
      </c>
      <c r="BR19" s="1183">
        <f>500+13*20</f>
        <v>760</v>
      </c>
      <c r="BS19" s="1183"/>
      <c r="BT19" s="1183">
        <f t="shared" si="41"/>
        <v>760</v>
      </c>
      <c r="BU19" s="1184"/>
      <c r="BV19" s="1183"/>
      <c r="BW19" s="1183">
        <v>760</v>
      </c>
      <c r="BX19" s="1183"/>
      <c r="BY19" s="1183"/>
      <c r="BZ19" s="1183">
        <f>500+13*20</f>
        <v>760</v>
      </c>
      <c r="CA19" s="1183"/>
      <c r="CB19" s="1183">
        <f t="shared" si="42"/>
        <v>760</v>
      </c>
      <c r="CC19" s="1184"/>
      <c r="CD19" s="1183"/>
      <c r="CE19" s="1183">
        <v>740</v>
      </c>
      <c r="CF19" s="1183"/>
      <c r="CG19" s="1183"/>
      <c r="CH19" s="1183">
        <f>500+12*20</f>
        <v>740</v>
      </c>
      <c r="CI19" s="1183"/>
      <c r="CJ19" s="1183">
        <f t="shared" si="43"/>
        <v>740</v>
      </c>
      <c r="CK19" s="1184"/>
      <c r="CL19" s="1183"/>
      <c r="CM19" s="1183">
        <v>680</v>
      </c>
      <c r="CN19" s="1183"/>
      <c r="CO19" s="1183"/>
      <c r="CP19" s="1183">
        <f>500+9*20</f>
        <v>680</v>
      </c>
      <c r="CQ19" s="1183"/>
      <c r="CR19" s="1183">
        <f t="shared" si="44"/>
        <v>680</v>
      </c>
      <c r="CS19" s="1184"/>
      <c r="CT19" s="1183"/>
      <c r="CU19" s="1183">
        <v>740</v>
      </c>
      <c r="CV19" s="1183"/>
      <c r="CW19" s="1183"/>
      <c r="CX19" s="1183">
        <f>500+12*20</f>
        <v>740</v>
      </c>
      <c r="CY19" s="1183"/>
      <c r="CZ19" s="1183">
        <f t="shared" si="45"/>
        <v>740</v>
      </c>
      <c r="DA19" s="1184"/>
      <c r="DB19" s="1183"/>
    </row>
    <row r="20" spans="1:106" s="335" customFormat="1" ht="18.95" customHeight="1" x14ac:dyDescent="0.2">
      <c r="A20" s="343">
        <v>9</v>
      </c>
      <c r="B20" s="1185" t="s">
        <v>1217</v>
      </c>
      <c r="C20" s="1183">
        <f t="shared" si="15"/>
        <v>2750</v>
      </c>
      <c r="D20" s="1183"/>
      <c r="E20" s="1183">
        <f t="shared" si="16"/>
        <v>0</v>
      </c>
      <c r="F20" s="1183">
        <f t="shared" si="32"/>
        <v>0</v>
      </c>
      <c r="G20" s="1183"/>
      <c r="H20" s="1183">
        <f t="shared" si="33"/>
        <v>0</v>
      </c>
      <c r="I20" s="1184"/>
      <c r="J20" s="1183"/>
      <c r="K20" s="1183">
        <v>250</v>
      </c>
      <c r="L20" s="1183"/>
      <c r="M20" s="1183"/>
      <c r="N20" s="1183"/>
      <c r="O20" s="1183"/>
      <c r="P20" s="1183">
        <f t="shared" si="34"/>
        <v>0</v>
      </c>
      <c r="Q20" s="1184"/>
      <c r="R20" s="1183"/>
      <c r="S20" s="1183">
        <v>125</v>
      </c>
      <c r="T20" s="1183"/>
      <c r="U20" s="1183"/>
      <c r="V20" s="1183"/>
      <c r="W20" s="1183"/>
      <c r="X20" s="1183">
        <f t="shared" si="35"/>
        <v>0</v>
      </c>
      <c r="Y20" s="1184"/>
      <c r="Z20" s="1183"/>
      <c r="AA20" s="1183">
        <v>250</v>
      </c>
      <c r="AB20" s="1183"/>
      <c r="AC20" s="1183"/>
      <c r="AD20" s="1183"/>
      <c r="AE20" s="1183"/>
      <c r="AF20" s="1183">
        <f t="shared" si="36"/>
        <v>0</v>
      </c>
      <c r="AG20" s="1184"/>
      <c r="AH20" s="1183"/>
      <c r="AI20" s="1183">
        <v>250</v>
      </c>
      <c r="AJ20" s="1183"/>
      <c r="AK20" s="1183"/>
      <c r="AL20" s="1183"/>
      <c r="AM20" s="1183"/>
      <c r="AN20" s="1183">
        <f t="shared" si="37"/>
        <v>0</v>
      </c>
      <c r="AO20" s="1184"/>
      <c r="AP20" s="1183"/>
      <c r="AQ20" s="1183">
        <v>312.5</v>
      </c>
      <c r="AR20" s="1183"/>
      <c r="AS20" s="1183"/>
      <c r="AT20" s="1183"/>
      <c r="AU20" s="1183"/>
      <c r="AV20" s="1183">
        <f t="shared" si="38"/>
        <v>0</v>
      </c>
      <c r="AW20" s="1184"/>
      <c r="AX20" s="1183"/>
      <c r="AY20" s="1183">
        <v>125</v>
      </c>
      <c r="AZ20" s="1183"/>
      <c r="BA20" s="1183"/>
      <c r="BB20" s="1183"/>
      <c r="BC20" s="1183"/>
      <c r="BD20" s="1183">
        <f t="shared" si="39"/>
        <v>0</v>
      </c>
      <c r="BE20" s="1184"/>
      <c r="BF20" s="1183"/>
      <c r="BG20" s="1183">
        <v>375</v>
      </c>
      <c r="BH20" s="1183"/>
      <c r="BI20" s="1183"/>
      <c r="BJ20" s="1183"/>
      <c r="BK20" s="1183"/>
      <c r="BL20" s="1183">
        <f t="shared" si="40"/>
        <v>0</v>
      </c>
      <c r="BM20" s="1184"/>
      <c r="BN20" s="1183"/>
      <c r="BO20" s="1183">
        <v>500</v>
      </c>
      <c r="BP20" s="1183"/>
      <c r="BQ20" s="1183"/>
      <c r="BR20" s="1183"/>
      <c r="BS20" s="1183"/>
      <c r="BT20" s="1183">
        <f t="shared" si="41"/>
        <v>0</v>
      </c>
      <c r="BU20" s="1184"/>
      <c r="BV20" s="1183"/>
      <c r="BW20" s="1183">
        <v>187.5</v>
      </c>
      <c r="BX20" s="1183"/>
      <c r="BY20" s="1183"/>
      <c r="BZ20" s="1183"/>
      <c r="CA20" s="1183"/>
      <c r="CB20" s="1183">
        <f t="shared" si="42"/>
        <v>0</v>
      </c>
      <c r="CC20" s="1184"/>
      <c r="CD20" s="1183"/>
      <c r="CE20" s="1183">
        <v>187.5</v>
      </c>
      <c r="CF20" s="1183"/>
      <c r="CG20" s="1183"/>
      <c r="CH20" s="1183"/>
      <c r="CI20" s="1183"/>
      <c r="CJ20" s="1183">
        <f t="shared" si="43"/>
        <v>0</v>
      </c>
      <c r="CK20" s="1184"/>
      <c r="CL20" s="1183"/>
      <c r="CM20" s="1183"/>
      <c r="CN20" s="1183"/>
      <c r="CO20" s="1183"/>
      <c r="CP20" s="1183">
        <f>INT(0)</f>
        <v>0</v>
      </c>
      <c r="CQ20" s="1183"/>
      <c r="CR20" s="1183">
        <f t="shared" si="44"/>
        <v>0</v>
      </c>
      <c r="CS20" s="1184"/>
      <c r="CT20" s="1183"/>
      <c r="CU20" s="1183">
        <v>187.5</v>
      </c>
      <c r="CV20" s="1183"/>
      <c r="CW20" s="1183"/>
      <c r="CX20" s="1183"/>
      <c r="CY20" s="1183"/>
      <c r="CZ20" s="1183">
        <f t="shared" si="45"/>
        <v>0</v>
      </c>
      <c r="DA20" s="1184"/>
      <c r="DB20" s="1183"/>
    </row>
    <row r="21" spans="1:106" s="335" customFormat="1" ht="18.95" customHeight="1" x14ac:dyDescent="0.2">
      <c r="A21" s="343">
        <v>10</v>
      </c>
      <c r="B21" s="1185" t="s">
        <v>647</v>
      </c>
      <c r="C21" s="1183">
        <f>+K21+S21+AA21+AI21+AQ21+AY21+BG21+BO21+BW21+CE21+CM21+CU21</f>
        <v>317798</v>
      </c>
      <c r="D21" s="1183"/>
      <c r="E21" s="1183">
        <f>+M21+U21+AC21+AK21+AS21+BA21+BI21+BQ21+BY21+CG21+CO21+CW21</f>
        <v>317798</v>
      </c>
      <c r="F21" s="1183">
        <f t="shared" si="32"/>
        <v>317798</v>
      </c>
      <c r="G21" s="1183">
        <f>SUM(O21,W21,AE21,AM21,AU21,BC21,BK21,BS21,CA21,CI21,CQ21,CY21)</f>
        <v>0</v>
      </c>
      <c r="H21" s="1183">
        <f t="shared" si="33"/>
        <v>317798</v>
      </c>
      <c r="I21" s="1184">
        <f>F21-C21</f>
        <v>0</v>
      </c>
      <c r="J21" s="1183">
        <f>F21/C21%</f>
        <v>100</v>
      </c>
      <c r="K21" s="1183">
        <v>18800</v>
      </c>
      <c r="L21" s="1183"/>
      <c r="M21" s="1183">
        <f>K21</f>
        <v>18800</v>
      </c>
      <c r="N21" s="1183">
        <f>K21</f>
        <v>18800</v>
      </c>
      <c r="O21" s="1183"/>
      <c r="P21" s="1183">
        <f t="shared" si="34"/>
        <v>18800</v>
      </c>
      <c r="Q21" s="1184">
        <f>N21-K21</f>
        <v>0</v>
      </c>
      <c r="R21" s="1183">
        <f>N21/K21%</f>
        <v>100</v>
      </c>
      <c r="S21" s="1183">
        <v>13300</v>
      </c>
      <c r="T21" s="1183"/>
      <c r="U21" s="1183">
        <f>S21</f>
        <v>13300</v>
      </c>
      <c r="V21" s="1183">
        <f>S21</f>
        <v>13300</v>
      </c>
      <c r="W21" s="1183"/>
      <c r="X21" s="1183">
        <f t="shared" si="35"/>
        <v>13300</v>
      </c>
      <c r="Y21" s="1184">
        <f>V21-S21</f>
        <v>0</v>
      </c>
      <c r="Z21" s="1183">
        <f>V21/S21%</f>
        <v>100</v>
      </c>
      <c r="AA21" s="1183">
        <v>34100</v>
      </c>
      <c r="AB21" s="1183"/>
      <c r="AC21" s="1183">
        <f>AA21</f>
        <v>34100</v>
      </c>
      <c r="AD21" s="1183">
        <f>AA21</f>
        <v>34100</v>
      </c>
      <c r="AE21" s="1183"/>
      <c r="AF21" s="1183">
        <f t="shared" si="36"/>
        <v>34100</v>
      </c>
      <c r="AG21" s="1184">
        <f>AD21-AA21</f>
        <v>0</v>
      </c>
      <c r="AH21" s="1183">
        <f>AD21/AA21%</f>
        <v>100</v>
      </c>
      <c r="AI21" s="1183">
        <v>45900</v>
      </c>
      <c r="AJ21" s="1183"/>
      <c r="AK21" s="1183">
        <f>AI21</f>
        <v>45900</v>
      </c>
      <c r="AL21" s="1183">
        <f>AI21</f>
        <v>45900</v>
      </c>
      <c r="AM21" s="1183"/>
      <c r="AN21" s="1183">
        <f t="shared" si="37"/>
        <v>45900</v>
      </c>
      <c r="AO21" s="1184">
        <f>AL21-AI21</f>
        <v>0</v>
      </c>
      <c r="AP21" s="1183">
        <f>AL21/AI21%</f>
        <v>100</v>
      </c>
      <c r="AQ21" s="1183">
        <v>32298</v>
      </c>
      <c r="AR21" s="1183"/>
      <c r="AS21" s="1183">
        <f>AQ21</f>
        <v>32298</v>
      </c>
      <c r="AT21" s="1183">
        <f>AQ21</f>
        <v>32298</v>
      </c>
      <c r="AU21" s="1183"/>
      <c r="AV21" s="1183">
        <f t="shared" si="38"/>
        <v>32298</v>
      </c>
      <c r="AW21" s="1184">
        <f>AT21-AQ21</f>
        <v>0</v>
      </c>
      <c r="AX21" s="1183">
        <f>AT21/AQ21%</f>
        <v>100</v>
      </c>
      <c r="AY21" s="1183">
        <v>8000</v>
      </c>
      <c r="AZ21" s="1183"/>
      <c r="BA21" s="1183">
        <f>AY21</f>
        <v>8000</v>
      </c>
      <c r="BB21" s="1183">
        <f>AY21</f>
        <v>8000</v>
      </c>
      <c r="BC21" s="1183"/>
      <c r="BD21" s="1183">
        <f t="shared" si="39"/>
        <v>8000</v>
      </c>
      <c r="BE21" s="1184">
        <f>BB21-AY21</f>
        <v>0</v>
      </c>
      <c r="BF21" s="1183">
        <f>BB21/AY21%</f>
        <v>100</v>
      </c>
      <c r="BG21" s="1183">
        <v>47400</v>
      </c>
      <c r="BH21" s="1183"/>
      <c r="BI21" s="1183">
        <f>BG21</f>
        <v>47400</v>
      </c>
      <c r="BJ21" s="1183">
        <f>BG21</f>
        <v>47400</v>
      </c>
      <c r="BK21" s="1183"/>
      <c r="BL21" s="1183">
        <f t="shared" si="40"/>
        <v>47400</v>
      </c>
      <c r="BM21" s="1184">
        <f>BJ21-BG21</f>
        <v>0</v>
      </c>
      <c r="BN21" s="1183">
        <f>BJ21/BG21%</f>
        <v>100</v>
      </c>
      <c r="BO21" s="1183">
        <v>61600</v>
      </c>
      <c r="BP21" s="1183"/>
      <c r="BQ21" s="1183">
        <f>BO21</f>
        <v>61600</v>
      </c>
      <c r="BR21" s="1183">
        <f>BO21</f>
        <v>61600</v>
      </c>
      <c r="BS21" s="1183"/>
      <c r="BT21" s="1183">
        <f t="shared" si="41"/>
        <v>61600</v>
      </c>
      <c r="BU21" s="1184">
        <f>BR21-BO21</f>
        <v>0</v>
      </c>
      <c r="BV21" s="1183">
        <f>BR21/BO21%</f>
        <v>100</v>
      </c>
      <c r="BW21" s="1183">
        <v>15900</v>
      </c>
      <c r="BX21" s="1183"/>
      <c r="BY21" s="1183">
        <f>BW21</f>
        <v>15900</v>
      </c>
      <c r="BZ21" s="1183">
        <f>BW21</f>
        <v>15900</v>
      </c>
      <c r="CA21" s="1183"/>
      <c r="CB21" s="1183">
        <f t="shared" si="42"/>
        <v>15900</v>
      </c>
      <c r="CC21" s="1184">
        <f>BZ21-BW21</f>
        <v>0</v>
      </c>
      <c r="CD21" s="1183">
        <f>BZ21/BW21%</f>
        <v>100</v>
      </c>
      <c r="CE21" s="1183">
        <v>18300</v>
      </c>
      <c r="CF21" s="1183"/>
      <c r="CG21" s="1183">
        <f>CE21</f>
        <v>18300</v>
      </c>
      <c r="CH21" s="1183">
        <f>CE21</f>
        <v>18300</v>
      </c>
      <c r="CI21" s="1183"/>
      <c r="CJ21" s="1183">
        <f t="shared" si="43"/>
        <v>18300</v>
      </c>
      <c r="CK21" s="1184">
        <f>CH21-CE21</f>
        <v>0</v>
      </c>
      <c r="CL21" s="1183">
        <f>CH21/CE21%</f>
        <v>100</v>
      </c>
      <c r="CM21" s="1183">
        <v>4500</v>
      </c>
      <c r="CN21" s="1183"/>
      <c r="CO21" s="1183">
        <f>CM21</f>
        <v>4500</v>
      </c>
      <c r="CP21" s="1183">
        <f>CM21</f>
        <v>4500</v>
      </c>
      <c r="CQ21" s="1183"/>
      <c r="CR21" s="1183">
        <f t="shared" si="44"/>
        <v>4500</v>
      </c>
      <c r="CS21" s="1184">
        <f>CP21-CM21</f>
        <v>0</v>
      </c>
      <c r="CT21" s="1183">
        <f>CP21/CM21%</f>
        <v>100</v>
      </c>
      <c r="CU21" s="1183">
        <v>17700</v>
      </c>
      <c r="CV21" s="1183"/>
      <c r="CW21" s="1183">
        <f>CU21</f>
        <v>17700</v>
      </c>
      <c r="CX21" s="1183">
        <f>CU21</f>
        <v>17700</v>
      </c>
      <c r="CY21" s="1183"/>
      <c r="CZ21" s="1183">
        <f t="shared" si="45"/>
        <v>17700</v>
      </c>
      <c r="DA21" s="1184">
        <f>CX21-CU21</f>
        <v>0</v>
      </c>
      <c r="DB21" s="1183">
        <f>CX21/CU21%</f>
        <v>100</v>
      </c>
    </row>
    <row r="22" spans="1:106" s="335" customFormat="1" ht="18.95" customHeight="1" x14ac:dyDescent="0.2">
      <c r="A22" s="343">
        <v>11</v>
      </c>
      <c r="B22" s="1185" t="s">
        <v>933</v>
      </c>
      <c r="C22" s="1183">
        <f>+K22+S22+AA22+AI22+AQ22+AY22+BG22+BO22+BW22+CE22+CM22+CU22</f>
        <v>38000</v>
      </c>
      <c r="D22" s="1183"/>
      <c r="E22" s="1183">
        <f>+M22+U22+AC22+AK22+AS22+BA22+BI22+BQ22+BY22+CG22+CO22+CW22</f>
        <v>38000</v>
      </c>
      <c r="F22" s="1183">
        <f t="shared" si="32"/>
        <v>76750</v>
      </c>
      <c r="G22" s="1183"/>
      <c r="H22" s="1183">
        <f t="shared" si="33"/>
        <v>76750</v>
      </c>
      <c r="I22" s="1184"/>
      <c r="J22" s="1183"/>
      <c r="K22" s="1183"/>
      <c r="L22" s="1183"/>
      <c r="M22" s="1183">
        <f>K22</f>
        <v>0</v>
      </c>
      <c r="N22" s="1183"/>
      <c r="O22" s="1183"/>
      <c r="P22" s="1183">
        <f t="shared" si="34"/>
        <v>0</v>
      </c>
      <c r="Q22" s="1184"/>
      <c r="R22" s="1183"/>
      <c r="S22" s="1183">
        <f>12750-8500</f>
        <v>4250</v>
      </c>
      <c r="T22" s="1183"/>
      <c r="U22" s="1183">
        <f>S22</f>
        <v>4250</v>
      </c>
      <c r="V22" s="1183">
        <f>12750-8500</f>
        <v>4250</v>
      </c>
      <c r="W22" s="1183"/>
      <c r="X22" s="1183">
        <f t="shared" si="35"/>
        <v>4250</v>
      </c>
      <c r="Y22" s="1184"/>
      <c r="Z22" s="1183"/>
      <c r="AA22" s="1183"/>
      <c r="AB22" s="1183"/>
      <c r="AC22" s="1183">
        <f>AA22</f>
        <v>0</v>
      </c>
      <c r="AD22" s="1183"/>
      <c r="AE22" s="1183"/>
      <c r="AF22" s="1183">
        <f t="shared" si="36"/>
        <v>0</v>
      </c>
      <c r="AG22" s="1184"/>
      <c r="AH22" s="1183"/>
      <c r="AI22" s="1183"/>
      <c r="AJ22" s="1183"/>
      <c r="AK22" s="1183">
        <f>AI22</f>
        <v>0</v>
      </c>
      <c r="AL22" s="1183"/>
      <c r="AM22" s="1183"/>
      <c r="AN22" s="1183">
        <f t="shared" si="37"/>
        <v>0</v>
      </c>
      <c r="AO22" s="1184"/>
      <c r="AP22" s="1183"/>
      <c r="AQ22" s="1183"/>
      <c r="AR22" s="1183"/>
      <c r="AS22" s="1183">
        <f>AQ22</f>
        <v>0</v>
      </c>
      <c r="AT22" s="1183"/>
      <c r="AU22" s="1183"/>
      <c r="AV22" s="1183">
        <f t="shared" si="38"/>
        <v>0</v>
      </c>
      <c r="AW22" s="1184"/>
      <c r="AX22" s="1183"/>
      <c r="AY22" s="1183"/>
      <c r="AZ22" s="1183"/>
      <c r="BA22" s="1183">
        <f>AY22</f>
        <v>0</v>
      </c>
      <c r="BB22" s="1183">
        <f>46500-12750</f>
        <v>33750</v>
      </c>
      <c r="BC22" s="1183"/>
      <c r="BD22" s="1183">
        <f t="shared" si="39"/>
        <v>33750</v>
      </c>
      <c r="BE22" s="1184"/>
      <c r="BF22" s="1183"/>
      <c r="BG22" s="1183"/>
      <c r="BH22" s="1183"/>
      <c r="BI22" s="1183">
        <f>BG22</f>
        <v>0</v>
      </c>
      <c r="BJ22" s="1183"/>
      <c r="BK22" s="1183"/>
      <c r="BL22" s="1183">
        <f t="shared" si="40"/>
        <v>0</v>
      </c>
      <c r="BM22" s="1184"/>
      <c r="BN22" s="1183"/>
      <c r="BO22" s="1183"/>
      <c r="BP22" s="1183"/>
      <c r="BQ22" s="1183">
        <f>BO22</f>
        <v>0</v>
      </c>
      <c r="BR22" s="1183"/>
      <c r="BS22" s="1183"/>
      <c r="BT22" s="1183">
        <f t="shared" si="41"/>
        <v>0</v>
      </c>
      <c r="BU22" s="1184"/>
      <c r="BV22" s="1183"/>
      <c r="BW22" s="1183"/>
      <c r="BX22" s="1183"/>
      <c r="BY22" s="1183">
        <f>BW22</f>
        <v>0</v>
      </c>
      <c r="BZ22" s="1183"/>
      <c r="CA22" s="1183"/>
      <c r="CB22" s="1183">
        <f t="shared" si="42"/>
        <v>0</v>
      </c>
      <c r="CC22" s="1184"/>
      <c r="CD22" s="1183"/>
      <c r="CE22" s="1183"/>
      <c r="CF22" s="1183"/>
      <c r="CG22" s="1183">
        <f>CE22</f>
        <v>0</v>
      </c>
      <c r="CH22" s="1183">
        <f>5000</f>
        <v>5000</v>
      </c>
      <c r="CI22" s="1183"/>
      <c r="CJ22" s="1183">
        <f t="shared" si="43"/>
        <v>5000</v>
      </c>
      <c r="CK22" s="1184"/>
      <c r="CL22" s="1183"/>
      <c r="CM22" s="1183">
        <v>33750</v>
      </c>
      <c r="CN22" s="1183"/>
      <c r="CO22" s="1183">
        <f>CM22</f>
        <v>33750</v>
      </c>
      <c r="CP22" s="1183">
        <f>46500-12750</f>
        <v>33750</v>
      </c>
      <c r="CQ22" s="1183"/>
      <c r="CR22" s="1183">
        <f t="shared" si="44"/>
        <v>33750</v>
      </c>
      <c r="CS22" s="1184"/>
      <c r="CT22" s="1183"/>
      <c r="CU22" s="1183"/>
      <c r="CV22" s="1183"/>
      <c r="CW22" s="1183">
        <f>CU22</f>
        <v>0</v>
      </c>
      <c r="CX22" s="1183"/>
      <c r="CY22" s="1183"/>
      <c r="CZ22" s="1183">
        <f t="shared" si="45"/>
        <v>0</v>
      </c>
      <c r="DA22" s="1184"/>
      <c r="DB22" s="1183"/>
    </row>
    <row r="23" spans="1:106" s="335" customFormat="1" ht="18.95" hidden="1" customHeight="1" x14ac:dyDescent="0.2">
      <c r="A23" s="343"/>
      <c r="B23" s="1185"/>
      <c r="C23" s="1183">
        <f>+K23+S23+AA23+AI23+AQ23+AY23+BG23+BO23+BW23+CE23+CM23+CU23</f>
        <v>0</v>
      </c>
      <c r="D23" s="1183"/>
      <c r="E23" s="1183">
        <f>+M23+U23+AC23+AK23+AS23+BA23+BI23+BQ23+BY23+CG23+CO23+CW23</f>
        <v>0</v>
      </c>
      <c r="F23" s="1183">
        <f t="shared" si="32"/>
        <v>0</v>
      </c>
      <c r="G23" s="1183"/>
      <c r="H23" s="1183">
        <f t="shared" si="33"/>
        <v>0</v>
      </c>
      <c r="I23" s="1184"/>
      <c r="J23" s="1183"/>
      <c r="K23" s="1183"/>
      <c r="L23" s="1183"/>
      <c r="M23" s="1183">
        <f>K23</f>
        <v>0</v>
      </c>
      <c r="N23" s="1183"/>
      <c r="O23" s="1183"/>
      <c r="P23" s="1183">
        <f t="shared" si="34"/>
        <v>0</v>
      </c>
      <c r="Q23" s="1184"/>
      <c r="R23" s="1183"/>
      <c r="S23" s="1183"/>
      <c r="T23" s="1183"/>
      <c r="U23" s="1183">
        <f>S23</f>
        <v>0</v>
      </c>
      <c r="V23" s="1183"/>
      <c r="W23" s="1183"/>
      <c r="X23" s="1183">
        <f t="shared" si="35"/>
        <v>0</v>
      </c>
      <c r="Y23" s="1184"/>
      <c r="Z23" s="1183"/>
      <c r="AA23" s="1183"/>
      <c r="AB23" s="1183"/>
      <c r="AC23" s="1183">
        <f>AA23</f>
        <v>0</v>
      </c>
      <c r="AD23" s="1183"/>
      <c r="AE23" s="1183"/>
      <c r="AF23" s="1183">
        <f t="shared" si="36"/>
        <v>0</v>
      </c>
      <c r="AG23" s="1184"/>
      <c r="AH23" s="1183"/>
      <c r="AI23" s="1183"/>
      <c r="AJ23" s="1183"/>
      <c r="AK23" s="1183">
        <f>AI23</f>
        <v>0</v>
      </c>
      <c r="AL23" s="1183"/>
      <c r="AM23" s="1183"/>
      <c r="AN23" s="1183">
        <f t="shared" si="37"/>
        <v>0</v>
      </c>
      <c r="AO23" s="1184"/>
      <c r="AP23" s="1183"/>
      <c r="AQ23" s="1183"/>
      <c r="AR23" s="1183"/>
      <c r="AS23" s="1183">
        <f>AQ23</f>
        <v>0</v>
      </c>
      <c r="AT23" s="1183"/>
      <c r="AU23" s="1183"/>
      <c r="AV23" s="1183">
        <f t="shared" si="38"/>
        <v>0</v>
      </c>
      <c r="AW23" s="1184"/>
      <c r="AX23" s="1183"/>
      <c r="AY23" s="1183"/>
      <c r="AZ23" s="1183"/>
      <c r="BA23" s="1183">
        <f>AY23</f>
        <v>0</v>
      </c>
      <c r="BB23" s="1183"/>
      <c r="BC23" s="1183"/>
      <c r="BD23" s="1183">
        <f t="shared" si="39"/>
        <v>0</v>
      </c>
      <c r="BE23" s="1184"/>
      <c r="BF23" s="1183"/>
      <c r="BG23" s="1183"/>
      <c r="BH23" s="1183"/>
      <c r="BI23" s="1183">
        <f>BG23</f>
        <v>0</v>
      </c>
      <c r="BJ23" s="1183"/>
      <c r="BK23" s="1183"/>
      <c r="BL23" s="1183">
        <f t="shared" si="40"/>
        <v>0</v>
      </c>
      <c r="BM23" s="1184"/>
      <c r="BN23" s="1183"/>
      <c r="BO23" s="1183"/>
      <c r="BP23" s="1183"/>
      <c r="BQ23" s="1183">
        <f>BO23</f>
        <v>0</v>
      </c>
      <c r="BR23" s="1183"/>
      <c r="BS23" s="1183"/>
      <c r="BT23" s="1183">
        <f t="shared" si="41"/>
        <v>0</v>
      </c>
      <c r="BU23" s="1184"/>
      <c r="BV23" s="1183"/>
      <c r="BW23" s="1183"/>
      <c r="BX23" s="1183"/>
      <c r="BY23" s="1183">
        <f>BW23</f>
        <v>0</v>
      </c>
      <c r="BZ23" s="1183"/>
      <c r="CA23" s="1183"/>
      <c r="CB23" s="1183">
        <f t="shared" si="42"/>
        <v>0</v>
      </c>
      <c r="CC23" s="1184"/>
      <c r="CD23" s="1183"/>
      <c r="CE23" s="1183"/>
      <c r="CF23" s="1183"/>
      <c r="CG23" s="1183">
        <f>CE23</f>
        <v>0</v>
      </c>
      <c r="CH23" s="1183"/>
      <c r="CI23" s="1183"/>
      <c r="CJ23" s="1183">
        <f t="shared" si="43"/>
        <v>0</v>
      </c>
      <c r="CK23" s="1184"/>
      <c r="CL23" s="1183"/>
      <c r="CM23" s="1183"/>
      <c r="CN23" s="1183"/>
      <c r="CO23" s="1183">
        <f>CM23</f>
        <v>0</v>
      </c>
      <c r="CP23" s="1183"/>
      <c r="CQ23" s="1183"/>
      <c r="CR23" s="1183">
        <f t="shared" si="44"/>
        <v>0</v>
      </c>
      <c r="CS23" s="1184"/>
      <c r="CT23" s="1183"/>
      <c r="CU23" s="1183"/>
      <c r="CV23" s="1183"/>
      <c r="CW23" s="1183">
        <f>CU23</f>
        <v>0</v>
      </c>
      <c r="CX23" s="1183"/>
      <c r="CY23" s="1183"/>
      <c r="CZ23" s="1183">
        <f t="shared" si="45"/>
        <v>0</v>
      </c>
      <c r="DA23" s="1184"/>
      <c r="DB23" s="1183"/>
    </row>
    <row r="24" spans="1:106" s="335" customFormat="1" x14ac:dyDescent="0.2">
      <c r="A24" s="343">
        <v>12</v>
      </c>
      <c r="B24" s="1201" t="s">
        <v>1582</v>
      </c>
      <c r="C24" s="1183">
        <f>+K24+S24+AA24+AI24+AQ24+AY24+BG24+BO24+BW24+CE24+CM24+CU24</f>
        <v>0</v>
      </c>
      <c r="D24" s="1183"/>
      <c r="E24" s="1183">
        <f>+M24+U24+AC24+AK24+AS24+BA24+BI24+BQ24+BY24+CG24+CO24+CW24</f>
        <v>0</v>
      </c>
      <c r="F24" s="1183">
        <f t="shared" si="32"/>
        <v>43105</v>
      </c>
      <c r="G24" s="1183"/>
      <c r="H24" s="1183">
        <f t="shared" si="33"/>
        <v>43105</v>
      </c>
      <c r="I24" s="1184"/>
      <c r="J24" s="1183"/>
      <c r="K24" s="1183"/>
      <c r="L24" s="1183"/>
      <c r="M24" s="1183"/>
      <c r="N24" s="1183">
        <f>INT(N49)</f>
        <v>3165</v>
      </c>
      <c r="O24" s="1183"/>
      <c r="P24" s="1183">
        <f t="shared" si="34"/>
        <v>3165</v>
      </c>
      <c r="Q24" s="1184"/>
      <c r="R24" s="1183"/>
      <c r="S24" s="1183"/>
      <c r="T24" s="1183"/>
      <c r="U24" s="1183"/>
      <c r="V24" s="1183">
        <f>INT(V49)</f>
        <v>16475</v>
      </c>
      <c r="W24" s="1183"/>
      <c r="X24" s="1183">
        <f t="shared" si="35"/>
        <v>16475</v>
      </c>
      <c r="Y24" s="1184"/>
      <c r="Z24" s="1183"/>
      <c r="AA24" s="1183"/>
      <c r="AB24" s="1183"/>
      <c r="AC24" s="1183"/>
      <c r="AD24" s="1183">
        <f>INT(AD49)</f>
        <v>0</v>
      </c>
      <c r="AE24" s="1183"/>
      <c r="AF24" s="1183">
        <f t="shared" si="36"/>
        <v>0</v>
      </c>
      <c r="AG24" s="1184"/>
      <c r="AH24" s="1183"/>
      <c r="AI24" s="1183"/>
      <c r="AJ24" s="1183"/>
      <c r="AK24" s="1183"/>
      <c r="AL24" s="1183">
        <f>INT(AL49)</f>
        <v>6100</v>
      </c>
      <c r="AM24" s="1183"/>
      <c r="AN24" s="1183">
        <f t="shared" si="37"/>
        <v>6100</v>
      </c>
      <c r="AO24" s="1184"/>
      <c r="AP24" s="1183"/>
      <c r="AQ24" s="1183"/>
      <c r="AR24" s="1183"/>
      <c r="AS24" s="1183"/>
      <c r="AT24" s="1183">
        <f>INT(AT49)</f>
        <v>0</v>
      </c>
      <c r="AU24" s="1183"/>
      <c r="AV24" s="1183">
        <f t="shared" si="38"/>
        <v>0</v>
      </c>
      <c r="AW24" s="1184"/>
      <c r="AX24" s="1183"/>
      <c r="AY24" s="1183"/>
      <c r="AZ24" s="1183"/>
      <c r="BA24" s="1183"/>
      <c r="BB24" s="1183">
        <f>INT(BB49)</f>
        <v>0</v>
      </c>
      <c r="BC24" s="1183"/>
      <c r="BD24" s="1183">
        <f t="shared" si="39"/>
        <v>0</v>
      </c>
      <c r="BE24" s="1184"/>
      <c r="BF24" s="1183"/>
      <c r="BG24" s="1183"/>
      <c r="BH24" s="1183"/>
      <c r="BI24" s="1183"/>
      <c r="BJ24" s="1183">
        <f>INT(BJ49)</f>
        <v>0</v>
      </c>
      <c r="BK24" s="1183"/>
      <c r="BL24" s="1183">
        <f t="shared" si="40"/>
        <v>0</v>
      </c>
      <c r="BM24" s="1184"/>
      <c r="BN24" s="1183"/>
      <c r="BO24" s="1183"/>
      <c r="BP24" s="1183"/>
      <c r="BQ24" s="1183"/>
      <c r="BR24" s="1183">
        <f>INT(BR49)</f>
        <v>0</v>
      </c>
      <c r="BS24" s="1183"/>
      <c r="BT24" s="1183">
        <f t="shared" si="41"/>
        <v>0</v>
      </c>
      <c r="BU24" s="1184"/>
      <c r="BV24" s="1183"/>
      <c r="BW24" s="1183"/>
      <c r="BX24" s="1183"/>
      <c r="BY24" s="1183"/>
      <c r="BZ24" s="1183">
        <f>INT(BZ49)</f>
        <v>15160</v>
      </c>
      <c r="CA24" s="1183"/>
      <c r="CB24" s="1183">
        <f t="shared" si="42"/>
        <v>15160</v>
      </c>
      <c r="CC24" s="1184"/>
      <c r="CD24" s="1183"/>
      <c r="CE24" s="1183"/>
      <c r="CF24" s="1183"/>
      <c r="CG24" s="1183"/>
      <c r="CH24" s="1183">
        <f>INT(CH49)</f>
        <v>2205</v>
      </c>
      <c r="CI24" s="1183"/>
      <c r="CJ24" s="1183">
        <f t="shared" si="43"/>
        <v>2205</v>
      </c>
      <c r="CK24" s="1184"/>
      <c r="CL24" s="1183"/>
      <c r="CM24" s="1183"/>
      <c r="CN24" s="1183"/>
      <c r="CO24" s="1183"/>
      <c r="CP24" s="1183">
        <f>INT(CP49)</f>
        <v>0</v>
      </c>
      <c r="CQ24" s="1183"/>
      <c r="CR24" s="1183">
        <f t="shared" si="44"/>
        <v>0</v>
      </c>
      <c r="CS24" s="1184"/>
      <c r="CT24" s="1183"/>
      <c r="CU24" s="1183"/>
      <c r="CV24" s="1183"/>
      <c r="CW24" s="1183"/>
      <c r="CX24" s="1183">
        <f>INT(CX49)</f>
        <v>0</v>
      </c>
      <c r="CY24" s="1183"/>
      <c r="CZ24" s="1183">
        <f t="shared" si="45"/>
        <v>0</v>
      </c>
      <c r="DA24" s="1184"/>
      <c r="DB24" s="1183"/>
    </row>
    <row r="25" spans="1:106" s="335" customFormat="1" ht="18.95" customHeight="1" x14ac:dyDescent="0.2">
      <c r="A25" s="343">
        <v>13</v>
      </c>
      <c r="B25" s="1185" t="s">
        <v>1473</v>
      </c>
      <c r="C25" s="1183">
        <f t="shared" si="15"/>
        <v>247749</v>
      </c>
      <c r="D25" s="1183"/>
      <c r="E25" s="1183">
        <f t="shared" si="16"/>
        <v>247749</v>
      </c>
      <c r="F25" s="1183">
        <f t="shared" si="32"/>
        <v>538114</v>
      </c>
      <c r="G25" s="1183">
        <f>SUM(O25,W25,AE25,AM25,AU25,BC25,BK25,BS25,CA25,CI25,CQ25,CY25)</f>
        <v>0</v>
      </c>
      <c r="H25" s="1183">
        <f t="shared" si="33"/>
        <v>538114</v>
      </c>
      <c r="I25" s="1184">
        <f>F25-C25</f>
        <v>290365</v>
      </c>
      <c r="J25" s="1183"/>
      <c r="K25" s="1183">
        <v>5742</v>
      </c>
      <c r="L25" s="1183"/>
      <c r="M25" s="1183">
        <f>K25</f>
        <v>5742</v>
      </c>
      <c r="N25" s="1183">
        <f>'Chính sách chế độ 2020-2021'!AP19+'CCTL nam 2020- 2021'!E9</f>
        <v>5467</v>
      </c>
      <c r="O25" s="1183"/>
      <c r="P25" s="1183">
        <f>N25</f>
        <v>5467</v>
      </c>
      <c r="Q25" s="1184">
        <f>N25-K25</f>
        <v>-275</v>
      </c>
      <c r="R25" s="1183"/>
      <c r="S25" s="1183">
        <v>1613</v>
      </c>
      <c r="T25" s="1183"/>
      <c r="U25" s="1183">
        <f>S25</f>
        <v>1613</v>
      </c>
      <c r="V25" s="1183">
        <f>'Chính sách chế độ 2020-2021'!BK19+'CCTL nam 2020- 2021'!F9</f>
        <v>0</v>
      </c>
      <c r="W25" s="1183"/>
      <c r="X25" s="1183">
        <f t="shared" si="35"/>
        <v>0</v>
      </c>
      <c r="Y25" s="1184">
        <f>V25-S25</f>
        <v>-1613</v>
      </c>
      <c r="Z25" s="1183"/>
      <c r="AA25" s="1183">
        <v>4555</v>
      </c>
      <c r="AB25" s="1183"/>
      <c r="AC25" s="1183">
        <f>AA25</f>
        <v>4555</v>
      </c>
      <c r="AD25" s="1183">
        <f>'Chính sách chế độ 2020-2021'!CF19+'CCTL nam 2020- 2021'!G9</f>
        <v>8754</v>
      </c>
      <c r="AE25" s="1183"/>
      <c r="AF25" s="1183">
        <f t="shared" si="17"/>
        <v>8754</v>
      </c>
      <c r="AG25" s="1184">
        <f>AD25-AA25</f>
        <v>4199</v>
      </c>
      <c r="AH25" s="1183"/>
      <c r="AI25" s="1183">
        <v>0</v>
      </c>
      <c r="AJ25" s="1183"/>
      <c r="AK25" s="1183">
        <f>AI25</f>
        <v>0</v>
      </c>
      <c r="AL25" s="1183">
        <f>'Chính sách chế độ 2020-2021'!DA19+'CCTL nam 2020- 2021'!H9</f>
        <v>7763</v>
      </c>
      <c r="AM25" s="1183"/>
      <c r="AN25" s="1183">
        <f t="shared" si="18"/>
        <v>7763</v>
      </c>
      <c r="AO25" s="1184">
        <f>AL25-AI25</f>
        <v>7763</v>
      </c>
      <c r="AP25" s="1183"/>
      <c r="AQ25" s="1183">
        <v>17146</v>
      </c>
      <c r="AR25" s="1183"/>
      <c r="AS25" s="1183">
        <f>AQ25</f>
        <v>17146</v>
      </c>
      <c r="AT25" s="1183">
        <f>'Chính sách chế độ 2020-2021'!DV19+'CCTL nam 2020- 2021'!I9</f>
        <v>0</v>
      </c>
      <c r="AU25" s="1183"/>
      <c r="AV25" s="1183">
        <f t="shared" si="19"/>
        <v>0</v>
      </c>
      <c r="AW25" s="1184">
        <f>AT25-AQ25</f>
        <v>-17146</v>
      </c>
      <c r="AX25" s="1183"/>
      <c r="AY25" s="1183">
        <v>94721</v>
      </c>
      <c r="AZ25" s="1183"/>
      <c r="BA25" s="1183">
        <f>AY25</f>
        <v>94721</v>
      </c>
      <c r="BB25" s="1183">
        <f>'Chính sách chế độ 2020-2021'!EQ19+'CCTL nam 2020- 2021'!J9</f>
        <v>390133</v>
      </c>
      <c r="BC25" s="1183"/>
      <c r="BD25" s="1183">
        <f t="shared" si="20"/>
        <v>390133</v>
      </c>
      <c r="BE25" s="1184">
        <f>BB25-AY25</f>
        <v>295412</v>
      </c>
      <c r="BF25" s="1183"/>
      <c r="BG25" s="1183">
        <v>5195</v>
      </c>
      <c r="BH25" s="1183"/>
      <c r="BI25" s="1183">
        <f>BG25</f>
        <v>5195</v>
      </c>
      <c r="BJ25" s="1183">
        <f>'Chính sách chế độ 2020-2021'!FL19+'CCTL nam 2020- 2021'!K9</f>
        <v>0</v>
      </c>
      <c r="BK25" s="1183"/>
      <c r="BL25" s="1183">
        <f t="shared" si="21"/>
        <v>0</v>
      </c>
      <c r="BM25" s="1184">
        <f>BJ25-BG25</f>
        <v>-5195</v>
      </c>
      <c r="BN25" s="1183"/>
      <c r="BO25" s="1183">
        <v>4147</v>
      </c>
      <c r="BP25" s="1183"/>
      <c r="BQ25" s="1183">
        <f>BO25</f>
        <v>4147</v>
      </c>
      <c r="BR25" s="1183">
        <f>'Chính sách chế độ 2020-2021'!GG19+'CCTL nam 2020- 2021'!L9</f>
        <v>0</v>
      </c>
      <c r="BS25" s="1183"/>
      <c r="BT25" s="1183">
        <f t="shared" si="22"/>
        <v>0</v>
      </c>
      <c r="BU25" s="1184">
        <f>BR25-BO25</f>
        <v>-4147</v>
      </c>
      <c r="BV25" s="1183"/>
      <c r="BW25" s="1183">
        <v>36735</v>
      </c>
      <c r="BX25" s="1183"/>
      <c r="BY25" s="1183">
        <f>BW25</f>
        <v>36735</v>
      </c>
      <c r="BZ25" s="1183">
        <f>'Chính sách chế độ 2020-2021'!HB19+'CCTL nam 2020- 2021'!M9</f>
        <v>3178</v>
      </c>
      <c r="CA25" s="1183"/>
      <c r="CB25" s="1183">
        <f t="shared" si="23"/>
        <v>3178</v>
      </c>
      <c r="CC25" s="1184">
        <f>BZ25-BW25</f>
        <v>-33557</v>
      </c>
      <c r="CD25" s="1183"/>
      <c r="CE25" s="1183">
        <v>1995</v>
      </c>
      <c r="CF25" s="1183"/>
      <c r="CG25" s="1183">
        <f>CE25</f>
        <v>1995</v>
      </c>
      <c r="CH25" s="1183">
        <f>'Chính sách chế độ 2020-2021'!HW19+'CCTL nam 2020- 2021'!N9</f>
        <v>1112</v>
      </c>
      <c r="CI25" s="1183"/>
      <c r="CJ25" s="1183">
        <f t="shared" si="24"/>
        <v>1112</v>
      </c>
      <c r="CK25" s="1184">
        <f>CH25-CE25</f>
        <v>-883</v>
      </c>
      <c r="CL25" s="1183"/>
      <c r="CM25" s="1183">
        <v>67712</v>
      </c>
      <c r="CN25" s="1183"/>
      <c r="CO25" s="1183">
        <f>CM25</f>
        <v>67712</v>
      </c>
      <c r="CP25" s="1183">
        <f>'Chính sách chế độ 2020-2021'!IR19+'CCTL nam 2020- 2021'!O9</f>
        <v>119826</v>
      </c>
      <c r="CQ25" s="1183"/>
      <c r="CR25" s="1183">
        <f t="shared" si="25"/>
        <v>119826</v>
      </c>
      <c r="CS25" s="1184">
        <f>CP25-CM25</f>
        <v>52114</v>
      </c>
      <c r="CT25" s="1183"/>
      <c r="CU25" s="1183">
        <v>8188</v>
      </c>
      <c r="CV25" s="1183"/>
      <c r="CW25" s="1183">
        <f>CU25</f>
        <v>8188</v>
      </c>
      <c r="CX25" s="1183">
        <f>'Chính sách chế độ 2020-2021'!JM19+'CCTL nam 2020- 2021'!P9</f>
        <v>1881</v>
      </c>
      <c r="CY25" s="1183"/>
      <c r="CZ25" s="1183">
        <f t="shared" si="26"/>
        <v>1881</v>
      </c>
      <c r="DA25" s="1184">
        <f>CX25-CU25</f>
        <v>-6307</v>
      </c>
      <c r="DB25" s="1183"/>
    </row>
    <row r="26" spans="1:106" s="342" customFormat="1" ht="18.95" customHeight="1" x14ac:dyDescent="0.2">
      <c r="A26" s="340" t="s">
        <v>421</v>
      </c>
      <c r="B26" s="341" t="s">
        <v>1547</v>
      </c>
      <c r="C26" s="564">
        <f>SUM(C27,C31,C35,C36)</f>
        <v>7059294</v>
      </c>
      <c r="D26" s="564">
        <f>D31</f>
        <v>0</v>
      </c>
      <c r="E26" s="564">
        <f>SUM(E27,E31,E35,E36)</f>
        <v>6682108.5</v>
      </c>
      <c r="F26" s="564">
        <f>SUM(F27,F31,F35,F36)</f>
        <v>7453009</v>
      </c>
      <c r="G26" s="564">
        <f>G31</f>
        <v>100941</v>
      </c>
      <c r="H26" s="564">
        <f>SUM(H27,H31,H35,H36)</f>
        <v>7453009</v>
      </c>
      <c r="I26" s="563">
        <f>F26-C26</f>
        <v>393715</v>
      </c>
      <c r="J26" s="564">
        <f t="shared" ref="J26:J35" si="46">F26/C26%</f>
        <v>105.57725744245812</v>
      </c>
      <c r="K26" s="564">
        <f>SUM(K27,K31,K35,K36)</f>
        <v>495278</v>
      </c>
      <c r="L26" s="564"/>
      <c r="M26" s="564">
        <f>SUM(M27,M31,M35,M36)</f>
        <v>490731</v>
      </c>
      <c r="N26" s="564">
        <f>SUM(N27,N31,N35,N36)</f>
        <v>508630</v>
      </c>
      <c r="O26" s="564"/>
      <c r="P26" s="564">
        <f>SUM(P27,P31,P35,P36)</f>
        <v>508630</v>
      </c>
      <c r="Q26" s="563">
        <f>N26-K26</f>
        <v>13352</v>
      </c>
      <c r="R26" s="564">
        <f t="shared" ref="R26:R35" si="47">N26/K26%</f>
        <v>102.69585969899734</v>
      </c>
      <c r="S26" s="564">
        <f>SUM(S27,S31,S35,S36)</f>
        <v>460081</v>
      </c>
      <c r="T26" s="564">
        <f>SUM(T31)</f>
        <v>0</v>
      </c>
      <c r="U26" s="564">
        <f>SUM(U27,U31,U35,U36)</f>
        <v>447818</v>
      </c>
      <c r="V26" s="564">
        <f>SUM(V27,V31,V35,V36)</f>
        <v>466908</v>
      </c>
      <c r="W26" s="564"/>
      <c r="X26" s="564">
        <f>SUM(X27,X31,X35,X36)</f>
        <v>466908</v>
      </c>
      <c r="Y26" s="563">
        <f>V26-S26</f>
        <v>6827</v>
      </c>
      <c r="Z26" s="564">
        <f t="shared" ref="Z26:Z35" si="48">V26/S26%</f>
        <v>101.48386914478102</v>
      </c>
      <c r="AA26" s="564">
        <f>SUM(AA27,AA31,AA35,AA36)</f>
        <v>435248</v>
      </c>
      <c r="AB26" s="564"/>
      <c r="AC26" s="564">
        <f>SUM(AC27,AC31,AC35,AC36)</f>
        <v>459037.5</v>
      </c>
      <c r="AD26" s="564">
        <f>SUM(AD27,AD31,AD35,AD36)</f>
        <v>443090</v>
      </c>
      <c r="AE26" s="564"/>
      <c r="AF26" s="564">
        <f>SUM(AF27,AF31,AF35,AF36)</f>
        <v>443090</v>
      </c>
      <c r="AG26" s="563">
        <f>AD26-AA26</f>
        <v>7842</v>
      </c>
      <c r="AH26" s="564">
        <f t="shared" ref="AH26:AH35" si="49">AD26/AA26%</f>
        <v>101.80173142668089</v>
      </c>
      <c r="AI26" s="564">
        <f>SUM(AI27,AI31,AI35,AI36)</f>
        <v>444525</v>
      </c>
      <c r="AJ26" s="564">
        <f>SUM(AJ31)</f>
        <v>0</v>
      </c>
      <c r="AK26" s="564">
        <f>SUM(AK27,AK31,AK35,AK36)</f>
        <v>396938</v>
      </c>
      <c r="AL26" s="564">
        <f>SUM(AL27,AL31,AL35,AL36)</f>
        <v>449344</v>
      </c>
      <c r="AM26" s="564"/>
      <c r="AN26" s="564">
        <f>SUM(AN27,AN31,AN35,AN36)</f>
        <v>449344</v>
      </c>
      <c r="AO26" s="563">
        <f>AL26-AI26</f>
        <v>4819</v>
      </c>
      <c r="AP26" s="564">
        <f t="shared" ref="AP26:AP35" si="50">AL26/AI26%</f>
        <v>101.08407851076993</v>
      </c>
      <c r="AQ26" s="564">
        <f>SUM(AQ27,AQ31,AQ35,AQ36)</f>
        <v>567836.5</v>
      </c>
      <c r="AR26" s="564">
        <f>SUM(AR31)</f>
        <v>0</v>
      </c>
      <c r="AS26" s="564">
        <f>SUM(AS27,AS31,AS35,AS36)</f>
        <v>521873</v>
      </c>
      <c r="AT26" s="564">
        <f>SUM(AT27,AT31,AT35,AT36)</f>
        <v>565232</v>
      </c>
      <c r="AU26" s="564"/>
      <c r="AV26" s="564">
        <f>SUM(AV27,AV31,AV35,AV36)</f>
        <v>565232</v>
      </c>
      <c r="AW26" s="563">
        <f>AT26-AQ26</f>
        <v>-2604.5</v>
      </c>
      <c r="AX26" s="564">
        <f t="shared" ref="AX26:AX35" si="51">AT26/AQ26%</f>
        <v>99.541329238257845</v>
      </c>
      <c r="AY26" s="564">
        <f>SUM(AY27,AY31,AY35,AY36)</f>
        <v>1001173</v>
      </c>
      <c r="AZ26" s="564"/>
      <c r="BA26" s="564">
        <f>SUM(BA27,BA31,BA35,BA36)</f>
        <v>967718</v>
      </c>
      <c r="BB26" s="564">
        <f>SUM(BB27,BB31,BB35,BB36)</f>
        <v>1287780</v>
      </c>
      <c r="BC26" s="564"/>
      <c r="BD26" s="564">
        <f>SUM(BD27,BD31,BD35,BD36)</f>
        <v>1287780</v>
      </c>
      <c r="BE26" s="563">
        <f>BB26-AY26</f>
        <v>286607</v>
      </c>
      <c r="BF26" s="564">
        <f t="shared" ref="BF26:BF35" si="52">BB26/AY26%</f>
        <v>128.62712038778514</v>
      </c>
      <c r="BG26" s="564">
        <f>SUM(BG27,BG31,BG35,BG36)</f>
        <v>697597</v>
      </c>
      <c r="BH26" s="564">
        <f>SUM(BH31)</f>
        <v>0</v>
      </c>
      <c r="BI26" s="564">
        <f>SUM(BI27,BI31,BI35,BI36)</f>
        <v>649037</v>
      </c>
      <c r="BJ26" s="564">
        <f>SUM(BJ27,BJ31,BJ35,BJ36)</f>
        <v>701919</v>
      </c>
      <c r="BK26" s="564"/>
      <c r="BL26" s="564">
        <f>SUM(BL27,BL31,BL35,BL36)</f>
        <v>701919</v>
      </c>
      <c r="BM26" s="563">
        <f>BJ26-BG26</f>
        <v>4322</v>
      </c>
      <c r="BN26" s="564">
        <f t="shared" ref="BN26:BN35" si="53">BJ26/BG26%</f>
        <v>100.61955541666606</v>
      </c>
      <c r="BO26" s="564">
        <f>SUM(BO27,BO31,BO35,BO36)</f>
        <v>634927</v>
      </c>
      <c r="BP26" s="564">
        <f>SUM(BP31)</f>
        <v>0</v>
      </c>
      <c r="BQ26" s="564">
        <f>SUM(BQ27,BQ31,BQ35,BQ36)</f>
        <v>571036.5</v>
      </c>
      <c r="BR26" s="564">
        <f>SUM(BR27,BR31,BR35,BR36)</f>
        <v>641617</v>
      </c>
      <c r="BS26" s="564"/>
      <c r="BT26" s="564">
        <f>SUM(BT27,BT31,BT35,BT36)</f>
        <v>641617</v>
      </c>
      <c r="BU26" s="563">
        <f>BR26-BO26</f>
        <v>6690</v>
      </c>
      <c r="BV26" s="564">
        <f t="shared" ref="BV26:BV35" si="54">BR26/BO26%</f>
        <v>101.05366443701401</v>
      </c>
      <c r="BW26" s="564">
        <f>SUM(BW27,BW31,BW35,BW36)</f>
        <v>624056.5</v>
      </c>
      <c r="BX26" s="564"/>
      <c r="BY26" s="564">
        <f>SUM(BY27,BY31,BY35,BY36)</f>
        <v>570912</v>
      </c>
      <c r="BZ26" s="564">
        <f>SUM(BZ27,BZ31,BZ35,BZ36)</f>
        <v>592111</v>
      </c>
      <c r="CA26" s="564"/>
      <c r="CB26" s="564">
        <f>SUM(CB27,CB31,CB35,CB36)</f>
        <v>592111</v>
      </c>
      <c r="CC26" s="563">
        <f>BZ26-BW26</f>
        <v>-31945.5</v>
      </c>
      <c r="CD26" s="564">
        <f t="shared" ref="CD26:CD35" si="55">BZ26/BW26%</f>
        <v>94.880992346045602</v>
      </c>
      <c r="CE26" s="564">
        <f>SUM(CE27,CE31,CE35,CE36)</f>
        <v>502271.5</v>
      </c>
      <c r="CF26" s="564">
        <f>SUM(CF31)</f>
        <v>0</v>
      </c>
      <c r="CG26" s="564">
        <f>SUM(CG27,CG31,CG35,CG36)</f>
        <v>450231</v>
      </c>
      <c r="CH26" s="564">
        <f>SUM(CH27,CH31,CH35,CH36)</f>
        <v>515138</v>
      </c>
      <c r="CI26" s="564"/>
      <c r="CJ26" s="564">
        <f>SUM(CJ27,CJ31,CJ35,CJ36)</f>
        <v>515138</v>
      </c>
      <c r="CK26" s="563">
        <f>CH26-CE26</f>
        <v>12866.5</v>
      </c>
      <c r="CL26" s="564">
        <f t="shared" ref="CL26:CL35" si="56">CH26/CE26%</f>
        <v>102.56166236786279</v>
      </c>
      <c r="CM26" s="564">
        <f>SUM(CM27,CM31,CM35,CM36)</f>
        <v>725981</v>
      </c>
      <c r="CN26" s="564">
        <f>SUM(CN31)</f>
        <v>0</v>
      </c>
      <c r="CO26" s="564">
        <f>SUM(CO27,CO31,CO35,CO36)</f>
        <v>724731.5</v>
      </c>
      <c r="CP26" s="564">
        <f>SUM(CP27,CP31,CP35,CP36)</f>
        <v>791375</v>
      </c>
      <c r="CQ26" s="564"/>
      <c r="CR26" s="564">
        <f>SUM(CR27,CR31,CR35,CR36)</f>
        <v>791375</v>
      </c>
      <c r="CS26" s="563">
        <f>CP26-CM26</f>
        <v>65394</v>
      </c>
      <c r="CT26" s="564">
        <f t="shared" ref="CT26:CT35" si="57">CP26/CM26%</f>
        <v>109.00767375454728</v>
      </c>
      <c r="CU26" s="564">
        <f>SUM(CU27,CU31,CU35,CU36)</f>
        <v>470319.5</v>
      </c>
      <c r="CV26" s="564">
        <f>SUM(CV31)</f>
        <v>0</v>
      </c>
      <c r="CW26" s="564">
        <f>SUM(CW27,CW31,CW35,CW36)</f>
        <v>432045</v>
      </c>
      <c r="CX26" s="564">
        <f>SUM(CX27,CX31,CX35,CX36)</f>
        <v>489865</v>
      </c>
      <c r="CY26" s="564"/>
      <c r="CZ26" s="564">
        <f>SUM(CZ27,CZ31,CZ35,CZ36)</f>
        <v>489865</v>
      </c>
      <c r="DA26" s="563">
        <f>CX26-CU26</f>
        <v>19545.5</v>
      </c>
      <c r="DB26" s="564">
        <f t="shared" ref="DB26:DB35" si="58">CX26/CU26%</f>
        <v>104.15579196695013</v>
      </c>
    </row>
    <row r="27" spans="1:106" s="342" customFormat="1" ht="18.95" customHeight="1" x14ac:dyDescent="0.2">
      <c r="A27" s="340">
        <v>1</v>
      </c>
      <c r="B27" s="341" t="s">
        <v>227</v>
      </c>
      <c r="C27" s="564">
        <f>+C28+C30</f>
        <v>1005246</v>
      </c>
      <c r="D27" s="564"/>
      <c r="E27" s="564">
        <f>SUM(E28:E30)</f>
        <v>1255246</v>
      </c>
      <c r="F27" s="564">
        <f>SUM(F28:F30)</f>
        <v>1155246</v>
      </c>
      <c r="G27" s="564"/>
      <c r="H27" s="564">
        <f>+H28+H30</f>
        <v>1155246</v>
      </c>
      <c r="I27" s="563">
        <f t="shared" ref="I27:I33" si="59">F27-C27</f>
        <v>150000</v>
      </c>
      <c r="J27" s="564">
        <f t="shared" si="46"/>
        <v>114.921720653452</v>
      </c>
      <c r="K27" s="564">
        <f>+K28+K30</f>
        <v>40606</v>
      </c>
      <c r="L27" s="564"/>
      <c r="M27" s="564">
        <f>+M28+M30</f>
        <v>52606</v>
      </c>
      <c r="N27" s="564">
        <f>+N28+N30</f>
        <v>52606</v>
      </c>
      <c r="O27" s="564"/>
      <c r="P27" s="564">
        <f>SUM(P28:P30)</f>
        <v>52606</v>
      </c>
      <c r="Q27" s="563">
        <f t="shared" ref="Q27:Q33" si="60">N27-K27</f>
        <v>12000</v>
      </c>
      <c r="R27" s="564">
        <f t="shared" si="47"/>
        <v>129.55228291385509</v>
      </c>
      <c r="S27" s="564">
        <f>+S28+S30</f>
        <v>177233</v>
      </c>
      <c r="T27" s="564"/>
      <c r="U27" s="564">
        <f>+U28+U30</f>
        <v>187233</v>
      </c>
      <c r="V27" s="564">
        <f>+V28+V30</f>
        <v>177233</v>
      </c>
      <c r="W27" s="564"/>
      <c r="X27" s="564">
        <f>SUM(X28:X30)</f>
        <v>177233</v>
      </c>
      <c r="Y27" s="563">
        <f t="shared" ref="Y27:Y33" si="61">V27-S27</f>
        <v>0</v>
      </c>
      <c r="Z27" s="564">
        <f t="shared" si="48"/>
        <v>100</v>
      </c>
      <c r="AA27" s="564">
        <f>+AA28+AA30</f>
        <v>36557</v>
      </c>
      <c r="AB27" s="564"/>
      <c r="AC27" s="564">
        <f>+AC28+AC30</f>
        <v>56557</v>
      </c>
      <c r="AD27" s="564">
        <f>+AD28+AD30</f>
        <v>41557</v>
      </c>
      <c r="AE27" s="564"/>
      <c r="AF27" s="564">
        <f>SUM(AF28:AF30)</f>
        <v>41557</v>
      </c>
      <c r="AG27" s="563">
        <f t="shared" ref="AG27:AG33" si="62">AD27-AA27</f>
        <v>5000</v>
      </c>
      <c r="AH27" s="564">
        <f t="shared" si="49"/>
        <v>113.67727111086796</v>
      </c>
      <c r="AI27" s="564">
        <f>+AI28+AI30</f>
        <v>48751</v>
      </c>
      <c r="AJ27" s="564"/>
      <c r="AK27" s="564">
        <f>+AK28+AK30</f>
        <v>53751</v>
      </c>
      <c r="AL27" s="564">
        <f>+AL28+AL30</f>
        <v>48751</v>
      </c>
      <c r="AM27" s="564"/>
      <c r="AN27" s="564">
        <f>SUM(AN28:AN30)</f>
        <v>48751</v>
      </c>
      <c r="AO27" s="563">
        <f t="shared" ref="AO27:AO33" si="63">AL27-AI27</f>
        <v>0</v>
      </c>
      <c r="AP27" s="564">
        <f t="shared" si="50"/>
        <v>100</v>
      </c>
      <c r="AQ27" s="564">
        <f>+AQ28+AQ30</f>
        <v>56302</v>
      </c>
      <c r="AR27" s="564"/>
      <c r="AS27" s="564">
        <f>+AS28+AS30</f>
        <v>56302</v>
      </c>
      <c r="AT27" s="564">
        <f>+AT28+AT30</f>
        <v>61302</v>
      </c>
      <c r="AU27" s="564"/>
      <c r="AV27" s="564">
        <f>SUM(AV28:AV30)</f>
        <v>61302</v>
      </c>
      <c r="AW27" s="563">
        <f t="shared" ref="AW27:AW33" si="64">AT27-AQ27</f>
        <v>5000</v>
      </c>
      <c r="AX27" s="564">
        <f t="shared" si="51"/>
        <v>108.88067919434479</v>
      </c>
      <c r="AY27" s="564">
        <f>+AY28+AY30</f>
        <v>168534</v>
      </c>
      <c r="AZ27" s="564"/>
      <c r="BA27" s="564">
        <f>+BA28+BA30</f>
        <v>276534</v>
      </c>
      <c r="BB27" s="564">
        <f>+BB28+BB30</f>
        <v>216534</v>
      </c>
      <c r="BC27" s="564"/>
      <c r="BD27" s="564">
        <f>SUM(BD28:BD30)</f>
        <v>216534</v>
      </c>
      <c r="BE27" s="563">
        <f t="shared" ref="BE27:BE33" si="65">BB27-AY27</f>
        <v>48000</v>
      </c>
      <c r="BF27" s="564">
        <f t="shared" si="52"/>
        <v>128.48089999643989</v>
      </c>
      <c r="BG27" s="564">
        <f>+BG28+BG30</f>
        <v>74662</v>
      </c>
      <c r="BH27" s="564"/>
      <c r="BI27" s="564">
        <f>+BI28+BI30</f>
        <v>79662</v>
      </c>
      <c r="BJ27" s="564">
        <f>+BJ28+BJ30</f>
        <v>74662</v>
      </c>
      <c r="BK27" s="564"/>
      <c r="BL27" s="564">
        <f>SUM(BL28:BL30)</f>
        <v>74662</v>
      </c>
      <c r="BM27" s="563">
        <f t="shared" ref="BM27:BM33" si="66">BJ27-BG27</f>
        <v>0</v>
      </c>
      <c r="BN27" s="564">
        <f t="shared" si="53"/>
        <v>100</v>
      </c>
      <c r="BO27" s="564">
        <f>+BO28+BO30</f>
        <v>86250</v>
      </c>
      <c r="BP27" s="564"/>
      <c r="BQ27" s="564">
        <f>+BQ28+BQ30</f>
        <v>91250</v>
      </c>
      <c r="BR27" s="564">
        <f>+BR28+BR30</f>
        <v>96250</v>
      </c>
      <c r="BS27" s="564"/>
      <c r="BT27" s="564">
        <f>SUM(BT28:BT30)</f>
        <v>96250</v>
      </c>
      <c r="BU27" s="563">
        <f t="shared" ref="BU27:BU33" si="67">BR27-BO27</f>
        <v>10000</v>
      </c>
      <c r="BV27" s="564">
        <f t="shared" si="54"/>
        <v>111.59420289855072</v>
      </c>
      <c r="BW27" s="564">
        <f>+BW28+BW30</f>
        <v>50177</v>
      </c>
      <c r="BX27" s="564"/>
      <c r="BY27" s="564">
        <f>+BY28+BY30</f>
        <v>75177</v>
      </c>
      <c r="BZ27" s="564">
        <f>+BZ28+BZ30</f>
        <v>60177</v>
      </c>
      <c r="CA27" s="564"/>
      <c r="CB27" s="564">
        <f>SUM(CB28:CB30)</f>
        <v>60177</v>
      </c>
      <c r="CC27" s="563">
        <f t="shared" ref="CC27:CC33" si="68">BZ27-BW27</f>
        <v>10000</v>
      </c>
      <c r="CD27" s="564">
        <f t="shared" si="55"/>
        <v>119.92944974789246</v>
      </c>
      <c r="CE27" s="564">
        <f>+CE28+CE30</f>
        <v>48432</v>
      </c>
      <c r="CF27" s="564"/>
      <c r="CG27" s="564">
        <f>+CG28+CG30</f>
        <v>60432</v>
      </c>
      <c r="CH27" s="564">
        <f>+CH28+CH30</f>
        <v>53432</v>
      </c>
      <c r="CI27" s="564"/>
      <c r="CJ27" s="564">
        <f>SUM(CJ28:CJ30)</f>
        <v>53432</v>
      </c>
      <c r="CK27" s="563">
        <f t="shared" ref="CK27:CK33" si="69">CH27-CE27</f>
        <v>5000</v>
      </c>
      <c r="CL27" s="564">
        <f t="shared" si="56"/>
        <v>110.32375289065081</v>
      </c>
      <c r="CM27" s="564">
        <f>+CM28+CM30</f>
        <v>171569</v>
      </c>
      <c r="CN27" s="564"/>
      <c r="CO27" s="564">
        <f>+CO28+CO30</f>
        <v>214569</v>
      </c>
      <c r="CP27" s="564">
        <f>+CP28+CP30</f>
        <v>211569</v>
      </c>
      <c r="CQ27" s="564"/>
      <c r="CR27" s="564">
        <f>SUM(CR28:CR30)</f>
        <v>211569</v>
      </c>
      <c r="CS27" s="563">
        <f t="shared" ref="CS27:CS33" si="70">CP27-CM27</f>
        <v>40000</v>
      </c>
      <c r="CT27" s="564">
        <f t="shared" si="57"/>
        <v>123.31423508908952</v>
      </c>
      <c r="CU27" s="564">
        <f>+CU28+CU30</f>
        <v>46173</v>
      </c>
      <c r="CV27" s="564"/>
      <c r="CW27" s="564">
        <f>+CW28+CW30</f>
        <v>51173</v>
      </c>
      <c r="CX27" s="564">
        <f>+CX28+CX30</f>
        <v>61173</v>
      </c>
      <c r="CY27" s="564"/>
      <c r="CZ27" s="564">
        <f>SUM(CZ28:CZ30)</f>
        <v>61173</v>
      </c>
      <c r="DA27" s="563">
        <f t="shared" ref="DA27:DA33" si="71">CX27-CU27</f>
        <v>15000</v>
      </c>
      <c r="DB27" s="564">
        <f t="shared" si="58"/>
        <v>132.48651809499057</v>
      </c>
    </row>
    <row r="28" spans="1:106" s="325" customFormat="1" ht="18.95" customHeight="1" x14ac:dyDescent="0.2">
      <c r="A28" s="343" t="s">
        <v>564</v>
      </c>
      <c r="B28" s="344" t="s">
        <v>683</v>
      </c>
      <c r="C28" s="565">
        <f>+K28+S28+AA28+AI28+AQ28+AY28+BG28+BO28+BW28+CE28+CM28+CU28</f>
        <v>505246</v>
      </c>
      <c r="D28" s="565"/>
      <c r="E28" s="565">
        <f>+M28+U28+AC28+AK28+AS28+BA28+BI28+BQ28+BY28+CG28+CO28+CW28</f>
        <v>505246</v>
      </c>
      <c r="F28" s="565">
        <f t="shared" ref="F28:H36" si="72">SUM(N28,V28,AD28,AL28,AT28,BB28,BJ28,BR28,BZ28,CH28,CP28,CX28)</f>
        <v>505246</v>
      </c>
      <c r="G28" s="565"/>
      <c r="H28" s="565">
        <f t="shared" si="72"/>
        <v>505246</v>
      </c>
      <c r="I28" s="566">
        <f t="shared" si="59"/>
        <v>0</v>
      </c>
      <c r="J28" s="565">
        <f t="shared" si="46"/>
        <v>100</v>
      </c>
      <c r="K28" s="565">
        <v>27606</v>
      </c>
      <c r="L28" s="565"/>
      <c r="M28" s="565">
        <f>K28</f>
        <v>27606</v>
      </c>
      <c r="N28" s="565">
        <f>INT(K28+IF(('Thu NSH'!V43)*$C$40&lt;0,0,('Thu NSH'!V43)*$C$40))</f>
        <v>27606</v>
      </c>
      <c r="O28" s="565"/>
      <c r="P28" s="565">
        <f>N28</f>
        <v>27606</v>
      </c>
      <c r="Q28" s="566">
        <f t="shared" si="60"/>
        <v>0</v>
      </c>
      <c r="R28" s="565">
        <f t="shared" si="47"/>
        <v>100</v>
      </c>
      <c r="S28" s="565">
        <v>27233</v>
      </c>
      <c r="T28" s="565"/>
      <c r="U28" s="565">
        <f>S28</f>
        <v>27233</v>
      </c>
      <c r="V28" s="565">
        <f>INT(S28+IF(('Thu NSH'!AH43)*$C$40&lt;0,0,('Thu NSH'!AH43)*$C$40))</f>
        <v>27233</v>
      </c>
      <c r="W28" s="565"/>
      <c r="X28" s="565">
        <f>V28</f>
        <v>27233</v>
      </c>
      <c r="Y28" s="566">
        <f t="shared" si="61"/>
        <v>0</v>
      </c>
      <c r="Z28" s="565">
        <f t="shared" si="48"/>
        <v>100</v>
      </c>
      <c r="AA28" s="565">
        <v>26557</v>
      </c>
      <c r="AB28" s="565"/>
      <c r="AC28" s="565">
        <f>AA28</f>
        <v>26557</v>
      </c>
      <c r="AD28" s="565">
        <f>INT(AA28+IF(('Thu NSH'!AT43)*$C$40&lt;0,0,('Thu NSH'!AT43)*$C$40))</f>
        <v>26557</v>
      </c>
      <c r="AE28" s="565"/>
      <c r="AF28" s="565">
        <f>AD28</f>
        <v>26557</v>
      </c>
      <c r="AG28" s="566">
        <f t="shared" si="62"/>
        <v>0</v>
      </c>
      <c r="AH28" s="565">
        <f t="shared" si="49"/>
        <v>100</v>
      </c>
      <c r="AI28" s="565">
        <v>28751</v>
      </c>
      <c r="AJ28" s="565"/>
      <c r="AK28" s="565">
        <f>AI28</f>
        <v>28751</v>
      </c>
      <c r="AL28" s="565">
        <f>INT(AI28+IF(('Thu NSH'!BF43)*$C$40&lt;0,0,('Thu NSH'!BF43)*$C$40))</f>
        <v>28751</v>
      </c>
      <c r="AM28" s="565"/>
      <c r="AN28" s="565">
        <f>AL28</f>
        <v>28751</v>
      </c>
      <c r="AO28" s="566">
        <f t="shared" si="63"/>
        <v>0</v>
      </c>
      <c r="AP28" s="565">
        <f t="shared" si="50"/>
        <v>100</v>
      </c>
      <c r="AQ28" s="565">
        <v>36302</v>
      </c>
      <c r="AR28" s="565"/>
      <c r="AS28" s="565">
        <f>AQ28</f>
        <v>36302</v>
      </c>
      <c r="AT28" s="565">
        <f>INT(AQ28+IF(('Thu NSH'!BR43)*$C$40&lt;0,0,('Thu NSH'!BR43)*$C$40))</f>
        <v>36302</v>
      </c>
      <c r="AU28" s="565"/>
      <c r="AV28" s="565">
        <f>AT28</f>
        <v>36302</v>
      </c>
      <c r="AW28" s="566">
        <f t="shared" si="64"/>
        <v>0</v>
      </c>
      <c r="AX28" s="565">
        <f t="shared" si="51"/>
        <v>100</v>
      </c>
      <c r="AY28" s="565">
        <v>116534</v>
      </c>
      <c r="AZ28" s="565"/>
      <c r="BA28" s="565">
        <f>AY28</f>
        <v>116534</v>
      </c>
      <c r="BB28" s="565">
        <f>INT(AY28+IF(('Thu NSH'!CD43)*$C$40&lt;0,0,('Thu NSH'!CD43)*$C$40))</f>
        <v>116534</v>
      </c>
      <c r="BC28" s="565"/>
      <c r="BD28" s="565">
        <f>BB28</f>
        <v>116534</v>
      </c>
      <c r="BE28" s="566">
        <f t="shared" si="65"/>
        <v>0</v>
      </c>
      <c r="BF28" s="565">
        <f t="shared" si="52"/>
        <v>100</v>
      </c>
      <c r="BG28" s="565">
        <v>39662</v>
      </c>
      <c r="BH28" s="565"/>
      <c r="BI28" s="565">
        <f>BG28</f>
        <v>39662</v>
      </c>
      <c r="BJ28" s="565">
        <f>INT(BG28+IF(('Thu NSH'!CP43)*$C$40&lt;0,0,('Thu NSH'!CP43)*$C$40))</f>
        <v>39662</v>
      </c>
      <c r="BK28" s="565"/>
      <c r="BL28" s="565">
        <f>BJ28</f>
        <v>39662</v>
      </c>
      <c r="BM28" s="566">
        <f t="shared" si="66"/>
        <v>0</v>
      </c>
      <c r="BN28" s="565">
        <f t="shared" si="53"/>
        <v>100</v>
      </c>
      <c r="BO28" s="565">
        <v>36250</v>
      </c>
      <c r="BP28" s="565"/>
      <c r="BQ28" s="565">
        <f>BO28</f>
        <v>36250</v>
      </c>
      <c r="BR28" s="565">
        <f>INT(BO28+IF(('Thu NSH'!DB43)*$C$40&lt;0,0,('Thu NSH'!DB43)*$C$40))</f>
        <v>36250</v>
      </c>
      <c r="BS28" s="565"/>
      <c r="BT28" s="565">
        <f>+BR28</f>
        <v>36250</v>
      </c>
      <c r="BU28" s="566">
        <f t="shared" si="67"/>
        <v>0</v>
      </c>
      <c r="BV28" s="565">
        <f t="shared" si="54"/>
        <v>100</v>
      </c>
      <c r="BW28" s="565">
        <v>35177</v>
      </c>
      <c r="BX28" s="565"/>
      <c r="BY28" s="565">
        <f>BW28</f>
        <v>35177</v>
      </c>
      <c r="BZ28" s="565">
        <f>INT(BW28+IF(('Thu NSH'!DN43)*$C$40&lt;0,0,('Thu NSH'!DN43)*$C$40))</f>
        <v>35177</v>
      </c>
      <c r="CA28" s="565"/>
      <c r="CB28" s="565">
        <f>BZ28</f>
        <v>35177</v>
      </c>
      <c r="CC28" s="566">
        <f t="shared" si="68"/>
        <v>0</v>
      </c>
      <c r="CD28" s="565">
        <f t="shared" si="55"/>
        <v>100</v>
      </c>
      <c r="CE28" s="565">
        <v>33432</v>
      </c>
      <c r="CF28" s="565"/>
      <c r="CG28" s="565">
        <f>CE28</f>
        <v>33432</v>
      </c>
      <c r="CH28" s="565">
        <f>INT(CE28+IF(('Thu NSH'!DZ43)*$C$40&lt;0,0,('Thu NSH'!DZ43)*$C$40))</f>
        <v>33432</v>
      </c>
      <c r="CI28" s="565"/>
      <c r="CJ28" s="565">
        <f>CH28</f>
        <v>33432</v>
      </c>
      <c r="CK28" s="566">
        <f t="shared" si="69"/>
        <v>0</v>
      </c>
      <c r="CL28" s="565">
        <f t="shared" si="56"/>
        <v>100</v>
      </c>
      <c r="CM28" s="565">
        <v>71569</v>
      </c>
      <c r="CN28" s="565"/>
      <c r="CO28" s="565">
        <f>CM28</f>
        <v>71569</v>
      </c>
      <c r="CP28" s="565">
        <f>INT(CM28+IF(('Thu NSH'!EL43)*$C$40&lt;0,0,('Thu NSH'!EL43)*$C$40))</f>
        <v>71569</v>
      </c>
      <c r="CQ28" s="565"/>
      <c r="CR28" s="565">
        <f>CP28</f>
        <v>71569</v>
      </c>
      <c r="CS28" s="566">
        <f t="shared" si="70"/>
        <v>0</v>
      </c>
      <c r="CT28" s="565">
        <f t="shared" si="57"/>
        <v>99.999999999999986</v>
      </c>
      <c r="CU28" s="565">
        <v>26173</v>
      </c>
      <c r="CV28" s="565"/>
      <c r="CW28" s="565">
        <f>CU28</f>
        <v>26173</v>
      </c>
      <c r="CX28" s="565">
        <f>INT(CU28+IF(('Thu NSH'!EX43)*$C$40&lt;0,0,('Thu NSH'!EX43)*$C$40))</f>
        <v>26173</v>
      </c>
      <c r="CY28" s="565"/>
      <c r="CZ28" s="565">
        <f>CX28</f>
        <v>26173</v>
      </c>
      <c r="DA28" s="566">
        <f t="shared" si="71"/>
        <v>0</v>
      </c>
      <c r="DB28" s="565">
        <f t="shared" si="58"/>
        <v>100</v>
      </c>
    </row>
    <row r="29" spans="1:106" s="1188" customFormat="1" ht="25.5" hidden="1" x14ac:dyDescent="0.25">
      <c r="A29" s="1187"/>
      <c r="B29" s="1186" t="s">
        <v>1471</v>
      </c>
      <c r="C29" s="589"/>
      <c r="D29" s="589"/>
      <c r="E29" s="589"/>
      <c r="F29" s="589"/>
      <c r="G29" s="589"/>
      <c r="H29" s="589"/>
      <c r="I29" s="590"/>
      <c r="J29" s="589"/>
      <c r="K29" s="589"/>
      <c r="L29" s="589"/>
      <c r="M29" s="589"/>
      <c r="N29" s="589"/>
      <c r="O29" s="589"/>
      <c r="P29" s="589"/>
      <c r="Q29" s="590"/>
      <c r="R29" s="589"/>
      <c r="S29" s="589"/>
      <c r="T29" s="589"/>
      <c r="U29" s="589"/>
      <c r="V29" s="589"/>
      <c r="W29" s="589"/>
      <c r="X29" s="589"/>
      <c r="Y29" s="590"/>
      <c r="Z29" s="589"/>
      <c r="AA29" s="589"/>
      <c r="AB29" s="589"/>
      <c r="AC29" s="589"/>
      <c r="AD29" s="589"/>
      <c r="AE29" s="589"/>
      <c r="AF29" s="589"/>
      <c r="AG29" s="590"/>
      <c r="AH29" s="589"/>
      <c r="AI29" s="589"/>
      <c r="AJ29" s="589"/>
      <c r="AK29" s="589"/>
      <c r="AL29" s="589"/>
      <c r="AM29" s="589"/>
      <c r="AN29" s="589"/>
      <c r="AO29" s="590"/>
      <c r="AP29" s="589"/>
      <c r="AQ29" s="589"/>
      <c r="AR29" s="589"/>
      <c r="AS29" s="589"/>
      <c r="AT29" s="589"/>
      <c r="AU29" s="589"/>
      <c r="AV29" s="589"/>
      <c r="AW29" s="590"/>
      <c r="AX29" s="589"/>
      <c r="AY29" s="589"/>
      <c r="AZ29" s="589"/>
      <c r="BA29" s="589"/>
      <c r="BB29" s="589"/>
      <c r="BC29" s="589"/>
      <c r="BD29" s="589"/>
      <c r="BE29" s="590"/>
      <c r="BF29" s="589"/>
      <c r="BG29" s="589"/>
      <c r="BH29" s="589"/>
      <c r="BI29" s="589"/>
      <c r="BJ29" s="589"/>
      <c r="BK29" s="589"/>
      <c r="BL29" s="589"/>
      <c r="BM29" s="590"/>
      <c r="BN29" s="589"/>
      <c r="BO29" s="589"/>
      <c r="BP29" s="589"/>
      <c r="BQ29" s="589"/>
      <c r="BR29" s="589"/>
      <c r="BS29" s="589"/>
      <c r="BT29" s="589"/>
      <c r="BU29" s="590"/>
      <c r="BV29" s="589"/>
      <c r="BW29" s="589"/>
      <c r="BX29" s="589"/>
      <c r="BY29" s="589"/>
      <c r="BZ29" s="589"/>
      <c r="CA29" s="589"/>
      <c r="CB29" s="589"/>
      <c r="CC29" s="590"/>
      <c r="CD29" s="589"/>
      <c r="CE29" s="589"/>
      <c r="CF29" s="589"/>
      <c r="CG29" s="589"/>
      <c r="CH29" s="589"/>
      <c r="CI29" s="589"/>
      <c r="CJ29" s="589"/>
      <c r="CK29" s="590"/>
      <c r="CL29" s="589"/>
      <c r="CM29" s="589"/>
      <c r="CN29" s="589"/>
      <c r="CO29" s="589"/>
      <c r="CP29" s="589"/>
      <c r="CQ29" s="589"/>
      <c r="CR29" s="589"/>
      <c r="CS29" s="590"/>
      <c r="CT29" s="589"/>
      <c r="CU29" s="589"/>
      <c r="CV29" s="589"/>
      <c r="CW29" s="589"/>
      <c r="CX29" s="589"/>
      <c r="CY29" s="589"/>
      <c r="CZ29" s="589"/>
      <c r="DA29" s="590"/>
      <c r="DB29" s="589"/>
    </row>
    <row r="30" spans="1:106" s="325" customFormat="1" ht="18.95" customHeight="1" x14ac:dyDescent="0.2">
      <c r="A30" s="343" t="s">
        <v>564</v>
      </c>
      <c r="B30" s="344" t="s">
        <v>381</v>
      </c>
      <c r="C30" s="565">
        <f>+K30+S30+AA30+AI30+AQ30+AY30+BG30+BO30+BW30+CE30+CM30+CU30</f>
        <v>500000</v>
      </c>
      <c r="D30" s="565"/>
      <c r="E30" s="565">
        <f>+M30+U30+AC30+AK30+AS30+BA30+BI30+BQ30+BY30+CG30+CO30+CW30</f>
        <v>750000</v>
      </c>
      <c r="F30" s="565">
        <f t="shared" si="72"/>
        <v>650000</v>
      </c>
      <c r="G30" s="567"/>
      <c r="H30" s="565">
        <f>SUM(P30,X30,AF30,AN30,AV30,BD30,BL30,BT30,CB30,CJ30,CR30,CZ30)</f>
        <v>650000</v>
      </c>
      <c r="I30" s="566">
        <f t="shared" si="59"/>
        <v>150000</v>
      </c>
      <c r="J30" s="565">
        <f t="shared" si="46"/>
        <v>130</v>
      </c>
      <c r="K30" s="565">
        <v>13000</v>
      </c>
      <c r="L30" s="565"/>
      <c r="M30" s="565">
        <f>'Thu NSH'!T28</f>
        <v>25000</v>
      </c>
      <c r="N30" s="565">
        <f>'Thu NSH'!V28</f>
        <v>25000</v>
      </c>
      <c r="O30" s="567"/>
      <c r="P30" s="565">
        <f>N30</f>
        <v>25000</v>
      </c>
      <c r="Q30" s="566">
        <f t="shared" si="60"/>
        <v>12000</v>
      </c>
      <c r="R30" s="565">
        <f t="shared" si="47"/>
        <v>192.30769230769232</v>
      </c>
      <c r="S30" s="565">
        <v>150000</v>
      </c>
      <c r="T30" s="565"/>
      <c r="U30" s="565">
        <f>'Thu NSH'!AF28</f>
        <v>160000</v>
      </c>
      <c r="V30" s="565">
        <f>'Thu NSH'!AH28</f>
        <v>150000</v>
      </c>
      <c r="W30" s="567"/>
      <c r="X30" s="565">
        <f>V30</f>
        <v>150000</v>
      </c>
      <c r="Y30" s="566">
        <f>V30-S30</f>
        <v>0</v>
      </c>
      <c r="Z30" s="565">
        <f t="shared" si="48"/>
        <v>100</v>
      </c>
      <c r="AA30" s="565">
        <v>10000</v>
      </c>
      <c r="AB30" s="565"/>
      <c r="AC30" s="565">
        <f>'Thu NSH'!AR28</f>
        <v>30000</v>
      </c>
      <c r="AD30" s="565">
        <f>'Thu NSH'!AT28</f>
        <v>15000</v>
      </c>
      <c r="AE30" s="567"/>
      <c r="AF30" s="565">
        <f>AD30</f>
        <v>15000</v>
      </c>
      <c r="AG30" s="566">
        <f t="shared" si="62"/>
        <v>5000</v>
      </c>
      <c r="AH30" s="565">
        <f t="shared" si="49"/>
        <v>150</v>
      </c>
      <c r="AI30" s="565">
        <v>20000</v>
      </c>
      <c r="AJ30" s="565"/>
      <c r="AK30" s="565">
        <f>'Thu NSH'!BD28</f>
        <v>25000</v>
      </c>
      <c r="AL30" s="565">
        <f>'Thu NSH'!BF28</f>
        <v>20000</v>
      </c>
      <c r="AM30" s="567"/>
      <c r="AN30" s="565">
        <f>AL30</f>
        <v>20000</v>
      </c>
      <c r="AO30" s="566">
        <f t="shared" si="63"/>
        <v>0</v>
      </c>
      <c r="AP30" s="565">
        <f t="shared" si="50"/>
        <v>100</v>
      </c>
      <c r="AQ30" s="565">
        <v>20000</v>
      </c>
      <c r="AR30" s="565"/>
      <c r="AS30" s="565">
        <f>'Thu NSH'!BP28</f>
        <v>20000</v>
      </c>
      <c r="AT30" s="565">
        <f>'Thu NSH'!BR28</f>
        <v>25000</v>
      </c>
      <c r="AU30" s="567"/>
      <c r="AV30" s="565">
        <f>AT30</f>
        <v>25000</v>
      </c>
      <c r="AW30" s="566">
        <f t="shared" si="64"/>
        <v>5000</v>
      </c>
      <c r="AX30" s="565">
        <f t="shared" si="51"/>
        <v>125</v>
      </c>
      <c r="AY30" s="565">
        <v>52000</v>
      </c>
      <c r="AZ30" s="565"/>
      <c r="BA30" s="565">
        <f>'Thu NSH'!CB28</f>
        <v>160000</v>
      </c>
      <c r="BB30" s="565">
        <f>'Thu NSH'!CD28</f>
        <v>100000</v>
      </c>
      <c r="BC30" s="567"/>
      <c r="BD30" s="565">
        <f>BB30</f>
        <v>100000</v>
      </c>
      <c r="BE30" s="566">
        <f t="shared" si="65"/>
        <v>48000</v>
      </c>
      <c r="BF30" s="565">
        <f t="shared" si="52"/>
        <v>192.30769230769232</v>
      </c>
      <c r="BG30" s="565">
        <v>35000</v>
      </c>
      <c r="BH30" s="565"/>
      <c r="BI30" s="565">
        <f>'Thu NSH'!CN28</f>
        <v>40000</v>
      </c>
      <c r="BJ30" s="565">
        <f>'Thu NSH'!CP28</f>
        <v>35000</v>
      </c>
      <c r="BK30" s="567"/>
      <c r="BL30" s="565">
        <f>BJ30</f>
        <v>35000</v>
      </c>
      <c r="BM30" s="566">
        <f t="shared" si="66"/>
        <v>0</v>
      </c>
      <c r="BN30" s="565">
        <f t="shared" si="53"/>
        <v>100</v>
      </c>
      <c r="BO30" s="565">
        <v>50000</v>
      </c>
      <c r="BP30" s="565"/>
      <c r="BQ30" s="565">
        <f>'Thu NSH'!CZ28</f>
        <v>55000</v>
      </c>
      <c r="BR30" s="565">
        <f>'Thu NSH'!DB28</f>
        <v>60000</v>
      </c>
      <c r="BS30" s="567"/>
      <c r="BT30" s="565">
        <f>BR30</f>
        <v>60000</v>
      </c>
      <c r="BU30" s="566">
        <f t="shared" si="67"/>
        <v>10000</v>
      </c>
      <c r="BV30" s="565">
        <f t="shared" si="54"/>
        <v>120</v>
      </c>
      <c r="BW30" s="565">
        <v>15000</v>
      </c>
      <c r="BX30" s="565"/>
      <c r="BY30" s="565">
        <f>'Thu NSH'!DL28</f>
        <v>40000</v>
      </c>
      <c r="BZ30" s="565">
        <f>'Thu NSH'!DN28</f>
        <v>25000</v>
      </c>
      <c r="CA30" s="567"/>
      <c r="CB30" s="565">
        <f>BZ30</f>
        <v>25000</v>
      </c>
      <c r="CC30" s="566">
        <f t="shared" si="68"/>
        <v>10000</v>
      </c>
      <c r="CD30" s="565">
        <f t="shared" si="55"/>
        <v>166.66666666666666</v>
      </c>
      <c r="CE30" s="565">
        <v>15000</v>
      </c>
      <c r="CF30" s="565"/>
      <c r="CG30" s="565">
        <f>'Thu NSH'!DX28</f>
        <v>27000</v>
      </c>
      <c r="CH30" s="565">
        <f>'Thu NSH'!DZ28</f>
        <v>20000</v>
      </c>
      <c r="CI30" s="567"/>
      <c r="CJ30" s="565">
        <f>CH30</f>
        <v>20000</v>
      </c>
      <c r="CK30" s="566">
        <f t="shared" si="69"/>
        <v>5000</v>
      </c>
      <c r="CL30" s="565">
        <f t="shared" si="56"/>
        <v>133.33333333333334</v>
      </c>
      <c r="CM30" s="565">
        <v>100000</v>
      </c>
      <c r="CN30" s="565"/>
      <c r="CO30" s="565">
        <f>'Thu NSH'!EJ28</f>
        <v>143000</v>
      </c>
      <c r="CP30" s="565">
        <f>'Thu NSH'!EL28</f>
        <v>140000</v>
      </c>
      <c r="CQ30" s="567"/>
      <c r="CR30" s="565">
        <f>CP30</f>
        <v>140000</v>
      </c>
      <c r="CS30" s="566">
        <f t="shared" si="70"/>
        <v>40000</v>
      </c>
      <c r="CT30" s="565">
        <f t="shared" si="57"/>
        <v>140</v>
      </c>
      <c r="CU30" s="565">
        <v>20000</v>
      </c>
      <c r="CV30" s="565"/>
      <c r="CW30" s="565">
        <f>'Thu NSH'!EV28</f>
        <v>25000</v>
      </c>
      <c r="CX30" s="565">
        <f>'Thu NSH'!EX28</f>
        <v>35000</v>
      </c>
      <c r="CY30" s="567"/>
      <c r="CZ30" s="565">
        <f>CX30</f>
        <v>35000</v>
      </c>
      <c r="DA30" s="566">
        <f t="shared" si="71"/>
        <v>15000</v>
      </c>
      <c r="DB30" s="565">
        <f t="shared" si="58"/>
        <v>175</v>
      </c>
    </row>
    <row r="31" spans="1:106" s="342" customFormat="1" ht="18.95" customHeight="1" x14ac:dyDescent="0.2">
      <c r="A31" s="340">
        <v>2</v>
      </c>
      <c r="B31" s="341" t="s">
        <v>362</v>
      </c>
      <c r="C31" s="564">
        <f>SUM(C32:C34)</f>
        <v>5562137</v>
      </c>
      <c r="D31" s="564">
        <f>SUM(L31,T31,AB31,AJ31,AR31,AZ31,BH31,BP31,BX31,CF31,CN31,CV31)</f>
        <v>0</v>
      </c>
      <c r="E31" s="564">
        <f>SUM(E32:E34)</f>
        <v>4930803.6500000004</v>
      </c>
      <c r="F31" s="564">
        <f>SUM(F32:F34)</f>
        <v>5578092</v>
      </c>
      <c r="G31" s="564">
        <f t="shared" si="72"/>
        <v>100941</v>
      </c>
      <c r="H31" s="564">
        <f>SUM(H32:H34)</f>
        <v>5578092</v>
      </c>
      <c r="I31" s="563">
        <f>F31-C31</f>
        <v>15955</v>
      </c>
      <c r="J31" s="564">
        <f t="shared" si="46"/>
        <v>100.28685018006568</v>
      </c>
      <c r="K31" s="564">
        <f>SUM(K32:K34)</f>
        <v>446694</v>
      </c>
      <c r="L31" s="564"/>
      <c r="M31" s="564">
        <f>SUM(M32:M34)</f>
        <v>430147</v>
      </c>
      <c r="N31" s="564">
        <f>N7-N27-N35-N36</f>
        <v>448046</v>
      </c>
      <c r="O31" s="564">
        <f>'Nhu cầu TLCS năm 2020'!C7</f>
        <v>8156</v>
      </c>
      <c r="P31" s="564">
        <f>P7-P27-P35-P36</f>
        <v>448046</v>
      </c>
      <c r="Q31" s="563">
        <f>N31-K31</f>
        <v>1352</v>
      </c>
      <c r="R31" s="564">
        <f t="shared" si="47"/>
        <v>100.30266804568677</v>
      </c>
      <c r="S31" s="564">
        <f>SUM(S32:S34)</f>
        <v>277439</v>
      </c>
      <c r="T31" s="564"/>
      <c r="U31" s="564">
        <f>SUM(U32:U34)</f>
        <v>255176</v>
      </c>
      <c r="V31" s="564">
        <f>V7-V27-V35-V36</f>
        <v>284266</v>
      </c>
      <c r="W31" s="564">
        <f>'Nhu cầu TLCS năm 2020'!C8</f>
        <v>4605</v>
      </c>
      <c r="X31" s="564">
        <f>X7-X27-X35-X36</f>
        <v>284266</v>
      </c>
      <c r="Y31" s="563">
        <f t="shared" si="61"/>
        <v>6827</v>
      </c>
      <c r="Z31" s="564">
        <f t="shared" si="48"/>
        <v>102.46072109544801</v>
      </c>
      <c r="AA31" s="564">
        <f>SUM(AA32:AA34)</f>
        <v>391895</v>
      </c>
      <c r="AB31" s="564"/>
      <c r="AC31" s="564">
        <f>SUM(AC32:AC34)</f>
        <v>391536.65</v>
      </c>
      <c r="AD31" s="564">
        <f>SUM(AD32:AD34)</f>
        <v>394737</v>
      </c>
      <c r="AE31" s="564">
        <f>'Nhu cầu TLCS năm 2020'!C9</f>
        <v>7642</v>
      </c>
      <c r="AF31" s="564">
        <f>AF7-AF27-AF35-AF36</f>
        <v>394737</v>
      </c>
      <c r="AG31" s="563">
        <f t="shared" si="62"/>
        <v>2842</v>
      </c>
      <c r="AH31" s="564">
        <f t="shared" si="49"/>
        <v>100.72519424845942</v>
      </c>
      <c r="AI31" s="564">
        <f>SUM(AI32:AI34)</f>
        <v>389484</v>
      </c>
      <c r="AJ31" s="564"/>
      <c r="AK31" s="564">
        <f>SUM(AK32:AK34)</f>
        <v>336897</v>
      </c>
      <c r="AL31" s="564">
        <f>SUM(AL32:AL34)</f>
        <v>394303</v>
      </c>
      <c r="AM31" s="564">
        <f>'Nhu cầu TLCS năm 2020'!C10</f>
        <v>7958</v>
      </c>
      <c r="AN31" s="564">
        <f>AN7-AN27-AN35-AN36</f>
        <v>394303</v>
      </c>
      <c r="AO31" s="563">
        <f t="shared" si="63"/>
        <v>4819</v>
      </c>
      <c r="AP31" s="564">
        <f t="shared" si="50"/>
        <v>101.23727803966273</v>
      </c>
      <c r="AQ31" s="564">
        <f>SUM(AQ32:AQ34)</f>
        <v>502125.5</v>
      </c>
      <c r="AR31" s="564"/>
      <c r="AS31" s="564">
        <f>SUM(AS32:AS34)</f>
        <v>456162</v>
      </c>
      <c r="AT31" s="564">
        <f>SUM(AT32:AT34)</f>
        <v>494521</v>
      </c>
      <c r="AU31" s="564">
        <f>'Nhu cầu TLCS năm 2020'!C11</f>
        <v>9320</v>
      </c>
      <c r="AV31" s="564">
        <f>AV7-AV27-AV35-AV36</f>
        <v>494521</v>
      </c>
      <c r="AW31" s="563">
        <f t="shared" si="64"/>
        <v>-7604.5</v>
      </c>
      <c r="AX31" s="564">
        <f t="shared" si="51"/>
        <v>98.485537978055291</v>
      </c>
      <c r="AY31" s="564">
        <f>SUM(AY32:AY34)</f>
        <v>471691</v>
      </c>
      <c r="AZ31" s="564"/>
      <c r="BA31" s="564">
        <f>SUM(BA32:BA34)</f>
        <v>330236</v>
      </c>
      <c r="BB31" s="564">
        <f>SUM(BB32:BB34)</f>
        <v>573220</v>
      </c>
      <c r="BC31" s="564">
        <f>'Nhu cầu TLCS năm 2020'!C12</f>
        <v>9728</v>
      </c>
      <c r="BD31" s="564">
        <f>BD7-BD27-BD35-BD36</f>
        <v>573220</v>
      </c>
      <c r="BE31" s="563">
        <f t="shared" si="65"/>
        <v>101529</v>
      </c>
      <c r="BF31" s="564">
        <f t="shared" si="52"/>
        <v>121.52447258904665</v>
      </c>
      <c r="BG31" s="564">
        <f>SUM(BG32:BG34)</f>
        <v>612098</v>
      </c>
      <c r="BH31" s="564"/>
      <c r="BI31" s="564">
        <f>SUM(BI32:BI34)</f>
        <v>558538</v>
      </c>
      <c r="BJ31" s="564">
        <f>SUM(BJ32:BJ34)</f>
        <v>616420</v>
      </c>
      <c r="BK31" s="564">
        <f>'Nhu cầu TLCS năm 2020'!C13</f>
        <v>11672</v>
      </c>
      <c r="BL31" s="564">
        <f>BL7-BL27-BL35-BL36</f>
        <v>616420</v>
      </c>
      <c r="BM31" s="563">
        <f t="shared" si="66"/>
        <v>4322</v>
      </c>
      <c r="BN31" s="564">
        <f t="shared" si="53"/>
        <v>100.70609608265345</v>
      </c>
      <c r="BO31" s="564">
        <f>SUM(BO32:BO34)</f>
        <v>539275</v>
      </c>
      <c r="BP31" s="564"/>
      <c r="BQ31" s="564">
        <f>SUM(BQ32:BQ34)</f>
        <v>470384.5</v>
      </c>
      <c r="BR31" s="564">
        <f>SUM(BR32:BR34)</f>
        <v>535965</v>
      </c>
      <c r="BS31" s="564">
        <f>'Nhu cầu TLCS năm 2020'!C14</f>
        <v>9799</v>
      </c>
      <c r="BT31" s="564">
        <f>BT7-BT27-BT35-BT36</f>
        <v>535965</v>
      </c>
      <c r="BU31" s="563">
        <f>BR31-BO31</f>
        <v>-3310</v>
      </c>
      <c r="BV31" s="564">
        <f t="shared" si="54"/>
        <v>99.386212971118638</v>
      </c>
      <c r="BW31" s="564">
        <f>SUM(BW32:BW34)</f>
        <v>562926.5</v>
      </c>
      <c r="BX31" s="564"/>
      <c r="BY31" s="564">
        <f>SUM(BY32:BY34)</f>
        <v>484782</v>
      </c>
      <c r="BZ31" s="564">
        <f>SUM(BZ32:BZ34)</f>
        <v>520981</v>
      </c>
      <c r="CA31" s="564">
        <f>'Nhu cầu TLCS năm 2020'!C15</f>
        <v>9406</v>
      </c>
      <c r="CB31" s="564">
        <f>CB7-CB27-CB35-CB36</f>
        <v>520981</v>
      </c>
      <c r="CC31" s="563">
        <f t="shared" si="68"/>
        <v>-41945.5</v>
      </c>
      <c r="CD31" s="564">
        <f t="shared" si="55"/>
        <v>92.548671984708477</v>
      </c>
      <c r="CE31" s="564">
        <f>SUM(CE32:CE34)</f>
        <v>445744.5</v>
      </c>
      <c r="CF31" s="564"/>
      <c r="CG31" s="564">
        <f>SUM(CG32:CG34)</f>
        <v>381704</v>
      </c>
      <c r="CH31" s="564">
        <f>SUM(CH32:CH34)</f>
        <v>453611</v>
      </c>
      <c r="CI31" s="564">
        <f>'Nhu cầu TLCS năm 2020'!C16</f>
        <v>8713</v>
      </c>
      <c r="CJ31" s="564">
        <f>CJ7-CJ27-CJ35-CJ36</f>
        <v>453611</v>
      </c>
      <c r="CK31" s="563">
        <f t="shared" si="69"/>
        <v>7866.5</v>
      </c>
      <c r="CL31" s="564">
        <f t="shared" si="56"/>
        <v>101.76480023870178</v>
      </c>
      <c r="CM31" s="564">
        <f>SUM(CM32:CM34)</f>
        <v>506257</v>
      </c>
      <c r="CN31" s="564"/>
      <c r="CO31" s="564">
        <f>SUM(CO32:CO34)</f>
        <v>462007.5</v>
      </c>
      <c r="CP31" s="564">
        <f>SUM(CP32:CP34)</f>
        <v>440969</v>
      </c>
      <c r="CQ31" s="564">
        <f>'Nhu cầu TLCS năm 2020'!C17</f>
        <v>6136</v>
      </c>
      <c r="CR31" s="564">
        <f>CR7-CR27-CR35-CR36</f>
        <v>440969</v>
      </c>
      <c r="CS31" s="563">
        <f>CP31-CM31</f>
        <v>-65288</v>
      </c>
      <c r="CT31" s="564">
        <f t="shared" si="57"/>
        <v>87.103783256330289</v>
      </c>
      <c r="CU31" s="564">
        <f>SUM(CU32:CU34)</f>
        <v>416507.5</v>
      </c>
      <c r="CV31" s="564"/>
      <c r="CW31" s="564">
        <f>SUM(CW32:CW34)</f>
        <v>373233</v>
      </c>
      <c r="CX31" s="564">
        <f>SUM(CX32:CX34)</f>
        <v>421053</v>
      </c>
      <c r="CY31" s="564">
        <f>'Nhu cầu TLCS năm 2020'!C18</f>
        <v>7806</v>
      </c>
      <c r="CZ31" s="564">
        <f>CZ7-CZ27-CZ35-CZ36</f>
        <v>421053</v>
      </c>
      <c r="DA31" s="563">
        <f t="shared" si="71"/>
        <v>4545.5</v>
      </c>
      <c r="DB31" s="564">
        <f t="shared" si="58"/>
        <v>101.09133689069225</v>
      </c>
    </row>
    <row r="32" spans="1:106" s="347" customFormat="1" ht="18.95" customHeight="1" x14ac:dyDescent="0.2">
      <c r="A32" s="345" t="s">
        <v>564</v>
      </c>
      <c r="B32" s="346" t="s">
        <v>363</v>
      </c>
      <c r="C32" s="565">
        <f t="shared" ref="C32:E34" si="73">+K32+S32+AA32+AI32+AQ32+AY32+BG32+BO32+BW32+CE32+CM32+CU32</f>
        <v>2910462</v>
      </c>
      <c r="D32" s="565">
        <f t="shared" si="73"/>
        <v>0</v>
      </c>
      <c r="E32" s="565">
        <f t="shared" si="73"/>
        <v>2910462</v>
      </c>
      <c r="F32" s="565">
        <f>SUM(N32,V32,AD32,AL32,AT32,BB32,BJ32,BR32,BZ32,CH32,CP32,CX32)</f>
        <v>2910462</v>
      </c>
      <c r="G32" s="565">
        <f t="shared" si="72"/>
        <v>-35000</v>
      </c>
      <c r="H32" s="565">
        <f>SUM(P32,X32,AF32,AN32,AV32,BD32,BL32,BT32,CB32,CJ32,CR32,CZ32)</f>
        <v>2875462</v>
      </c>
      <c r="I32" s="566">
        <f>F32-C32</f>
        <v>0</v>
      </c>
      <c r="J32" s="565">
        <f t="shared" si="46"/>
        <v>100</v>
      </c>
      <c r="K32" s="565">
        <v>248862</v>
      </c>
      <c r="L32" s="565">
        <f>ROUND(L31*75%,-1)</f>
        <v>0</v>
      </c>
      <c r="M32" s="565">
        <f>L32+K32</f>
        <v>248862</v>
      </c>
      <c r="N32" s="565">
        <f>INT(K32+IF(('Thu NSH'!V43)*$C$38&lt;0,0,('Thu NSH'!V43)*$C$38))</f>
        <v>248862</v>
      </c>
      <c r="O32" s="565">
        <f>INT('Nhu cầu TLCS năm 2020'!F7*$C$50)</f>
        <v>0</v>
      </c>
      <c r="P32" s="565">
        <f>N32+O32</f>
        <v>248862</v>
      </c>
      <c r="Q32" s="566">
        <f t="shared" si="60"/>
        <v>0</v>
      </c>
      <c r="R32" s="565">
        <f t="shared" si="47"/>
        <v>100</v>
      </c>
      <c r="S32" s="565">
        <v>129396</v>
      </c>
      <c r="T32" s="565"/>
      <c r="U32" s="565">
        <f>T32+S32</f>
        <v>129396</v>
      </c>
      <c r="V32" s="565">
        <f>INT(S32+IF(('Thu NSH'!AH43)*$C$38&lt;0,0,('Thu NSH'!AH43)*$C$38))</f>
        <v>129396</v>
      </c>
      <c r="W32" s="565">
        <f>INT('Nhu cầu TLCS năm 2020'!F8*$C$50)</f>
        <v>0</v>
      </c>
      <c r="X32" s="565">
        <f>V32+W32</f>
        <v>129396</v>
      </c>
      <c r="Y32" s="566">
        <f t="shared" si="61"/>
        <v>0</v>
      </c>
      <c r="Z32" s="565">
        <f t="shared" si="48"/>
        <v>100</v>
      </c>
      <c r="AA32" s="565">
        <v>208620</v>
      </c>
      <c r="AB32" s="565">
        <f>ROUND(AB31*75%,-1)</f>
        <v>0</v>
      </c>
      <c r="AC32" s="565">
        <f>AB32+AA32</f>
        <v>208620</v>
      </c>
      <c r="AD32" s="565">
        <f>INT(AA32+IF(('Thu NSH'!AT43)*$C$38&lt;0,0,('Thu NSH'!AT43)*$C$38))</f>
        <v>208620</v>
      </c>
      <c r="AE32" s="565">
        <f>INT('Nhu cầu TLCS năm 2020'!F9*$C$50)</f>
        <v>0</v>
      </c>
      <c r="AF32" s="565">
        <f>AD32+AE32</f>
        <v>208620</v>
      </c>
      <c r="AG32" s="566">
        <f t="shared" si="62"/>
        <v>0</v>
      </c>
      <c r="AH32" s="565">
        <f t="shared" si="49"/>
        <v>100.00000000000001</v>
      </c>
      <c r="AI32" s="565">
        <v>190080</v>
      </c>
      <c r="AJ32" s="565">
        <f>ROUND(AJ31*75%,-1)</f>
        <v>0</v>
      </c>
      <c r="AK32" s="565">
        <f>AJ32+AI32</f>
        <v>190080</v>
      </c>
      <c r="AL32" s="565">
        <f>INT(AI32+IF(('Thu NSH'!BF43)*$C$38&lt;0,0,('Thu NSH'!BF43)*$C$38))</f>
        <v>190080</v>
      </c>
      <c r="AM32" s="565">
        <f>INT('Nhu cầu TLCS năm 2020'!F10*$C$50)</f>
        <v>0</v>
      </c>
      <c r="AN32" s="565">
        <f>AL32+AM32</f>
        <v>190080</v>
      </c>
      <c r="AO32" s="566">
        <f t="shared" si="63"/>
        <v>0</v>
      </c>
      <c r="AP32" s="565">
        <f t="shared" si="50"/>
        <v>100</v>
      </c>
      <c r="AQ32" s="565">
        <v>279054</v>
      </c>
      <c r="AR32" s="565">
        <f>ROUND(AR31*75%,-1)</f>
        <v>0</v>
      </c>
      <c r="AS32" s="565">
        <f>AR32+AQ32</f>
        <v>279054</v>
      </c>
      <c r="AT32" s="565">
        <f>INT(AQ32+IF(('Thu NSH'!BR43)*$C$38&lt;0,0,('Thu NSH'!BR43)*$C$38))</f>
        <v>279054</v>
      </c>
      <c r="AU32" s="565">
        <f>INT('Nhu cầu TLCS năm 2020'!F11*$C$50)</f>
        <v>0</v>
      </c>
      <c r="AV32" s="565">
        <f>AT32+AU32</f>
        <v>279054</v>
      </c>
      <c r="AW32" s="566">
        <f t="shared" si="64"/>
        <v>0</v>
      </c>
      <c r="AX32" s="565">
        <f t="shared" si="51"/>
        <v>100</v>
      </c>
      <c r="AY32" s="565">
        <v>305271</v>
      </c>
      <c r="AZ32" s="565">
        <f>ROUND(AZ31*75%,-1)</f>
        <v>0</v>
      </c>
      <c r="BA32" s="565">
        <f>AZ32+AY32</f>
        <v>305271</v>
      </c>
      <c r="BB32" s="565">
        <f>INT(AY32+IF(('Thu NSH'!CD43)*$C$38&lt;0,0,('Thu NSH'!CD43)*$C$38))</f>
        <v>305271</v>
      </c>
      <c r="BC32" s="565">
        <f>-30000</f>
        <v>-30000</v>
      </c>
      <c r="BD32" s="565">
        <f>BB32+BC32</f>
        <v>275271</v>
      </c>
      <c r="BE32" s="566">
        <f t="shared" si="65"/>
        <v>0</v>
      </c>
      <c r="BF32" s="565">
        <f t="shared" si="52"/>
        <v>100</v>
      </c>
      <c r="BG32" s="565">
        <v>324148</v>
      </c>
      <c r="BH32" s="565">
        <f>ROUND(BH31*75%,-1)</f>
        <v>0</v>
      </c>
      <c r="BI32" s="565">
        <f>BH32+BG32</f>
        <v>324148</v>
      </c>
      <c r="BJ32" s="565">
        <f>INT(BG32+IF(('Thu NSH'!CP43)*$C$38&lt;0,0,('Thu NSH'!CP43)*$C$38))</f>
        <v>324148</v>
      </c>
      <c r="BK32" s="565">
        <f>INT('Nhu cầu TLCS năm 2020'!F13*$C$50)</f>
        <v>0</v>
      </c>
      <c r="BL32" s="565">
        <f>BJ32+BK32</f>
        <v>324148</v>
      </c>
      <c r="BM32" s="566">
        <f t="shared" si="66"/>
        <v>0</v>
      </c>
      <c r="BN32" s="565">
        <f t="shared" si="53"/>
        <v>100</v>
      </c>
      <c r="BO32" s="565">
        <v>289708</v>
      </c>
      <c r="BP32" s="565">
        <f>ROUND(BP31*75%,-1)</f>
        <v>0</v>
      </c>
      <c r="BQ32" s="565">
        <f>BP32+BO32</f>
        <v>289708</v>
      </c>
      <c r="BR32" s="565">
        <f>INT(BO32+IF(('Thu NSH'!DB43)*$C$38&lt;0,0,('Thu NSH'!DB43)*$C$38))</f>
        <v>289708</v>
      </c>
      <c r="BS32" s="565">
        <f>INT('Nhu cầu TLCS năm 2020'!F14*$C$50)</f>
        <v>0</v>
      </c>
      <c r="BT32" s="565">
        <f>BR32+BS32</f>
        <v>289708</v>
      </c>
      <c r="BU32" s="566">
        <f t="shared" si="67"/>
        <v>0</v>
      </c>
      <c r="BV32" s="565">
        <f t="shared" si="54"/>
        <v>100</v>
      </c>
      <c r="BW32" s="565">
        <v>291861</v>
      </c>
      <c r="BX32" s="565">
        <f>ROUND(BX31*20%,-1)</f>
        <v>0</v>
      </c>
      <c r="BY32" s="565">
        <f>BX32+BW32</f>
        <v>291861</v>
      </c>
      <c r="BZ32" s="565">
        <f>INT(BW32+IF(('Thu NSH'!DN43)*$C$38&lt;0,0,('Thu NSH'!DN43)*$C$38))</f>
        <v>291861</v>
      </c>
      <c r="CA32" s="565">
        <f>-5000</f>
        <v>-5000</v>
      </c>
      <c r="CB32" s="565">
        <f>BZ32+CA32</f>
        <v>286861</v>
      </c>
      <c r="CC32" s="566">
        <f t="shared" si="68"/>
        <v>0</v>
      </c>
      <c r="CD32" s="565">
        <f t="shared" si="55"/>
        <v>100</v>
      </c>
      <c r="CE32" s="565">
        <v>249845</v>
      </c>
      <c r="CF32" s="565">
        <f>ROUND(CF31*75%,-1)</f>
        <v>0</v>
      </c>
      <c r="CG32" s="565">
        <f>CF32+CE32</f>
        <v>249845</v>
      </c>
      <c r="CH32" s="565">
        <f>INT(CE32+IF(('Thu NSH'!DZ43)*$C$38&lt;0,0,('Thu NSH'!DZ43)*$C$38))</f>
        <v>249845</v>
      </c>
      <c r="CI32" s="565">
        <f>INT('Nhu cầu TLCS năm 2020'!F16*$C$50)</f>
        <v>0</v>
      </c>
      <c r="CJ32" s="565">
        <f>CH32+CI32</f>
        <v>249845</v>
      </c>
      <c r="CK32" s="566">
        <f t="shared" si="69"/>
        <v>0</v>
      </c>
      <c r="CL32" s="565">
        <f t="shared" si="56"/>
        <v>100.00000000000001</v>
      </c>
      <c r="CM32" s="565">
        <v>181007</v>
      </c>
      <c r="CN32" s="565"/>
      <c r="CO32" s="565">
        <f>CN32+CM32</f>
        <v>181007</v>
      </c>
      <c r="CP32" s="565">
        <f>INT(CM32+IF(('Thu NSH'!EL43)*$C$38&lt;0,0,('Thu NSH'!EL43)*$C$38))</f>
        <v>181007</v>
      </c>
      <c r="CQ32" s="565">
        <f>INT('Nhu cầu TLCS năm 2020'!F17*$C$50)</f>
        <v>0</v>
      </c>
      <c r="CR32" s="565">
        <f>CP32+CQ32</f>
        <v>181007</v>
      </c>
      <c r="CS32" s="566">
        <f t="shared" si="70"/>
        <v>0</v>
      </c>
      <c r="CT32" s="565">
        <f t="shared" si="57"/>
        <v>100</v>
      </c>
      <c r="CU32" s="565">
        <v>212610</v>
      </c>
      <c r="CV32" s="565">
        <f>ROUND(CV31*75%,-1)</f>
        <v>0</v>
      </c>
      <c r="CW32" s="565">
        <f>CV32+CU32</f>
        <v>212610</v>
      </c>
      <c r="CX32" s="565">
        <f>INT(CU32+IF(('Thu NSH'!EX43)*$C$38&lt;0,0,('Thu NSH'!EX43)*$C$38))</f>
        <v>212610</v>
      </c>
      <c r="CY32" s="565">
        <f>INT('Nhu cầu TLCS năm 2020'!F18*$C$50)</f>
        <v>0</v>
      </c>
      <c r="CZ32" s="565">
        <f>CX32+CY32</f>
        <v>212610</v>
      </c>
      <c r="DA32" s="566">
        <f t="shared" si="71"/>
        <v>0</v>
      </c>
      <c r="DB32" s="565">
        <f t="shared" si="58"/>
        <v>100</v>
      </c>
    </row>
    <row r="33" spans="1:106" s="347" customFormat="1" ht="18.95" customHeight="1" x14ac:dyDescent="0.2">
      <c r="A33" s="345" t="s">
        <v>564</v>
      </c>
      <c r="B33" s="348" t="s">
        <v>502</v>
      </c>
      <c r="C33" s="565">
        <f t="shared" si="73"/>
        <v>81470</v>
      </c>
      <c r="D33" s="565">
        <f t="shared" si="73"/>
        <v>0</v>
      </c>
      <c r="E33" s="565">
        <f t="shared" si="73"/>
        <v>81470</v>
      </c>
      <c r="F33" s="565">
        <f t="shared" si="72"/>
        <v>81470</v>
      </c>
      <c r="G33" s="565">
        <f t="shared" si="72"/>
        <v>0</v>
      </c>
      <c r="H33" s="565">
        <f t="shared" si="72"/>
        <v>81470</v>
      </c>
      <c r="I33" s="566">
        <f t="shared" si="59"/>
        <v>0</v>
      </c>
      <c r="J33" s="565">
        <f t="shared" si="46"/>
        <v>100</v>
      </c>
      <c r="K33" s="565">
        <v>4025</v>
      </c>
      <c r="L33" s="565">
        <v>0</v>
      </c>
      <c r="M33" s="565">
        <f>L33+K33</f>
        <v>4025</v>
      </c>
      <c r="N33" s="565">
        <f>INT(K33+IF(('Thu NSH'!V43)*$C$39&lt;0,0,('Thu NSH'!V43)*$C$39))</f>
        <v>4025</v>
      </c>
      <c r="O33" s="565">
        <v>0</v>
      </c>
      <c r="P33" s="565">
        <f>N33+O33</f>
        <v>4025</v>
      </c>
      <c r="Q33" s="566">
        <f t="shared" si="60"/>
        <v>0</v>
      </c>
      <c r="R33" s="565">
        <f t="shared" si="47"/>
        <v>100</v>
      </c>
      <c r="S33" s="565">
        <v>6871</v>
      </c>
      <c r="T33" s="565">
        <v>0</v>
      </c>
      <c r="U33" s="565">
        <f>T33+S33</f>
        <v>6871</v>
      </c>
      <c r="V33" s="565">
        <f>INT(S33+IF(('Thu NSH'!AH43)*$C$39&lt;0,0,('Thu NSH'!AH43)*$C$39))</f>
        <v>6871</v>
      </c>
      <c r="W33" s="565">
        <v>0</v>
      </c>
      <c r="X33" s="565">
        <f>V33+W33</f>
        <v>6871</v>
      </c>
      <c r="Y33" s="566">
        <f t="shared" si="61"/>
        <v>0</v>
      </c>
      <c r="Z33" s="565">
        <f t="shared" si="48"/>
        <v>100.00000000000001</v>
      </c>
      <c r="AA33" s="565">
        <v>3707</v>
      </c>
      <c r="AB33" s="565">
        <v>0</v>
      </c>
      <c r="AC33" s="565">
        <f>AB33+AA33</f>
        <v>3707</v>
      </c>
      <c r="AD33" s="565">
        <f>INT(AA33+IF(('Thu NSH'!AT43)*$C$39&lt;0,0,('Thu NSH'!AT43)*$C$39))</f>
        <v>3707</v>
      </c>
      <c r="AE33" s="565">
        <v>0</v>
      </c>
      <c r="AF33" s="565">
        <f>AD33+AE33</f>
        <v>3707</v>
      </c>
      <c r="AG33" s="566">
        <f t="shared" si="62"/>
        <v>0</v>
      </c>
      <c r="AH33" s="565">
        <f t="shared" si="49"/>
        <v>100</v>
      </c>
      <c r="AI33" s="565">
        <v>3821</v>
      </c>
      <c r="AJ33" s="565">
        <v>0</v>
      </c>
      <c r="AK33" s="565">
        <f>AJ33+AI33</f>
        <v>3821</v>
      </c>
      <c r="AL33" s="565">
        <f>INT(AI33+IF(('Thu NSH'!BF43)*$C$39&lt;0,0,('Thu NSH'!BF43)*$C$39))</f>
        <v>3821</v>
      </c>
      <c r="AM33" s="565">
        <v>0</v>
      </c>
      <c r="AN33" s="565">
        <f>AL33+AM33</f>
        <v>3821</v>
      </c>
      <c r="AO33" s="566">
        <f t="shared" si="63"/>
        <v>0</v>
      </c>
      <c r="AP33" s="565">
        <f t="shared" si="50"/>
        <v>100</v>
      </c>
      <c r="AQ33" s="565">
        <v>6573</v>
      </c>
      <c r="AR33" s="565">
        <v>0</v>
      </c>
      <c r="AS33" s="565">
        <f>AR33+AQ33</f>
        <v>6573</v>
      </c>
      <c r="AT33" s="565">
        <f>INT(AQ33+IF(('Thu NSH'!BR43)*$C$39&lt;0,0,('Thu NSH'!BR43)*$C$39))</f>
        <v>6573</v>
      </c>
      <c r="AU33" s="565">
        <v>0</v>
      </c>
      <c r="AV33" s="565">
        <f>AT33+AU33</f>
        <v>6573</v>
      </c>
      <c r="AW33" s="566">
        <f t="shared" si="64"/>
        <v>0</v>
      </c>
      <c r="AX33" s="565">
        <f t="shared" si="51"/>
        <v>100</v>
      </c>
      <c r="AY33" s="565">
        <v>15103</v>
      </c>
      <c r="AZ33" s="565">
        <v>0</v>
      </c>
      <c r="BA33" s="565">
        <f>AZ33+AY33</f>
        <v>15103</v>
      </c>
      <c r="BB33" s="565">
        <f>INT(AY33+IF(('Thu NSH'!CD43)*$C$39&lt;0,0,('Thu NSH'!CD43)*$C$39))</f>
        <v>15103</v>
      </c>
      <c r="BC33" s="565"/>
      <c r="BD33" s="565">
        <f>BB33+BC33</f>
        <v>15103</v>
      </c>
      <c r="BE33" s="566">
        <f t="shared" si="65"/>
        <v>0</v>
      </c>
      <c r="BF33" s="565">
        <f t="shared" si="52"/>
        <v>100</v>
      </c>
      <c r="BG33" s="565">
        <v>6823</v>
      </c>
      <c r="BH33" s="565">
        <v>0</v>
      </c>
      <c r="BI33" s="565">
        <f>BH33+BG33</f>
        <v>6823</v>
      </c>
      <c r="BJ33" s="565">
        <f>INT(BG33+IF(('Thu NSH'!CP43)*$C$39&lt;0,0,('Thu NSH'!CP43)*$C$39))</f>
        <v>6823</v>
      </c>
      <c r="BK33" s="565">
        <v>0</v>
      </c>
      <c r="BL33" s="565">
        <f>BJ33+BK33</f>
        <v>6823</v>
      </c>
      <c r="BM33" s="566">
        <f t="shared" si="66"/>
        <v>0</v>
      </c>
      <c r="BN33" s="565">
        <f t="shared" si="53"/>
        <v>100</v>
      </c>
      <c r="BO33" s="565">
        <v>6021</v>
      </c>
      <c r="BP33" s="565">
        <v>0</v>
      </c>
      <c r="BQ33" s="565">
        <f>BP33+BO33</f>
        <v>6021</v>
      </c>
      <c r="BR33" s="565">
        <f>INT(BO33+IF(('Thu NSH'!DB43)*$C$39&lt;0,0,('Thu NSH'!DB43)*$C$39))</f>
        <v>6021</v>
      </c>
      <c r="BS33" s="565">
        <v>0</v>
      </c>
      <c r="BT33" s="565">
        <f>BR33+BS33</f>
        <v>6021</v>
      </c>
      <c r="BU33" s="566">
        <f t="shared" si="67"/>
        <v>0</v>
      </c>
      <c r="BV33" s="565">
        <f t="shared" si="54"/>
        <v>100</v>
      </c>
      <c r="BW33" s="565">
        <v>7903</v>
      </c>
      <c r="BX33" s="565">
        <v>0</v>
      </c>
      <c r="BY33" s="565">
        <f>BX33+BW33</f>
        <v>7903</v>
      </c>
      <c r="BZ33" s="565">
        <f>INT(BW33+IF(('Thu NSH'!DN43)*$C$39&lt;0,0,('Thu NSH'!DN43)*$C$39))</f>
        <v>7903</v>
      </c>
      <c r="CA33" s="565">
        <v>0</v>
      </c>
      <c r="CB33" s="565">
        <f>BZ33+CA33</f>
        <v>7903</v>
      </c>
      <c r="CC33" s="566">
        <f t="shared" si="68"/>
        <v>0</v>
      </c>
      <c r="CD33" s="565">
        <f t="shared" si="55"/>
        <v>100</v>
      </c>
      <c r="CE33" s="565">
        <v>4713</v>
      </c>
      <c r="CF33" s="565"/>
      <c r="CG33" s="565">
        <f>CF33+CE33</f>
        <v>4713</v>
      </c>
      <c r="CH33" s="565">
        <f>INT(CE33+IF(('Thu NSH'!DZ43)*$C$39&lt;0,0,('Thu NSH'!DZ43)*$C$39))</f>
        <v>4713</v>
      </c>
      <c r="CI33" s="565">
        <v>0</v>
      </c>
      <c r="CJ33" s="565">
        <f>CH33+CI33</f>
        <v>4713</v>
      </c>
      <c r="CK33" s="566">
        <f t="shared" si="69"/>
        <v>0</v>
      </c>
      <c r="CL33" s="565">
        <f t="shared" si="56"/>
        <v>100</v>
      </c>
      <c r="CM33" s="565">
        <v>11300</v>
      </c>
      <c r="CN33" s="565">
        <v>0</v>
      </c>
      <c r="CO33" s="565">
        <f>CN33+CM33</f>
        <v>11300</v>
      </c>
      <c r="CP33" s="565">
        <f>INT(CM33+IF(('Thu NSH'!EL43)*$C$39&lt;0,0,('Thu NSH'!EL43)*$C$39))</f>
        <v>11300</v>
      </c>
      <c r="CQ33" s="565">
        <v>0</v>
      </c>
      <c r="CR33" s="565">
        <f>CP33+CQ33</f>
        <v>11300</v>
      </c>
      <c r="CS33" s="566">
        <f t="shared" si="70"/>
        <v>0</v>
      </c>
      <c r="CT33" s="565">
        <f t="shared" si="57"/>
        <v>100</v>
      </c>
      <c r="CU33" s="565">
        <v>4610</v>
      </c>
      <c r="CV33" s="565">
        <v>0</v>
      </c>
      <c r="CW33" s="565">
        <f>CV33+CU33</f>
        <v>4610</v>
      </c>
      <c r="CX33" s="565">
        <f>INT(CU33+IF(('Thu NSH'!EX43)*$C$39&lt;0,0,('Thu NSH'!EX43)*$C$39))</f>
        <v>4610</v>
      </c>
      <c r="CY33" s="565">
        <v>0</v>
      </c>
      <c r="CZ33" s="565">
        <f>CX33+CY33</f>
        <v>4610</v>
      </c>
      <c r="DA33" s="566">
        <f t="shared" si="71"/>
        <v>0</v>
      </c>
      <c r="DB33" s="565">
        <f t="shared" si="58"/>
        <v>100</v>
      </c>
    </row>
    <row r="34" spans="1:106" s="347" customFormat="1" ht="18.95" customHeight="1" x14ac:dyDescent="0.2">
      <c r="A34" s="345" t="s">
        <v>564</v>
      </c>
      <c r="B34" s="346" t="s">
        <v>364</v>
      </c>
      <c r="C34" s="565">
        <f t="shared" si="73"/>
        <v>2570205</v>
      </c>
      <c r="D34" s="565">
        <f t="shared" si="73"/>
        <v>0</v>
      </c>
      <c r="E34" s="565">
        <f t="shared" si="73"/>
        <v>1938871.65</v>
      </c>
      <c r="F34" s="565">
        <f t="shared" si="72"/>
        <v>2586160</v>
      </c>
      <c r="G34" s="565">
        <f t="shared" si="72"/>
        <v>96213</v>
      </c>
      <c r="H34" s="565">
        <f t="shared" si="72"/>
        <v>2621160</v>
      </c>
      <c r="I34" s="566">
        <f>F34-C34</f>
        <v>15955</v>
      </c>
      <c r="J34" s="565">
        <f t="shared" si="46"/>
        <v>100.62076760414053</v>
      </c>
      <c r="K34" s="565">
        <v>193807</v>
      </c>
      <c r="L34" s="565">
        <f>L31-L32-L33</f>
        <v>0</v>
      </c>
      <c r="M34" s="565">
        <f>M7-M27-M32-M33-M35-M36</f>
        <v>177260</v>
      </c>
      <c r="N34" s="565">
        <f>N31-N32-N33</f>
        <v>195159</v>
      </c>
      <c r="O34" s="565">
        <f>O31-O32-O33</f>
        <v>8156</v>
      </c>
      <c r="P34" s="565">
        <f>P31-P32-P33</f>
        <v>195159</v>
      </c>
      <c r="Q34" s="566">
        <f>N34-K34</f>
        <v>1352</v>
      </c>
      <c r="R34" s="565">
        <f t="shared" si="47"/>
        <v>100.69760122183409</v>
      </c>
      <c r="S34" s="565">
        <v>141172</v>
      </c>
      <c r="T34" s="565">
        <f>T31-T32-T33</f>
        <v>0</v>
      </c>
      <c r="U34" s="565">
        <f>U7-U27-U32-U33-U35-U36</f>
        <v>118909</v>
      </c>
      <c r="V34" s="565">
        <f>V31-V32-V33</f>
        <v>147999</v>
      </c>
      <c r="W34" s="565">
        <f>W31-W32-W33</f>
        <v>4605</v>
      </c>
      <c r="X34" s="565">
        <f>X31-X32-X33</f>
        <v>147999</v>
      </c>
      <c r="Y34" s="566">
        <f>V34-S34</f>
        <v>6827</v>
      </c>
      <c r="Z34" s="565">
        <f t="shared" si="48"/>
        <v>104.83594480491882</v>
      </c>
      <c r="AA34" s="565">
        <v>179568</v>
      </c>
      <c r="AB34" s="565">
        <f>AB31-AB32-AB33</f>
        <v>0</v>
      </c>
      <c r="AC34" s="565">
        <f>AC7-AC27-AC32-AC33-AC35-AC36</f>
        <v>179209.65</v>
      </c>
      <c r="AD34" s="565">
        <f>AD7-AD27-AD32-AD33-AD35-AD36</f>
        <v>182410</v>
      </c>
      <c r="AE34" s="565">
        <f>AE31-AE32-AE33</f>
        <v>7642</v>
      </c>
      <c r="AF34" s="565">
        <f>AF31-AF32-AF33</f>
        <v>182410</v>
      </c>
      <c r="AG34" s="566">
        <f>AD34-AA34</f>
        <v>2842</v>
      </c>
      <c r="AH34" s="565">
        <f t="shared" si="49"/>
        <v>101.58268733850129</v>
      </c>
      <c r="AI34" s="565">
        <v>195583</v>
      </c>
      <c r="AJ34" s="565">
        <f>AJ31-AJ32-AJ33</f>
        <v>0</v>
      </c>
      <c r="AK34" s="565">
        <f>AK7-AK27-AK32-AK33-AK35-AK36</f>
        <v>142996</v>
      </c>
      <c r="AL34" s="565">
        <f>AL7-AL27-AL32-AL33-AL35-AL36</f>
        <v>200402</v>
      </c>
      <c r="AM34" s="565">
        <f>AM31-AM32-AM33</f>
        <v>7958</v>
      </c>
      <c r="AN34" s="565">
        <f>AN31-AN32-AN33</f>
        <v>200402</v>
      </c>
      <c r="AO34" s="566">
        <f>AL34-AI34</f>
        <v>4819</v>
      </c>
      <c r="AP34" s="565">
        <f t="shared" si="50"/>
        <v>102.46391557548458</v>
      </c>
      <c r="AQ34" s="565">
        <v>216498.5</v>
      </c>
      <c r="AR34" s="565">
        <f>AR31-AR32-AR33</f>
        <v>0</v>
      </c>
      <c r="AS34" s="565">
        <f>AS7-AS27-AS32-AS33-AS35-AS36</f>
        <v>170535</v>
      </c>
      <c r="AT34" s="565">
        <f>AT7-AT27-AT32-AT33-AT35-AT36</f>
        <v>208894</v>
      </c>
      <c r="AU34" s="565">
        <f>AU31-AU32-AU33</f>
        <v>9320</v>
      </c>
      <c r="AV34" s="565">
        <f>AV31-AV32-AV33</f>
        <v>208894</v>
      </c>
      <c r="AW34" s="566">
        <f>AT34-AQ34</f>
        <v>-7604.5</v>
      </c>
      <c r="AX34" s="565">
        <f t="shared" si="51"/>
        <v>96.487504532363957</v>
      </c>
      <c r="AY34" s="565">
        <v>151317</v>
      </c>
      <c r="AZ34" s="565">
        <f>AZ31-AZ32-AZ33</f>
        <v>0</v>
      </c>
      <c r="BA34" s="565">
        <f>BA7-BA27-BA32-BA33-BA35-BA36</f>
        <v>9862</v>
      </c>
      <c r="BB34" s="565">
        <f>BB7-BB27-BB32-BB33-BB35-BB36</f>
        <v>252846</v>
      </c>
      <c r="BC34" s="565"/>
      <c r="BD34" s="565">
        <f>BD31-BD32-BD33</f>
        <v>282846</v>
      </c>
      <c r="BE34" s="566">
        <f>BB34-AY34</f>
        <v>101529</v>
      </c>
      <c r="BF34" s="565">
        <f t="shared" si="52"/>
        <v>167.09688931184201</v>
      </c>
      <c r="BG34" s="565">
        <v>281127</v>
      </c>
      <c r="BH34" s="565">
        <f>BH31-BH32-BH33</f>
        <v>0</v>
      </c>
      <c r="BI34" s="565">
        <f>BI7-BI27-BI32-BI33-BI35-BI36</f>
        <v>227567</v>
      </c>
      <c r="BJ34" s="565">
        <f>BJ7-BJ27-BJ32-BJ33-BJ35-BJ36</f>
        <v>285449</v>
      </c>
      <c r="BK34" s="565">
        <f>BK31-BK32-BK33</f>
        <v>11672</v>
      </c>
      <c r="BL34" s="565">
        <f>BL31-BL32-BL33</f>
        <v>285449</v>
      </c>
      <c r="BM34" s="566">
        <f>BJ34-BG34</f>
        <v>4322</v>
      </c>
      <c r="BN34" s="565">
        <f t="shared" si="53"/>
        <v>101.53738346014435</v>
      </c>
      <c r="BO34" s="565">
        <v>243546</v>
      </c>
      <c r="BP34" s="565">
        <f>BP31-BP32-BP33</f>
        <v>0</v>
      </c>
      <c r="BQ34" s="565">
        <f>BQ7-BQ27-BQ32-BQ33-BQ35-BQ36</f>
        <v>174655.5</v>
      </c>
      <c r="BR34" s="565">
        <f>BR7-BR27-BR32-BR33-BR35-BR36</f>
        <v>240236</v>
      </c>
      <c r="BS34" s="565">
        <f>BS31-BS32-BS33</f>
        <v>9799</v>
      </c>
      <c r="BT34" s="565">
        <f>BT31-BT32-BT33</f>
        <v>240236</v>
      </c>
      <c r="BU34" s="566">
        <f>BR34-BO34</f>
        <v>-3310</v>
      </c>
      <c r="BV34" s="565">
        <f t="shared" si="54"/>
        <v>98.640913831473313</v>
      </c>
      <c r="BW34" s="565">
        <v>263162.5</v>
      </c>
      <c r="BX34" s="565">
        <f>BX31-BX32-BX33</f>
        <v>0</v>
      </c>
      <c r="BY34" s="565">
        <f>BY7-BY27-BY32-BY33-BY35-BY36</f>
        <v>185018</v>
      </c>
      <c r="BZ34" s="565">
        <f>BZ7-BZ27-BZ32-BZ33-BZ35-BZ36</f>
        <v>221217</v>
      </c>
      <c r="CA34" s="565">
        <f>CA31-CA32-CA33</f>
        <v>14406</v>
      </c>
      <c r="CB34" s="565">
        <f>CB31-CB32-CB33</f>
        <v>226217</v>
      </c>
      <c r="CC34" s="566">
        <f>BZ34-BW34</f>
        <v>-41945.5</v>
      </c>
      <c r="CD34" s="565">
        <f t="shared" si="55"/>
        <v>84.060988932693675</v>
      </c>
      <c r="CE34" s="565">
        <v>191186.5</v>
      </c>
      <c r="CF34" s="565"/>
      <c r="CG34" s="565">
        <f>CG7-CG27-CG32-CG33-CG35-CG36</f>
        <v>127146</v>
      </c>
      <c r="CH34" s="565">
        <f>CH7-CH27-CH32-CH33-CH35-CH36</f>
        <v>199053</v>
      </c>
      <c r="CI34" s="565">
        <f>CI31-CI32-CI33</f>
        <v>8713</v>
      </c>
      <c r="CJ34" s="565">
        <f>CJ31-CJ32-CJ33</f>
        <v>199053</v>
      </c>
      <c r="CK34" s="566">
        <f>CH34-CE34</f>
        <v>7866.5</v>
      </c>
      <c r="CL34" s="565">
        <f t="shared" si="56"/>
        <v>104.11456875877742</v>
      </c>
      <c r="CM34" s="565">
        <v>313950</v>
      </c>
      <c r="CN34" s="565">
        <f>CN31-CN32-CN33</f>
        <v>0</v>
      </c>
      <c r="CO34" s="565">
        <f>CO7-CO27-CO32-CO33-CO35-CO36</f>
        <v>269700.5</v>
      </c>
      <c r="CP34" s="565">
        <f>CP7-CP27-CP32-CP33-CP35-CP36</f>
        <v>248662</v>
      </c>
      <c r="CQ34" s="565">
        <f>CQ31-CQ32-CQ33</f>
        <v>6136</v>
      </c>
      <c r="CR34" s="565">
        <f>CR31-CR32-CR33</f>
        <v>248662</v>
      </c>
      <c r="CS34" s="566">
        <f>CP34-CM34</f>
        <v>-65288</v>
      </c>
      <c r="CT34" s="565">
        <f t="shared" si="57"/>
        <v>79.204331899984069</v>
      </c>
      <c r="CU34" s="565">
        <v>199287.5</v>
      </c>
      <c r="CV34" s="565"/>
      <c r="CW34" s="565">
        <f>CW7-CW27-CW32-CW33-CW35-CW36</f>
        <v>156013</v>
      </c>
      <c r="CX34" s="565">
        <f>CX7-CX27-CX32-CX33-CX35-CX36</f>
        <v>203833</v>
      </c>
      <c r="CY34" s="565">
        <f>CY31-CY32-CY33</f>
        <v>7806</v>
      </c>
      <c r="CZ34" s="565">
        <f>CZ31-CZ32-CZ33</f>
        <v>203833</v>
      </c>
      <c r="DA34" s="566">
        <f>CX34-CU34</f>
        <v>4545.5</v>
      </c>
      <c r="DB34" s="565">
        <f t="shared" si="58"/>
        <v>102.2808756193941</v>
      </c>
    </row>
    <row r="35" spans="1:106" s="342" customFormat="1" ht="18.95" customHeight="1" x14ac:dyDescent="0.2">
      <c r="A35" s="340">
        <v>3</v>
      </c>
      <c r="B35" s="341" t="s">
        <v>487</v>
      </c>
      <c r="C35" s="564">
        <f>+K35+S35+AA35+AI35+AQ35+AY35+BG35+BO35+BW35+CE35+CM35+CU35</f>
        <v>112922</v>
      </c>
      <c r="D35" s="564"/>
      <c r="E35" s="564">
        <f>+M35+U35+AC35+AK35+AS35+BA35+BI35+BQ35+BY35+CG35+CO35+CW35</f>
        <v>112922</v>
      </c>
      <c r="F35" s="564">
        <f t="shared" si="72"/>
        <v>112922</v>
      </c>
      <c r="G35" s="564">
        <f t="shared" si="72"/>
        <v>0</v>
      </c>
      <c r="H35" s="564">
        <f t="shared" si="72"/>
        <v>112922</v>
      </c>
      <c r="I35" s="563">
        <f>F35-C35</f>
        <v>0</v>
      </c>
      <c r="J35" s="564">
        <f t="shared" si="46"/>
        <v>100</v>
      </c>
      <c r="K35" s="564">
        <v>7978</v>
      </c>
      <c r="L35" s="564"/>
      <c r="M35" s="564">
        <f>K35</f>
        <v>7978</v>
      </c>
      <c r="N35" s="564">
        <f>INT(K35+IF(('Thu NSH'!V43)*$C$41&lt;0,0,('Thu NSH'!V43)*$C$41))</f>
        <v>7978</v>
      </c>
      <c r="O35" s="564"/>
      <c r="P35" s="564">
        <f>N35</f>
        <v>7978</v>
      </c>
      <c r="Q35" s="563">
        <f>N35-K35</f>
        <v>0</v>
      </c>
      <c r="R35" s="564">
        <f t="shared" si="47"/>
        <v>100</v>
      </c>
      <c r="S35" s="564">
        <v>5409</v>
      </c>
      <c r="T35" s="564"/>
      <c r="U35" s="564">
        <f>S35</f>
        <v>5409</v>
      </c>
      <c r="V35" s="564">
        <f>INT(S35+IF(('Thu NSH'!AH43)*$C$41&lt;0,0,('Thu NSH'!AH43)*$C$41))</f>
        <v>5409</v>
      </c>
      <c r="W35" s="564"/>
      <c r="X35" s="564">
        <f>V35</f>
        <v>5409</v>
      </c>
      <c r="Y35" s="563">
        <f>V35-S35</f>
        <v>0</v>
      </c>
      <c r="Z35" s="564">
        <f t="shared" si="48"/>
        <v>100</v>
      </c>
      <c r="AA35" s="564">
        <v>6796</v>
      </c>
      <c r="AB35" s="564"/>
      <c r="AC35" s="564">
        <f>AA35</f>
        <v>6796</v>
      </c>
      <c r="AD35" s="564">
        <f>INT(AA35+IF(INT('Thu NSH'!AT43*$C$41)&lt;0,0,(INT('Thu NSH'!AT43*$C$41))))</f>
        <v>6796</v>
      </c>
      <c r="AE35" s="564"/>
      <c r="AF35" s="564">
        <f>AD35</f>
        <v>6796</v>
      </c>
      <c r="AG35" s="563">
        <f>AD35-AA35</f>
        <v>0</v>
      </c>
      <c r="AH35" s="564">
        <f t="shared" si="49"/>
        <v>100.00000000000001</v>
      </c>
      <c r="AI35" s="564">
        <v>6290</v>
      </c>
      <c r="AJ35" s="564"/>
      <c r="AK35" s="564">
        <f>AI35</f>
        <v>6290</v>
      </c>
      <c r="AL35" s="564">
        <f>INT(AI35+IF(('Thu NSH'!BF43)*$C$41&lt;0,0,('Thu NSH'!BF43)*$C$41))</f>
        <v>6290</v>
      </c>
      <c r="AM35" s="564"/>
      <c r="AN35" s="564">
        <f>AL35</f>
        <v>6290</v>
      </c>
      <c r="AO35" s="563">
        <f>AL35-AI35</f>
        <v>0</v>
      </c>
      <c r="AP35" s="564">
        <f t="shared" si="50"/>
        <v>100</v>
      </c>
      <c r="AQ35" s="564">
        <v>9409</v>
      </c>
      <c r="AR35" s="564"/>
      <c r="AS35" s="564">
        <f>AQ35</f>
        <v>9409</v>
      </c>
      <c r="AT35" s="564">
        <f>INT(AQ35+IF(('Thu NSH'!BR43)*$C$41&lt;0,0,('Thu NSH'!BR43)*$C$41))</f>
        <v>9409</v>
      </c>
      <c r="AU35" s="564"/>
      <c r="AV35" s="564">
        <f>AT35</f>
        <v>9409</v>
      </c>
      <c r="AW35" s="563">
        <f>AT35-AQ35</f>
        <v>0</v>
      </c>
      <c r="AX35" s="564">
        <f t="shared" si="51"/>
        <v>100</v>
      </c>
      <c r="AY35" s="564">
        <v>18928</v>
      </c>
      <c r="AZ35" s="564"/>
      <c r="BA35" s="564">
        <f>AY35</f>
        <v>18928</v>
      </c>
      <c r="BB35" s="564">
        <f>INT(AY35+IF(('Thu NSH'!CD43)*$C$41&lt;0,0,('Thu NSH'!CD43)*$C$41))</f>
        <v>18928</v>
      </c>
      <c r="BC35" s="564"/>
      <c r="BD35" s="564">
        <f>BB35</f>
        <v>18928</v>
      </c>
      <c r="BE35" s="563">
        <f>BB35-AY35</f>
        <v>0</v>
      </c>
      <c r="BF35" s="564">
        <f t="shared" si="52"/>
        <v>100</v>
      </c>
      <c r="BG35" s="564">
        <v>10837</v>
      </c>
      <c r="BH35" s="564"/>
      <c r="BI35" s="564">
        <f>BG35</f>
        <v>10837</v>
      </c>
      <c r="BJ35" s="564">
        <f>INT(BG35+IF(('Thu NSH'!CP43)*$C$41&lt;0,0,('Thu NSH'!CP43)*$C$41))</f>
        <v>10837</v>
      </c>
      <c r="BK35" s="564"/>
      <c r="BL35" s="564">
        <f>BJ35</f>
        <v>10837</v>
      </c>
      <c r="BM35" s="563">
        <f>BJ35-BG35</f>
        <v>0</v>
      </c>
      <c r="BN35" s="564">
        <f t="shared" si="53"/>
        <v>100</v>
      </c>
      <c r="BO35" s="564">
        <v>9402</v>
      </c>
      <c r="BP35" s="564"/>
      <c r="BQ35" s="564">
        <f>BO35</f>
        <v>9402</v>
      </c>
      <c r="BR35" s="564">
        <f>INT(BO35+IF(('Thu NSH'!DB43)*$C$41&lt;0,0,('Thu NSH'!DB43)*$C$41))</f>
        <v>9402</v>
      </c>
      <c r="BS35" s="564"/>
      <c r="BT35" s="564">
        <f>BR35</f>
        <v>9402</v>
      </c>
      <c r="BU35" s="563">
        <f>BR35-BO35</f>
        <v>0</v>
      </c>
      <c r="BV35" s="564">
        <f t="shared" si="54"/>
        <v>100</v>
      </c>
      <c r="BW35" s="564">
        <v>10953</v>
      </c>
      <c r="BX35" s="564"/>
      <c r="BY35" s="564">
        <f>BW35</f>
        <v>10953</v>
      </c>
      <c r="BZ35" s="564">
        <f>INT(BW35+IF(('Thu NSH'!DN43)*$C$41&lt;0,0,('Thu NSH'!DN43)*$C$41))</f>
        <v>10953</v>
      </c>
      <c r="CA35" s="564"/>
      <c r="CB35" s="564">
        <f>BZ35</f>
        <v>10953</v>
      </c>
      <c r="CC35" s="563">
        <f>BZ35-BW35</f>
        <v>0</v>
      </c>
      <c r="CD35" s="564">
        <f t="shared" si="55"/>
        <v>100</v>
      </c>
      <c r="CE35" s="564">
        <v>8095</v>
      </c>
      <c r="CF35" s="564"/>
      <c r="CG35" s="564">
        <f>CE35</f>
        <v>8095</v>
      </c>
      <c r="CH35" s="564">
        <f>INT(CE35+IF(('Thu NSH'!DZ43)*$C$41&lt;0,0,('Thu NSH'!DZ43)*$C$41))</f>
        <v>8095</v>
      </c>
      <c r="CI35" s="564"/>
      <c r="CJ35" s="564">
        <f>CH35</f>
        <v>8095</v>
      </c>
      <c r="CK35" s="563">
        <f>CH35-CE35</f>
        <v>0</v>
      </c>
      <c r="CL35" s="564">
        <f t="shared" si="56"/>
        <v>100</v>
      </c>
      <c r="CM35" s="564">
        <v>11186</v>
      </c>
      <c r="CN35" s="564"/>
      <c r="CO35" s="564">
        <f>CM35</f>
        <v>11186</v>
      </c>
      <c r="CP35" s="564">
        <f>INT(CM35+IF(('Thu NSH'!EL43)*$C$41&lt;0,0,('Thu NSH'!EL43)*$C$41))</f>
        <v>11186</v>
      </c>
      <c r="CQ35" s="564"/>
      <c r="CR35" s="564">
        <f>CP35</f>
        <v>11186</v>
      </c>
      <c r="CS35" s="563">
        <f>CP35-CM35</f>
        <v>0</v>
      </c>
      <c r="CT35" s="564">
        <f t="shared" si="57"/>
        <v>100</v>
      </c>
      <c r="CU35" s="564">
        <v>7639</v>
      </c>
      <c r="CV35" s="564"/>
      <c r="CW35" s="564">
        <f>CU35</f>
        <v>7639</v>
      </c>
      <c r="CX35" s="564">
        <f>INT(CU35+IF(('Thu NSH'!EX43)*$C$41&lt;0,0,('Thu NSH'!EX43)*$C$41))</f>
        <v>7639</v>
      </c>
      <c r="CY35" s="564"/>
      <c r="CZ35" s="564">
        <f>CX35</f>
        <v>7639</v>
      </c>
      <c r="DA35" s="563">
        <f>CX35-CU35</f>
        <v>0</v>
      </c>
      <c r="DB35" s="564">
        <f t="shared" si="58"/>
        <v>100</v>
      </c>
    </row>
    <row r="36" spans="1:106" s="342" customFormat="1" ht="18.95" customHeight="1" thickBot="1" x14ac:dyDescent="0.25">
      <c r="A36" s="349">
        <v>4</v>
      </c>
      <c r="B36" s="350" t="s">
        <v>1509</v>
      </c>
      <c r="C36" s="568">
        <f>+K36+S36+AA36+AI36+AQ36+AY36+BG36+BO36+BW36+CE36+CM36+CU36</f>
        <v>378989</v>
      </c>
      <c r="D36" s="568"/>
      <c r="E36" s="568">
        <f>+M36+U36+AC36+AK36+AS36+BA36+BI36+BQ36+BY36+CG36+CO36+CW36</f>
        <v>383136.85</v>
      </c>
      <c r="F36" s="568">
        <f t="shared" si="72"/>
        <v>606749</v>
      </c>
      <c r="G36" s="568">
        <f t="shared" si="72"/>
        <v>0</v>
      </c>
      <c r="H36" s="568">
        <f t="shared" si="72"/>
        <v>606749</v>
      </c>
      <c r="I36" s="569">
        <f>F36-C36</f>
        <v>227760</v>
      </c>
      <c r="J36" s="568"/>
      <c r="K36" s="568">
        <v>0</v>
      </c>
      <c r="L36" s="568"/>
      <c r="M36" s="568">
        <f>'Thu NSH'!T41</f>
        <v>0</v>
      </c>
      <c r="N36" s="568">
        <f>INT(IF('CCTL nam 2020- 2021'!E33&lt;0,0,'CCTL nam 2020- 2021'!E35))+INT('Chính sách chế độ 2020-2021'!AR19)-6091</f>
        <v>0</v>
      </c>
      <c r="O36" s="568"/>
      <c r="P36" s="568">
        <f>N36</f>
        <v>0</v>
      </c>
      <c r="Q36" s="569">
        <f>N36-K36</f>
        <v>0</v>
      </c>
      <c r="R36" s="568"/>
      <c r="S36" s="568">
        <v>0</v>
      </c>
      <c r="T36" s="568"/>
      <c r="U36" s="568">
        <f>'Thu NSH'!AF41</f>
        <v>0</v>
      </c>
      <c r="V36" s="568">
        <f>INT(IF('CCTL nam 2020- 2021'!F33&lt;0,0,'CCTL nam 2020- 2021'!F35))+INT('Chính sách chế độ 2020-2021'!BM19)-897</f>
        <v>0</v>
      </c>
      <c r="W36" s="568"/>
      <c r="X36" s="568">
        <f>V36</f>
        <v>0</v>
      </c>
      <c r="Y36" s="569">
        <f>V36-S36</f>
        <v>0</v>
      </c>
      <c r="Z36" s="568"/>
      <c r="AA36" s="568">
        <v>0</v>
      </c>
      <c r="AB36" s="568"/>
      <c r="AC36" s="568">
        <f>'Thu NSH'!AR41</f>
        <v>4147.8499999999995</v>
      </c>
      <c r="AD36" s="568">
        <f>INT(IF('CCTL nam 2020- 2021'!G33&lt;0,0,'CCTL nam 2020- 2021'!G35))+INT('Chính sách chế độ 2020-2021'!CH19)-4379-4093</f>
        <v>0</v>
      </c>
      <c r="AE36" s="568"/>
      <c r="AF36" s="568">
        <f>AD36</f>
        <v>0</v>
      </c>
      <c r="AG36" s="569">
        <f>AD36-AA36</f>
        <v>0</v>
      </c>
      <c r="AH36" s="568"/>
      <c r="AI36" s="568">
        <v>0</v>
      </c>
      <c r="AJ36" s="568"/>
      <c r="AK36" s="568">
        <f>'Thu NSH'!BD41</f>
        <v>0</v>
      </c>
      <c r="AL36" s="568">
        <f>INT(IF('CCTL nam 2020- 2021'!H33&lt;0,0,'CCTL nam 2020- 2021'!H35))+INT('Chính sách chế độ 2020-2021'!DC19)-2719</f>
        <v>0</v>
      </c>
      <c r="AM36" s="568"/>
      <c r="AN36" s="568">
        <f>AL36</f>
        <v>0</v>
      </c>
      <c r="AO36" s="569">
        <f>AL36-AI36</f>
        <v>0</v>
      </c>
      <c r="AP36" s="568"/>
      <c r="AQ36" s="568">
        <v>0</v>
      </c>
      <c r="AR36" s="568"/>
      <c r="AS36" s="568">
        <f>'Thu NSH'!BP41</f>
        <v>0</v>
      </c>
      <c r="AT36" s="568">
        <f>INT(IF('CCTL nam 2020- 2021'!I33&lt;0,0,'CCTL nam 2020- 2021'!I35))+INT('Chính sách chế độ 2020-2021'!DX19)</f>
        <v>0</v>
      </c>
      <c r="AU36" s="568"/>
      <c r="AV36" s="568">
        <f>AT36</f>
        <v>0</v>
      </c>
      <c r="AW36" s="569">
        <f>AT36-AQ36</f>
        <v>0</v>
      </c>
      <c r="AX36" s="568"/>
      <c r="AY36" s="568">
        <v>342020</v>
      </c>
      <c r="AZ36" s="568"/>
      <c r="BA36" s="568">
        <f>'Thu NSH'!CB41+AY36</f>
        <v>342020</v>
      </c>
      <c r="BB36" s="568">
        <f>'CCTL nam 2020- 2021'!J36</f>
        <v>479098</v>
      </c>
      <c r="BC36" s="568"/>
      <c r="BD36" s="568">
        <f>BB36</f>
        <v>479098</v>
      </c>
      <c r="BE36" s="569">
        <f>BB36-AY36</f>
        <v>137078</v>
      </c>
      <c r="BF36" s="568"/>
      <c r="BG36" s="568">
        <v>0</v>
      </c>
      <c r="BH36" s="568"/>
      <c r="BI36" s="568">
        <f>'Thu NSH'!CN41</f>
        <v>0</v>
      </c>
      <c r="BJ36" s="568">
        <f>INT(IF('CCTL nam 2020- 2021'!K33&lt;0,0,'CCTL nam 2020- 2021'!K35))+INT('Chính sách chế độ 2020-2021'!FN19)</f>
        <v>0</v>
      </c>
      <c r="BK36" s="568"/>
      <c r="BL36" s="568">
        <f>BJ36</f>
        <v>0</v>
      </c>
      <c r="BM36" s="569">
        <f>BJ36-BG36</f>
        <v>0</v>
      </c>
      <c r="BN36" s="568"/>
      <c r="BO36" s="568">
        <v>0</v>
      </c>
      <c r="BP36" s="568"/>
      <c r="BQ36" s="568">
        <f>'Thu NSH'!CZ41</f>
        <v>0</v>
      </c>
      <c r="BR36" s="568">
        <f>INT(IF('CCTL nam 2020- 2021'!L33&lt;0,0,'CCTL nam 2020- 2021'!L35))+INT('Chính sách chế độ 2020-2021'!GI19)</f>
        <v>0</v>
      </c>
      <c r="BS36" s="568"/>
      <c r="BT36" s="568">
        <f>BR36</f>
        <v>0</v>
      </c>
      <c r="BU36" s="569">
        <f>BR36-BO36</f>
        <v>0</v>
      </c>
      <c r="BV36" s="568"/>
      <c r="BW36" s="568">
        <v>0</v>
      </c>
      <c r="BX36" s="568"/>
      <c r="BY36" s="568">
        <f>INT('Thu NSH'!DL41)</f>
        <v>0</v>
      </c>
      <c r="BZ36" s="568">
        <f>INT(IF('CCTL nam 2020- 2021'!M33&lt;0,0,'CCTL nam 2020- 2021'!M35))+INT('Chính sách chế độ 2020-2021'!HD19)</f>
        <v>0</v>
      </c>
      <c r="CA36" s="568"/>
      <c r="CB36" s="568">
        <f>BZ36</f>
        <v>0</v>
      </c>
      <c r="CC36" s="569">
        <f>BZ36-BW36</f>
        <v>0</v>
      </c>
      <c r="CD36" s="568"/>
      <c r="CE36" s="568">
        <v>0</v>
      </c>
      <c r="CF36" s="568"/>
      <c r="CG36" s="568">
        <f>'Thu NSH'!DX41</f>
        <v>0</v>
      </c>
      <c r="CH36" s="568">
        <f>INT(IF('CCTL nam 2020- 2021'!N33&lt;0,0,'CCTL nam 2020- 2021'!N35))+INT('Chính sách chế độ 2020-2021'!HY19)-229</f>
        <v>0</v>
      </c>
      <c r="CI36" s="568"/>
      <c r="CJ36" s="568">
        <f>CH36</f>
        <v>0</v>
      </c>
      <c r="CK36" s="569">
        <f>CH36-CE36</f>
        <v>0</v>
      </c>
      <c r="CL36" s="568"/>
      <c r="CM36" s="568">
        <v>36969</v>
      </c>
      <c r="CN36" s="568"/>
      <c r="CO36" s="568">
        <f>'Thu NSH'!EJ41+CM36</f>
        <v>36969</v>
      </c>
      <c r="CP36" s="568">
        <f>'CCTL nam 2020- 2021'!O36</f>
        <v>127651</v>
      </c>
      <c r="CQ36" s="568"/>
      <c r="CR36" s="568">
        <f>CP36</f>
        <v>127651</v>
      </c>
      <c r="CS36" s="569">
        <f>CP36-CM36</f>
        <v>90682</v>
      </c>
      <c r="CT36" s="568"/>
      <c r="CU36" s="568">
        <v>0</v>
      </c>
      <c r="CV36" s="568"/>
      <c r="CW36" s="568">
        <f>'Thu NSH'!EV41</f>
        <v>0</v>
      </c>
      <c r="CX36" s="568">
        <f>IF('CCTL nam 2020- 2021'!P33&lt;0,0,'CCTL nam 2020- 2021'!P35)+INT('Chính sách chế độ 2020-2021'!JO19)-1548</f>
        <v>0</v>
      </c>
      <c r="CY36" s="568"/>
      <c r="CZ36" s="568">
        <f>CX36</f>
        <v>0</v>
      </c>
      <c r="DA36" s="569">
        <f>CX36-CU36</f>
        <v>0</v>
      </c>
      <c r="DB36" s="568"/>
    </row>
    <row r="37" spans="1:106" x14ac:dyDescent="0.2">
      <c r="A37" s="342" t="s">
        <v>452</v>
      </c>
    </row>
    <row r="38" spans="1:106" x14ac:dyDescent="0.2">
      <c r="A38" s="335">
        <v>1</v>
      </c>
      <c r="B38" s="321" t="s">
        <v>1206</v>
      </c>
      <c r="C38" s="791">
        <v>0</v>
      </c>
      <c r="H38" s="789"/>
      <c r="K38" s="1189"/>
      <c r="P38" s="351"/>
      <c r="S38" s="1189"/>
      <c r="AA38" s="1189"/>
      <c r="AI38" s="1189"/>
      <c r="AQ38" s="1189"/>
      <c r="AY38" s="1189"/>
      <c r="BB38" s="321">
        <f>'CCTL nam 2020- 2021'!J35</f>
        <v>537166</v>
      </c>
      <c r="BD38" s="351"/>
      <c r="BG38" s="1189"/>
      <c r="BO38" s="1189"/>
      <c r="BW38" s="1189"/>
      <c r="CE38" s="1189"/>
      <c r="CM38" s="1189"/>
      <c r="CU38" s="1189"/>
    </row>
    <row r="39" spans="1:106" x14ac:dyDescent="0.2">
      <c r="A39" s="335">
        <v>2</v>
      </c>
      <c r="B39" s="321" t="s">
        <v>1207</v>
      </c>
      <c r="C39" s="791">
        <v>0</v>
      </c>
      <c r="H39" s="792"/>
      <c r="I39" s="351"/>
      <c r="P39" s="792"/>
      <c r="X39" s="792"/>
      <c r="AF39" s="792"/>
      <c r="AN39" s="792"/>
      <c r="AV39" s="792"/>
      <c r="BB39" s="351"/>
      <c r="BD39" s="792"/>
      <c r="BL39" s="792"/>
      <c r="BT39" s="792"/>
      <c r="CB39" s="792"/>
      <c r="CJ39" s="792"/>
      <c r="CR39" s="792"/>
      <c r="CZ39" s="792"/>
    </row>
    <row r="40" spans="1:106" x14ac:dyDescent="0.2">
      <c r="A40" s="335">
        <v>3</v>
      </c>
      <c r="B40" s="321" t="s">
        <v>1209</v>
      </c>
      <c r="C40" s="791">
        <v>0</v>
      </c>
      <c r="F40" s="792"/>
      <c r="H40" s="792"/>
      <c r="I40" s="1240"/>
      <c r="K40" s="351"/>
      <c r="BD40" s="792"/>
    </row>
    <row r="41" spans="1:106" x14ac:dyDescent="0.2">
      <c r="A41" s="335">
        <v>4</v>
      </c>
      <c r="B41" s="321" t="s">
        <v>1210</v>
      </c>
      <c r="C41" s="791">
        <v>0</v>
      </c>
      <c r="F41" s="792"/>
      <c r="H41" s="792"/>
      <c r="I41" s="1240"/>
      <c r="P41" s="792"/>
      <c r="X41" s="792"/>
      <c r="AF41" s="792"/>
      <c r="AN41" s="792"/>
      <c r="AV41" s="792"/>
      <c r="BB41" s="351"/>
      <c r="BD41" s="792"/>
      <c r="BL41" s="792"/>
      <c r="BT41" s="792"/>
      <c r="CB41" s="792"/>
      <c r="CJ41" s="792"/>
      <c r="CR41" s="792"/>
      <c r="CZ41" s="792"/>
    </row>
    <row r="42" spans="1:106" x14ac:dyDescent="0.2">
      <c r="A42" s="335">
        <v>5</v>
      </c>
      <c r="B42" s="321" t="s">
        <v>1208</v>
      </c>
      <c r="C42" s="791">
        <f>1-C38-C39-C40-C41</f>
        <v>1</v>
      </c>
    </row>
    <row r="43" spans="1:106" x14ac:dyDescent="0.2">
      <c r="B43" s="335" t="s">
        <v>28</v>
      </c>
      <c r="C43" s="790">
        <f>SUM(C38:C42)</f>
        <v>1</v>
      </c>
      <c r="F43" s="792"/>
      <c r="H43" s="789"/>
    </row>
    <row r="44" spans="1:106" x14ac:dyDescent="0.2">
      <c r="B44" s="321" t="s">
        <v>1211</v>
      </c>
      <c r="C44" s="791">
        <f>H34/C34</f>
        <v>1.0198252668561456</v>
      </c>
      <c r="F44" s="792"/>
      <c r="H44" s="351"/>
    </row>
    <row r="45" spans="1:106" x14ac:dyDescent="0.2">
      <c r="B45" s="321" t="s">
        <v>1489</v>
      </c>
      <c r="C45" s="791">
        <v>0.04</v>
      </c>
      <c r="E45" s="1260">
        <f>94000+96000</f>
        <v>190000</v>
      </c>
      <c r="F45" s="1260">
        <f>SUM(N45,V45,AD45,AL45,AT45,BB45,BJ45,BR45,BZ45,CH45,CP45,CX45)</f>
        <v>138594.04</v>
      </c>
      <c r="G45" s="1259"/>
      <c r="H45" s="1259"/>
      <c r="I45" s="1259"/>
      <c r="J45" s="1259"/>
      <c r="K45" s="1259"/>
      <c r="L45" s="1259"/>
      <c r="M45" s="1259"/>
      <c r="N45" s="1258">
        <f>N10*$C$45</f>
        <v>13795.24</v>
      </c>
      <c r="O45" s="1259"/>
      <c r="P45" s="1259"/>
      <c r="Q45" s="1259"/>
      <c r="R45" s="1259"/>
      <c r="S45" s="1259"/>
      <c r="T45" s="1259"/>
      <c r="U45" s="1259"/>
      <c r="V45" s="1258">
        <f>V10*$C$45</f>
        <v>7656.6</v>
      </c>
      <c r="W45" s="1259"/>
      <c r="X45" s="1259"/>
      <c r="Y45" s="1259"/>
      <c r="Z45" s="1259"/>
      <c r="AA45" s="1259"/>
      <c r="AB45" s="1259"/>
      <c r="AC45" s="1259"/>
      <c r="AD45" s="1258">
        <f>AD10*$C$45</f>
        <v>12220.76</v>
      </c>
      <c r="AE45" s="1259"/>
      <c r="AF45" s="1259"/>
      <c r="AG45" s="1259"/>
      <c r="AH45" s="1259"/>
      <c r="AI45" s="1259"/>
      <c r="AJ45" s="1259"/>
      <c r="AK45" s="1259"/>
      <c r="AL45" s="1258">
        <f>AL10*$C$45</f>
        <v>10419.48</v>
      </c>
      <c r="AM45" s="1259"/>
      <c r="AN45" s="1259"/>
      <c r="AO45" s="1259"/>
      <c r="AP45" s="1259"/>
      <c r="AQ45" s="1259"/>
      <c r="AR45" s="1259"/>
      <c r="AS45" s="1259"/>
      <c r="AT45" s="1258">
        <f>AT10*$C$45</f>
        <v>13396.12</v>
      </c>
      <c r="AU45" s="1259"/>
      <c r="AV45" s="1259"/>
      <c r="AW45" s="1259"/>
      <c r="AX45" s="1259"/>
      <c r="AY45" s="1259"/>
      <c r="AZ45" s="1259"/>
      <c r="BA45" s="1259"/>
      <c r="BB45" s="1258">
        <f>BB10*$C$45</f>
        <v>4647.88</v>
      </c>
      <c r="BC45" s="1259"/>
      <c r="BD45" s="1259"/>
      <c r="BE45" s="1259"/>
      <c r="BF45" s="1259"/>
      <c r="BG45" s="1259"/>
      <c r="BH45" s="1259"/>
      <c r="BI45" s="1259"/>
      <c r="BJ45" s="1258">
        <f>BJ10*$C$45</f>
        <v>17028.88</v>
      </c>
      <c r="BK45" s="1259"/>
      <c r="BL45" s="1259"/>
      <c r="BM45" s="1259"/>
      <c r="BN45" s="1259"/>
      <c r="BO45" s="1259"/>
      <c r="BP45" s="1259"/>
      <c r="BQ45" s="1259"/>
      <c r="BR45" s="1258">
        <f>BR10*$C$45</f>
        <v>14550.76</v>
      </c>
      <c r="BS45" s="1259"/>
      <c r="BT45" s="1259"/>
      <c r="BU45" s="1259"/>
      <c r="BV45" s="1259"/>
      <c r="BW45" s="1259"/>
      <c r="BX45" s="1259"/>
      <c r="BY45" s="1259"/>
      <c r="BZ45" s="1258">
        <f>BZ10*$C$45</f>
        <v>13741.56</v>
      </c>
      <c r="CA45" s="1259"/>
      <c r="CB45" s="1259"/>
      <c r="CC45" s="1259"/>
      <c r="CD45" s="1259"/>
      <c r="CE45" s="1259"/>
      <c r="CF45" s="1259"/>
      <c r="CG45" s="1259"/>
      <c r="CH45" s="1258">
        <f>CH10*$C$45</f>
        <v>12954.36</v>
      </c>
      <c r="CI45" s="1259"/>
      <c r="CJ45" s="1259"/>
      <c r="CK45" s="1259"/>
      <c r="CL45" s="1259"/>
      <c r="CM45" s="1259"/>
      <c r="CN45" s="1259"/>
      <c r="CO45" s="1259"/>
      <c r="CP45" s="1258">
        <f>CP10*$C$45</f>
        <v>6363.96</v>
      </c>
      <c r="CQ45" s="1259"/>
      <c r="CR45" s="1259"/>
      <c r="CS45" s="1259"/>
      <c r="CT45" s="1259"/>
      <c r="CU45" s="1259"/>
      <c r="CV45" s="1259"/>
      <c r="CW45" s="1259"/>
      <c r="CX45" s="1258">
        <f>CX10*$C$45</f>
        <v>11818.44</v>
      </c>
      <c r="CY45" s="1259"/>
      <c r="CZ45" s="1259"/>
      <c r="DA45" s="1259"/>
      <c r="DB45" s="1259"/>
    </row>
    <row r="46" spans="1:106" s="1206" customFormat="1" ht="25.5" x14ac:dyDescent="0.2">
      <c r="B46" s="1261" t="s">
        <v>1525</v>
      </c>
      <c r="F46" s="1260">
        <f>SUM(N46,V46,AD46,AL46,AT46,BB46,BJ46,BR46,BZ46,CH46,CP46,CX46)</f>
        <v>611220</v>
      </c>
      <c r="G46" s="1258"/>
      <c r="H46" s="1258"/>
      <c r="I46" s="1258"/>
      <c r="J46" s="1258"/>
      <c r="K46" s="1258"/>
      <c r="L46" s="1258"/>
      <c r="M46" s="1258"/>
      <c r="N46" s="1258">
        <f>'Thu NSH'!V39-37000</f>
        <v>2000</v>
      </c>
      <c r="O46" s="1258"/>
      <c r="P46" s="1258"/>
      <c r="Q46" s="1258"/>
      <c r="R46" s="1258"/>
      <c r="S46" s="1258"/>
      <c r="T46" s="1258"/>
      <c r="U46" s="1258"/>
      <c r="V46" s="1258">
        <f>'Thu NSH'!AH39-49600</f>
        <v>-3650</v>
      </c>
      <c r="W46" s="1258"/>
      <c r="X46" s="1258"/>
      <c r="Y46" s="1258"/>
      <c r="Z46" s="1258"/>
      <c r="AA46" s="1258"/>
      <c r="AB46" s="1258"/>
      <c r="AC46" s="1258"/>
      <c r="AD46" s="1258">
        <f>'Thu NSH'!AT39-24610</f>
        <v>10960</v>
      </c>
      <c r="AE46" s="1258"/>
      <c r="AF46" s="1258"/>
      <c r="AG46" s="1258"/>
      <c r="AH46" s="1258"/>
      <c r="AI46" s="1258"/>
      <c r="AJ46" s="1258"/>
      <c r="AK46" s="1258"/>
      <c r="AL46" s="1258">
        <f>('Thu NSH'!BF39-52140)</f>
        <v>-5760</v>
      </c>
      <c r="AM46" s="1258"/>
      <c r="AN46" s="1258"/>
      <c r="AO46" s="1258"/>
      <c r="AP46" s="1258"/>
      <c r="AQ46" s="1258"/>
      <c r="AR46" s="1258"/>
      <c r="AS46" s="1258"/>
      <c r="AT46" s="1258">
        <f>'Thu NSH'!BR39-69330</f>
        <v>46370</v>
      </c>
      <c r="AU46" s="1258"/>
      <c r="AV46" s="1258"/>
      <c r="AW46" s="1258"/>
      <c r="AX46" s="1258"/>
      <c r="AY46" s="1258"/>
      <c r="AZ46" s="1258"/>
      <c r="BA46" s="1258"/>
      <c r="BB46" s="1258">
        <f>'Thu NSH'!CD39-324940</f>
        <v>313960</v>
      </c>
      <c r="BC46" s="1258"/>
      <c r="BD46" s="1258"/>
      <c r="BE46" s="1258"/>
      <c r="BF46" s="1258"/>
      <c r="BG46" s="1258"/>
      <c r="BH46" s="1258"/>
      <c r="BI46" s="1258"/>
      <c r="BJ46" s="1258">
        <f>'Thu NSH'!CP39-73980</f>
        <v>36740</v>
      </c>
      <c r="BK46" s="1258"/>
      <c r="BL46" s="1258"/>
      <c r="BM46" s="1258"/>
      <c r="BN46" s="1258"/>
      <c r="BO46" s="1258"/>
      <c r="BP46" s="1258"/>
      <c r="BQ46" s="1258"/>
      <c r="BR46" s="1258">
        <f>'Thu NSH'!DB39-52710</f>
        <v>33010</v>
      </c>
      <c r="BS46" s="1258"/>
      <c r="BT46" s="1258"/>
      <c r="BU46" s="1258"/>
      <c r="BV46" s="1258"/>
      <c r="BW46" s="1258"/>
      <c r="BX46" s="1258"/>
      <c r="BY46" s="1258"/>
      <c r="BZ46" s="1258">
        <f>'Thu NSH'!DN39-94220</f>
        <v>30730</v>
      </c>
      <c r="CA46" s="1258"/>
      <c r="CB46" s="1258"/>
      <c r="CC46" s="1258"/>
      <c r="CD46" s="1258"/>
      <c r="CE46" s="1258"/>
      <c r="CF46" s="1258"/>
      <c r="CG46" s="1258"/>
      <c r="CH46" s="1258">
        <f>'Thu NSH'!DZ39-60420</f>
        <v>14080</v>
      </c>
      <c r="CI46" s="1258"/>
      <c r="CJ46" s="1258"/>
      <c r="CK46" s="1258"/>
      <c r="CL46" s="1258"/>
      <c r="CM46" s="1258"/>
      <c r="CN46" s="1258"/>
      <c r="CO46" s="1258"/>
      <c r="CP46" s="1258">
        <f>'Thu NSH'!EL39-219130</f>
        <v>114390</v>
      </c>
      <c r="CQ46" s="1258"/>
      <c r="CR46" s="1258"/>
      <c r="CS46" s="1258"/>
      <c r="CT46" s="1258"/>
      <c r="CU46" s="1258"/>
      <c r="CV46" s="1258"/>
      <c r="CW46" s="1258"/>
      <c r="CX46" s="1258">
        <f>'Thu NSH'!EX39-58010</f>
        <v>18390</v>
      </c>
      <c r="CY46" s="1258"/>
      <c r="CZ46" s="1258"/>
      <c r="DA46" s="1258"/>
      <c r="DB46" s="1258"/>
    </row>
    <row r="47" spans="1:106" ht="25.5" x14ac:dyDescent="0.2">
      <c r="B47" s="1261" t="s">
        <v>648</v>
      </c>
      <c r="F47" s="1260">
        <f>SUM(N47,V47,AD47,AL47,AT47,BB47,BJ47,BR47,BZ47,CH47,CP47,CX47)</f>
        <v>0</v>
      </c>
      <c r="G47" s="1259"/>
      <c r="H47" s="1259"/>
      <c r="I47" s="1259"/>
      <c r="J47" s="1259"/>
      <c r="K47" s="1259"/>
      <c r="L47" s="1259"/>
      <c r="M47" s="1259"/>
      <c r="N47" s="1259">
        <f>N15</f>
        <v>0</v>
      </c>
      <c r="O47" s="1259"/>
      <c r="P47" s="1259"/>
      <c r="Q47" s="1259"/>
      <c r="R47" s="1259"/>
      <c r="S47" s="1259"/>
      <c r="T47" s="1259"/>
      <c r="U47" s="1259"/>
      <c r="V47" s="1259">
        <f>V15</f>
        <v>0</v>
      </c>
      <c r="W47" s="1259"/>
      <c r="X47" s="1259"/>
      <c r="Y47" s="1259"/>
      <c r="Z47" s="1259"/>
      <c r="AA47" s="1259"/>
      <c r="AB47" s="1259"/>
      <c r="AC47" s="1259"/>
      <c r="AD47" s="1259">
        <f>AD15</f>
        <v>0</v>
      </c>
      <c r="AE47" s="1259"/>
      <c r="AF47" s="1259"/>
      <c r="AG47" s="1259"/>
      <c r="AH47" s="1259"/>
      <c r="AI47" s="1259"/>
      <c r="AJ47" s="1259"/>
      <c r="AK47" s="1259"/>
      <c r="AL47" s="1259">
        <f>AL15</f>
        <v>0</v>
      </c>
      <c r="AM47" s="1259"/>
      <c r="AN47" s="1259"/>
      <c r="AO47" s="1259"/>
      <c r="AP47" s="1259"/>
      <c r="AQ47" s="1259"/>
      <c r="AR47" s="1259"/>
      <c r="AS47" s="1259"/>
      <c r="AT47" s="1259">
        <f>AT15</f>
        <v>0</v>
      </c>
      <c r="AU47" s="1259"/>
      <c r="AV47" s="1259"/>
      <c r="AW47" s="1259"/>
      <c r="AX47" s="1259"/>
      <c r="AY47" s="1259"/>
      <c r="AZ47" s="1259"/>
      <c r="BA47" s="1259"/>
      <c r="BB47" s="1259">
        <f>BB15</f>
        <v>0</v>
      </c>
      <c r="BC47" s="1259"/>
      <c r="BD47" s="1259"/>
      <c r="BE47" s="1259"/>
      <c r="BF47" s="1259"/>
      <c r="BG47" s="1259"/>
      <c r="BH47" s="1259"/>
      <c r="BI47" s="1259"/>
      <c r="BJ47" s="1259">
        <f>BJ15</f>
        <v>0</v>
      </c>
      <c r="BK47" s="1259"/>
      <c r="BL47" s="1259"/>
      <c r="BM47" s="1259"/>
      <c r="BN47" s="1259"/>
      <c r="BO47" s="1259"/>
      <c r="BP47" s="1259"/>
      <c r="BQ47" s="1259"/>
      <c r="BR47" s="1259">
        <f>BR15</f>
        <v>0</v>
      </c>
      <c r="BS47" s="1259"/>
      <c r="BT47" s="1259"/>
      <c r="BU47" s="1259"/>
      <c r="BV47" s="1259"/>
      <c r="BW47" s="1259"/>
      <c r="BX47" s="1259"/>
      <c r="BY47" s="1259"/>
      <c r="BZ47" s="1259">
        <f>BZ15</f>
        <v>0</v>
      </c>
      <c r="CA47" s="1259"/>
      <c r="CB47" s="1259"/>
      <c r="CC47" s="1259"/>
      <c r="CD47" s="1259"/>
      <c r="CE47" s="1259"/>
      <c r="CF47" s="1259"/>
      <c r="CG47" s="1259"/>
      <c r="CH47" s="1259">
        <f>CH15</f>
        <v>0</v>
      </c>
      <c r="CI47" s="1259"/>
      <c r="CJ47" s="1259"/>
      <c r="CK47" s="1259"/>
      <c r="CL47" s="1259"/>
      <c r="CM47" s="1259"/>
      <c r="CN47" s="1259"/>
      <c r="CO47" s="1259"/>
      <c r="CP47" s="1259">
        <f>CP15</f>
        <v>0</v>
      </c>
      <c r="CQ47" s="1259"/>
      <c r="CR47" s="1259"/>
      <c r="CS47" s="1259"/>
      <c r="CT47" s="1259"/>
      <c r="CU47" s="1259"/>
      <c r="CV47" s="1259"/>
      <c r="CW47" s="1259"/>
      <c r="CX47" s="1259">
        <f>CX15</f>
        <v>0</v>
      </c>
      <c r="CY47" s="1259"/>
      <c r="CZ47" s="1259"/>
      <c r="DA47" s="1259"/>
      <c r="DB47" s="1259"/>
    </row>
    <row r="48" spans="1:106" ht="25.5" x14ac:dyDescent="0.2">
      <c r="B48" s="1261" t="s">
        <v>1526</v>
      </c>
      <c r="F48" s="1260">
        <f>SUM(N48,V48,AD48,AL48,AT48,BB48,BJ48,BR48,BZ48,CH48,CP48,CX48)</f>
        <v>82665</v>
      </c>
      <c r="G48" s="1259"/>
      <c r="H48" s="1259"/>
      <c r="I48" s="1259"/>
      <c r="J48" s="1259"/>
      <c r="K48" s="1259"/>
      <c r="L48" s="1259"/>
      <c r="M48" s="1259"/>
      <c r="N48" s="1259">
        <f>IF('CCTL nam 2020- 2021'!E21&lt;0,-'CCTL nam 2020- 2021'!E21,0)+N15</f>
        <v>4165</v>
      </c>
      <c r="O48" s="1259"/>
      <c r="P48" s="1259"/>
      <c r="Q48" s="1259"/>
      <c r="R48" s="1259"/>
      <c r="S48" s="1259"/>
      <c r="T48" s="1259"/>
      <c r="U48" s="1259"/>
      <c r="V48" s="1259">
        <f>IF('CCTL nam 2020- 2021'!F21&lt;0,-'CCTL nam 2020- 2021'!F21,0)+V15</f>
        <v>14650</v>
      </c>
      <c r="W48" s="1259"/>
      <c r="X48" s="1259"/>
      <c r="Y48" s="1259"/>
      <c r="Z48" s="1259"/>
      <c r="AA48" s="1259"/>
      <c r="AB48" s="1259"/>
      <c r="AC48" s="1259"/>
      <c r="AD48" s="1259">
        <f>IF('CCTL nam 2020- 2021'!G21&lt;0,-'CCTL nam 2020- 2021'!G21,0)+AD15</f>
        <v>0</v>
      </c>
      <c r="AE48" s="1259"/>
      <c r="AF48" s="1259"/>
      <c r="AG48" s="1259"/>
      <c r="AH48" s="1259"/>
      <c r="AI48" s="1259"/>
      <c r="AJ48" s="1259"/>
      <c r="AK48" s="1259"/>
      <c r="AL48" s="1259">
        <f>IF('CCTL nam 2020- 2021'!H21&lt;0,-'CCTL nam 2020- 2021'!H21,0)+AL15</f>
        <v>3220</v>
      </c>
      <c r="AM48" s="1259"/>
      <c r="AN48" s="1259"/>
      <c r="AO48" s="1259"/>
      <c r="AP48" s="1259"/>
      <c r="AQ48" s="1259"/>
      <c r="AR48" s="1259"/>
      <c r="AS48" s="1259"/>
      <c r="AT48" s="1259">
        <f>IF('CCTL nam 2020- 2021'!I21&lt;0,-'CCTL nam 2020- 2021'!I21,0)+AT15</f>
        <v>3735</v>
      </c>
      <c r="AU48" s="1259"/>
      <c r="AV48" s="1259"/>
      <c r="AW48" s="1259"/>
      <c r="AX48" s="1259"/>
      <c r="AY48" s="1259"/>
      <c r="AZ48" s="1259"/>
      <c r="BA48" s="1259"/>
      <c r="BB48" s="1259">
        <f>IF('CCTL nam 2020- 2021'!J21&lt;0,-'CCTL nam 2020- 2021'!J21,0)+BB15</f>
        <v>0</v>
      </c>
      <c r="BC48" s="1259"/>
      <c r="BD48" s="1259"/>
      <c r="BE48" s="1259"/>
      <c r="BF48" s="1259"/>
      <c r="BG48" s="1259"/>
      <c r="BH48" s="1259"/>
      <c r="BI48" s="1259"/>
      <c r="BJ48" s="1259">
        <f>IF('CCTL nam 2020- 2021'!K21&lt;0,-'CCTL nam 2020- 2021'!K21,0)+BJ15</f>
        <v>4940</v>
      </c>
      <c r="BK48" s="1259"/>
      <c r="BL48" s="1259"/>
      <c r="BM48" s="1259"/>
      <c r="BN48" s="1259"/>
      <c r="BO48" s="1259"/>
      <c r="BP48" s="1259"/>
      <c r="BQ48" s="1259"/>
      <c r="BR48" s="1259">
        <f>IF('CCTL nam 2020- 2021'!L21&lt;0,-'CCTL nam 2020- 2021'!L21,0)+BR15</f>
        <v>9475</v>
      </c>
      <c r="BS48" s="1259"/>
      <c r="BT48" s="1259"/>
      <c r="BU48" s="1259"/>
      <c r="BV48" s="1259"/>
      <c r="BW48" s="1259"/>
      <c r="BX48" s="1259"/>
      <c r="BY48" s="1259"/>
      <c r="BZ48" s="1259">
        <f>IF('CCTL nam 2020- 2021'!M21&lt;0,-'CCTL nam 2020- 2021'!M21,0)+BZ15</f>
        <v>30525</v>
      </c>
      <c r="CA48" s="1259"/>
      <c r="CB48" s="1259"/>
      <c r="CC48" s="1259"/>
      <c r="CD48" s="1259"/>
      <c r="CE48" s="1259"/>
      <c r="CF48" s="1259"/>
      <c r="CG48" s="1259"/>
      <c r="CH48" s="1259">
        <f>IF('CCTL nam 2020- 2021'!N21&lt;0,-'CCTL nam 2020- 2021'!N21,0)+CH15</f>
        <v>9245</v>
      </c>
      <c r="CI48" s="1259"/>
      <c r="CJ48" s="1259"/>
      <c r="CK48" s="1259"/>
      <c r="CL48" s="1259"/>
      <c r="CM48" s="1259"/>
      <c r="CN48" s="1259"/>
      <c r="CO48" s="1259"/>
      <c r="CP48" s="1259">
        <f>IF('CCTL nam 2020- 2021'!O21&lt;0,-'CCTL nam 2020- 2021'!O21,0)+CP15</f>
        <v>0</v>
      </c>
      <c r="CQ48" s="1259"/>
      <c r="CR48" s="1259"/>
      <c r="CS48" s="1259"/>
      <c r="CT48" s="1259"/>
      <c r="CU48" s="1259"/>
      <c r="CV48" s="1259"/>
      <c r="CW48" s="1259"/>
      <c r="CX48" s="1259">
        <f>IF('CCTL nam 2020- 2021'!P21&lt;0,-'CCTL nam 2020- 2021'!P21,0)+CX15</f>
        <v>2710</v>
      </c>
      <c r="CY48" s="1259"/>
      <c r="CZ48" s="1259"/>
      <c r="DA48" s="1259"/>
      <c r="DB48" s="1259"/>
    </row>
    <row r="49" spans="2:106" x14ac:dyDescent="0.2">
      <c r="B49" s="1261" t="s">
        <v>1546</v>
      </c>
      <c r="F49" s="1260">
        <f>SUM(N49,V49,AD49,AL49,AT49,BB49,BJ49,BR49,BZ49,CH49,CP49,CX49)</f>
        <v>43105</v>
      </c>
      <c r="G49" s="1259"/>
      <c r="H49" s="1259"/>
      <c r="I49" s="1259"/>
      <c r="J49" s="1259"/>
      <c r="K49" s="1259"/>
      <c r="L49" s="1259"/>
      <c r="M49" s="1259"/>
      <c r="N49" s="1259">
        <f>IF('Thu NSH'!V49&gt;0,0,-'Thu NSH'!V49)</f>
        <v>3165</v>
      </c>
      <c r="O49" s="1259"/>
      <c r="P49" s="1259"/>
      <c r="Q49" s="1259"/>
      <c r="R49" s="1259"/>
      <c r="S49" s="1259"/>
      <c r="T49" s="1259"/>
      <c r="U49" s="1259"/>
      <c r="V49" s="1259">
        <f>IF('Thu NSH'!AH49&gt;0,0,-'Thu NSH'!AH49)</f>
        <v>16475</v>
      </c>
      <c r="W49" s="1259"/>
      <c r="X49" s="1259"/>
      <c r="Y49" s="1259"/>
      <c r="Z49" s="1259"/>
      <c r="AA49" s="1259"/>
      <c r="AB49" s="1259"/>
      <c r="AC49" s="1259"/>
      <c r="AD49" s="1259">
        <f>IF('Thu NSH'!AT49&gt;0,0,-'Thu NSH'!AT49)</f>
        <v>0</v>
      </c>
      <c r="AE49" s="1259"/>
      <c r="AF49" s="1259"/>
      <c r="AG49" s="1259"/>
      <c r="AH49" s="1259"/>
      <c r="AI49" s="1259"/>
      <c r="AJ49" s="1259"/>
      <c r="AK49" s="1259"/>
      <c r="AL49" s="1259">
        <f>IF('Thu NSH'!BF49&gt;0,0,-'Thu NSH'!BF49)</f>
        <v>6100</v>
      </c>
      <c r="AM49" s="1259"/>
      <c r="AN49" s="1259"/>
      <c r="AO49" s="1259"/>
      <c r="AP49" s="1259"/>
      <c r="AQ49" s="1259"/>
      <c r="AR49" s="1259"/>
      <c r="AS49" s="1259"/>
      <c r="AT49" s="1259">
        <f>IF('Thu NSH'!BR49&gt;0,0,-'Thu NSH'!BR49)</f>
        <v>0</v>
      </c>
      <c r="AU49" s="1259"/>
      <c r="AV49" s="1259"/>
      <c r="AW49" s="1259"/>
      <c r="AX49" s="1259"/>
      <c r="AY49" s="1259"/>
      <c r="AZ49" s="1259"/>
      <c r="BA49" s="1259"/>
      <c r="BB49" s="1259">
        <f>IF('Thu NSH'!CD49&gt;0,0,-'Thu NSH'!CD49)</f>
        <v>0</v>
      </c>
      <c r="BC49" s="1259"/>
      <c r="BD49" s="1259"/>
      <c r="BE49" s="1259"/>
      <c r="BF49" s="1259"/>
      <c r="BG49" s="1259"/>
      <c r="BH49" s="1259"/>
      <c r="BI49" s="1259"/>
      <c r="BJ49" s="1259">
        <f>IF('Thu NSH'!CP49&gt;0,0,-'Thu NSH'!CP49)</f>
        <v>0</v>
      </c>
      <c r="BK49" s="1259"/>
      <c r="BL49" s="1259"/>
      <c r="BM49" s="1259"/>
      <c r="BN49" s="1259"/>
      <c r="BO49" s="1259"/>
      <c r="BP49" s="1259"/>
      <c r="BQ49" s="1259"/>
      <c r="BR49" s="1259">
        <f>IF('Thu NSH'!DB49&gt;0,0,-'Thu NSH'!DB49)</f>
        <v>0</v>
      </c>
      <c r="BS49" s="1259"/>
      <c r="BT49" s="1259"/>
      <c r="BU49" s="1259"/>
      <c r="BV49" s="1259"/>
      <c r="BW49" s="1259"/>
      <c r="BX49" s="1259"/>
      <c r="BY49" s="1259"/>
      <c r="BZ49" s="1259">
        <f>IF('Thu NSH'!DN49&gt;0,0,-'Thu NSH'!DN49)</f>
        <v>15160</v>
      </c>
      <c r="CA49" s="1259"/>
      <c r="CB49" s="1259"/>
      <c r="CC49" s="1259"/>
      <c r="CD49" s="1259"/>
      <c r="CE49" s="1259"/>
      <c r="CF49" s="1259"/>
      <c r="CG49" s="1259"/>
      <c r="CH49" s="1259">
        <f>IF('Thu NSH'!DZ49&gt;0,0,-'Thu NSH'!DZ49)</f>
        <v>2205</v>
      </c>
      <c r="CI49" s="1259"/>
      <c r="CJ49" s="1259"/>
      <c r="CK49" s="1259"/>
      <c r="CL49" s="1259"/>
      <c r="CM49" s="1259"/>
      <c r="CN49" s="1259"/>
      <c r="CO49" s="1259"/>
      <c r="CP49" s="1259">
        <f>IF('Thu NSH'!EL49&gt;0,0,-'Thu NSH'!EL49)</f>
        <v>0</v>
      </c>
      <c r="CQ49" s="1259"/>
      <c r="CR49" s="1259"/>
      <c r="CS49" s="1259"/>
      <c r="CT49" s="1259"/>
      <c r="CU49" s="1259"/>
      <c r="CV49" s="1259"/>
      <c r="CW49" s="1259"/>
      <c r="CX49" s="1259">
        <f>IF('Thu NSH'!EX49&gt;0,0,-'Thu NSH'!EX49)</f>
        <v>0</v>
      </c>
      <c r="CY49" s="1259"/>
      <c r="CZ49" s="1259"/>
      <c r="DA49" s="1259"/>
      <c r="DB49" s="1259"/>
    </row>
    <row r="50" spans="2:106" x14ac:dyDescent="0.2">
      <c r="B50" s="321" t="s">
        <v>1543</v>
      </c>
      <c r="C50" s="791">
        <v>0</v>
      </c>
      <c r="F50" s="792"/>
      <c r="N50" s="1206"/>
      <c r="CA50" s="1287"/>
    </row>
    <row r="51" spans="2:106" x14ac:dyDescent="0.2">
      <c r="B51" s="321" t="s">
        <v>1549</v>
      </c>
      <c r="C51" s="1273"/>
      <c r="F51" s="792"/>
    </row>
    <row r="52" spans="2:106" x14ac:dyDescent="0.2">
      <c r="F52" s="792"/>
    </row>
    <row r="53" spans="2:106" x14ac:dyDescent="0.2">
      <c r="F53" s="792"/>
    </row>
    <row r="54" spans="2:106" x14ac:dyDescent="0.2">
      <c r="F54" s="792"/>
    </row>
    <row r="55" spans="2:106" x14ac:dyDescent="0.2">
      <c r="F55" s="792"/>
    </row>
    <row r="56" spans="2:106" x14ac:dyDescent="0.2">
      <c r="F56" s="792"/>
    </row>
    <row r="57" spans="2:106" x14ac:dyDescent="0.2">
      <c r="F57" s="792"/>
    </row>
    <row r="58" spans="2:106" x14ac:dyDescent="0.2">
      <c r="F58" s="792"/>
    </row>
    <row r="59" spans="2:106" x14ac:dyDescent="0.2">
      <c r="F59" s="799"/>
    </row>
  </sheetData>
  <sortState ref="A11:DB12">
    <sortCondition descending="1" ref="A11"/>
  </sortState>
  <customSheetViews>
    <customSheetView guid="{88621519-296E-4458-B04E-813E881018FE}" fitToPage="1" hiddenRows="1">
      <pane xSplit="3" ySplit="7" topLeftCell="D8" activePane="bottomRight" state="frozen"/>
      <selection pane="bottomRight" activeCell="D8" sqref="D8"/>
      <pageMargins left="0.23622047244094491" right="0.47244094488188981" top="0" bottom="0.19685039370078741" header="0" footer="0.11811023622047245"/>
      <printOptions horizontalCentered="1"/>
      <pageSetup paperSize="9" scale="97" fitToWidth="13" fitToHeight="13" orientation="landscape" r:id="rId1"/>
      <headerFooter alignWithMargins="0"/>
    </customSheetView>
  </customSheetViews>
  <mergeCells count="67">
    <mergeCell ref="N4:P4"/>
    <mergeCell ref="CT4:CT5"/>
    <mergeCell ref="A3:A5"/>
    <mergeCell ref="B3:B5"/>
    <mergeCell ref="C4:E4"/>
    <mergeCell ref="F4:H4"/>
    <mergeCell ref="J4:J5"/>
    <mergeCell ref="AX4:AX5"/>
    <mergeCell ref="AQ3:AX3"/>
    <mergeCell ref="AD4:AF4"/>
    <mergeCell ref="BU4:BU5"/>
    <mergeCell ref="BG3:BN3"/>
    <mergeCell ref="BO3:BV3"/>
    <mergeCell ref="BW3:CD3"/>
    <mergeCell ref="BB4:BD4"/>
    <mergeCell ref="BJ4:BL4"/>
    <mergeCell ref="CU3:DB3"/>
    <mergeCell ref="C3:J3"/>
    <mergeCell ref="K3:R3"/>
    <mergeCell ref="R4:R5"/>
    <mergeCell ref="S3:Z3"/>
    <mergeCell ref="AA3:AH3"/>
    <mergeCell ref="AI3:AP3"/>
    <mergeCell ref="I4:I5"/>
    <mergeCell ref="K4:M4"/>
    <mergeCell ref="BW4:BY4"/>
    <mergeCell ref="CE3:CL3"/>
    <mergeCell ref="BM4:BM5"/>
    <mergeCell ref="BN4:BN5"/>
    <mergeCell ref="BR4:BT4"/>
    <mergeCell ref="AH4:AH5"/>
    <mergeCell ref="AY3:BF3"/>
    <mergeCell ref="Q4:Q5"/>
    <mergeCell ref="BE4:BE5"/>
    <mergeCell ref="BF4:BF5"/>
    <mergeCell ref="BO4:BQ4"/>
    <mergeCell ref="S4:U4"/>
    <mergeCell ref="V4:X4"/>
    <mergeCell ref="Y4:Y5"/>
    <mergeCell ref="Z4:Z5"/>
    <mergeCell ref="AL4:AN4"/>
    <mergeCell ref="AO4:AO5"/>
    <mergeCell ref="AP4:AP5"/>
    <mergeCell ref="AG4:AG5"/>
    <mergeCell ref="AA4:AC4"/>
    <mergeCell ref="CM3:CT3"/>
    <mergeCell ref="AI4:AK4"/>
    <mergeCell ref="AQ4:AS4"/>
    <mergeCell ref="AY4:BA4"/>
    <mergeCell ref="BG4:BI4"/>
    <mergeCell ref="AT4:AV4"/>
    <mergeCell ref="AW4:AW5"/>
    <mergeCell ref="CP4:CR4"/>
    <mergeCell ref="CH4:CJ4"/>
    <mergeCell ref="CK4:CK5"/>
    <mergeCell ref="CL4:CL5"/>
    <mergeCell ref="CX4:CZ4"/>
    <mergeCell ref="DA4:DA5"/>
    <mergeCell ref="CS4:CS5"/>
    <mergeCell ref="BV4:BV5"/>
    <mergeCell ref="DB4:DB5"/>
    <mergeCell ref="CE4:CG4"/>
    <mergeCell ref="CM4:CO4"/>
    <mergeCell ref="BZ4:CB4"/>
    <mergeCell ref="CC4:CC5"/>
    <mergeCell ref="CD4:CD5"/>
    <mergeCell ref="CU4:CW4"/>
  </mergeCells>
  <phoneticPr fontId="5" type="noConversion"/>
  <printOptions horizontalCentered="1"/>
  <pageMargins left="0.23622047244094491" right="0.47244094488188981" top="0" bottom="0.19685039370078741" header="0" footer="0.11811023622047245"/>
  <pageSetup paperSize="9" scale="97" fitToWidth="13" fitToHeight="13" orientation="landscape" r:id="rId2"/>
  <headerFooter alignWithMargins="0"/>
  <ignoredErrors>
    <ignoredError sqref="J9" evalError="1"/>
    <ignoredError sqref="DB31 K11" formulaRange="1"/>
    <ignoredError sqref="M11 P11:R11 C33:J33 C31:J31 CV25:CV26 CV11:DB11 D26:G26 L31:N31 AJ11:AP11 AR11:AX11 AZ11:BF11 BH11:BN11 BP11:BV11 BX11:CD11 CF11:CL11 CN11:CT11 AB11:AH11 T11:Z11 T26 AJ26:CU26 CW26:DB26 C35:J35 C34:J34 L34:R34 C32:H32 T32:U32 T33:U33 W33:Z33 T34:Z34 AB34:AH34 AJ34:AN34 AR34:AX34 AZ34:BB34 C36:M36 AZ36 BH34:BN34 BP34:BV34 BX34:CD34 BX36:BY36 CF34:CL34 CN34:CT34 CN36 CV34:DA34 CV36:CW36 L32:M32 L33:M33 L35:R35 T35:Z35 AB32:AD32 AB33:AH33 AB35:AH35 AJ32:AL32 AJ33:AP33 AJ35:AP35 AR32:AT32 AR33:AX33 AR35:AX35 AZ32:BB32 AZ33:BF33 AZ35:BF35 BH32:BJ32 BH33:BN33 BH35:BN35 BP32:BR32 BP33:BV33 BP35:BV35 BX32:BZ32 BX33:CD33 BX35:CD35 CF32:CH32 CF33:CL33 CF35:CL35 CN32:CP32 CN33:CT33 CN35:CT35 CV32:CX32 CV33:DA33 CV35:DA35 Q32:R32 O33:R33 P31:R31 AO32:AP32 BF36:BI36 CS36:CT36 J32 CA36:CG36 AU36:AX36 AM36:AS36 AE36:AK36 W36:AC36 O36:U36 AP34 BE32:BF32 BD34:BF34 BC36 CQ36 Y32:Z32 AG32:AH32 AW32:AX32 BM32:BN32 BU32:BV32 CC32:CD32 CK32:CL32 CS32:CT32 DA32 BK36:BQ36 BS36:BV36 CI36:CL36 CY36:DA36" formula="1"/>
    <ignoredError sqref="CU11 K31 AI11 AQ11 AY11 BG11 BO11 BW11 CE11 CM11 AA11 S11 S31:V31 CV31:CX31 X31:AD31 AF31:AL31 AN31:AT31 AV31:BB31 BD31:BJ31 BL31:BR31 BT31:BZ31 CB31:CH31 CJ31:CP31 CR31:CU31 CZ31:DA31" formula="1" formulaRange="1"/>
  </ignoredErrors>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indexed="8"/>
    <pageSetUpPr fitToPage="1"/>
  </sheetPr>
  <dimension ref="A1:CU47"/>
  <sheetViews>
    <sheetView topLeftCell="B1" workbookViewId="0">
      <pane xSplit="2" ySplit="8" topLeftCell="D9"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2" width="4.5" style="296" customWidth="1"/>
    <col min="3" max="3" width="60.375" style="296" bestFit="1" customWidth="1"/>
    <col min="4" max="4" width="10.875" style="296" customWidth="1"/>
    <col min="5" max="6" width="10" style="296" customWidth="1"/>
    <col min="7" max="7" width="10.5" style="296" customWidth="1"/>
    <col min="8" max="8" width="10.625" style="296" customWidth="1"/>
    <col min="9" max="9" width="10.75" style="296" customWidth="1"/>
    <col min="10" max="10" width="10.25" style="296" customWidth="1"/>
    <col min="11" max="11" width="11.625" style="296" customWidth="1"/>
    <col min="12" max="12" width="11.75" style="296" customWidth="1"/>
    <col min="13" max="13" width="11.625" style="296" customWidth="1"/>
    <col min="14" max="14" width="11.875" style="296" customWidth="1"/>
    <col min="15" max="16" width="11.625" style="296" customWidth="1"/>
    <col min="17" max="16384" width="9" style="296"/>
  </cols>
  <sheetData>
    <row r="1" spans="1:99" hidden="1" x14ac:dyDescent="0.25">
      <c r="A1" s="293"/>
      <c r="B1" s="293"/>
      <c r="C1" s="294" t="s">
        <v>1541</v>
      </c>
      <c r="D1" s="1508" t="s">
        <v>475</v>
      </c>
      <c r="E1" s="1508"/>
      <c r="F1" s="1508"/>
      <c r="G1" s="1508"/>
      <c r="H1" s="1508"/>
      <c r="I1" s="1508"/>
      <c r="J1" s="1508"/>
      <c r="K1" s="1508"/>
      <c r="L1" s="1508"/>
      <c r="M1" s="295"/>
      <c r="N1" s="295"/>
      <c r="O1" s="295"/>
      <c r="P1" s="295"/>
      <c r="S1" s="294" t="s">
        <v>1541</v>
      </c>
      <c r="AA1" s="294" t="s">
        <v>1541</v>
      </c>
      <c r="AD1" s="296" t="s">
        <v>1537</v>
      </c>
      <c r="AI1" s="294" t="s">
        <v>1541</v>
      </c>
      <c r="AQ1" s="294" t="s">
        <v>1541</v>
      </c>
      <c r="AY1" s="294" t="s">
        <v>1541</v>
      </c>
      <c r="BG1" s="294" t="s">
        <v>1541</v>
      </c>
      <c r="BO1" s="294" t="s">
        <v>1541</v>
      </c>
      <c r="BW1" s="294" t="s">
        <v>1541</v>
      </c>
      <c r="CE1" s="294" t="s">
        <v>1541</v>
      </c>
      <c r="CM1" s="294" t="s">
        <v>1541</v>
      </c>
      <c r="CU1" s="294" t="s">
        <v>1541</v>
      </c>
    </row>
    <row r="2" spans="1:99" hidden="1" x14ac:dyDescent="0.25">
      <c r="A2" s="293"/>
      <c r="B2" s="293"/>
      <c r="C2" s="294" t="s">
        <v>504</v>
      </c>
      <c r="D2" s="1508" t="s">
        <v>463</v>
      </c>
      <c r="E2" s="1508"/>
      <c r="F2" s="1508"/>
      <c r="G2" s="1508"/>
      <c r="H2" s="1508"/>
      <c r="I2" s="1508"/>
      <c r="J2" s="1508"/>
      <c r="K2" s="1508"/>
      <c r="L2" s="1508"/>
      <c r="M2" s="295"/>
      <c r="N2" s="295"/>
      <c r="O2" s="295"/>
      <c r="P2" s="295"/>
    </row>
    <row r="3" spans="1:99" hidden="1" x14ac:dyDescent="0.25">
      <c r="A3" s="293"/>
      <c r="B3" s="293"/>
      <c r="C3" s="294" t="s">
        <v>399</v>
      </c>
      <c r="D3" s="1447" t="s">
        <v>476</v>
      </c>
      <c r="E3" s="1447"/>
      <c r="F3" s="1447"/>
      <c r="G3" s="1447"/>
      <c r="H3" s="1447"/>
      <c r="I3" s="1447"/>
      <c r="J3" s="1447"/>
      <c r="K3" s="1447"/>
      <c r="L3" s="1447"/>
      <c r="M3" s="295"/>
      <c r="N3" s="295"/>
      <c r="O3" s="295"/>
      <c r="P3" s="295"/>
    </row>
    <row r="4" spans="1:99" ht="40.5" customHeight="1" x14ac:dyDescent="0.25">
      <c r="A4" s="1509" t="s">
        <v>1542</v>
      </c>
      <c r="B4" s="1509"/>
      <c r="C4" s="1510"/>
      <c r="D4" s="1510"/>
      <c r="E4" s="1510"/>
      <c r="F4" s="1510"/>
      <c r="G4" s="1510"/>
      <c r="H4" s="1510"/>
      <c r="I4" s="1510"/>
      <c r="J4" s="1510"/>
      <c r="K4" s="1510"/>
      <c r="L4" s="1510"/>
      <c r="M4" s="1510"/>
      <c r="N4" s="1510"/>
      <c r="O4" s="1510"/>
      <c r="P4" s="1510"/>
    </row>
    <row r="5" spans="1:99" ht="18" customHeight="1" x14ac:dyDescent="0.25">
      <c r="D5" s="297"/>
      <c r="E5" s="297"/>
      <c r="F5" s="297"/>
      <c r="G5" s="297"/>
      <c r="H5" s="297"/>
      <c r="I5" s="297"/>
      <c r="J5" s="297"/>
      <c r="K5" s="297"/>
      <c r="L5" s="297"/>
      <c r="M5" s="297"/>
      <c r="N5" s="297"/>
      <c r="P5" s="297"/>
    </row>
    <row r="6" spans="1:99" s="298" customFormat="1" ht="15.75" customHeight="1" x14ac:dyDescent="0.25">
      <c r="A6" s="1511" t="s">
        <v>1</v>
      </c>
      <c r="B6" s="1512" t="s">
        <v>1</v>
      </c>
      <c r="C6" s="1511" t="s">
        <v>517</v>
      </c>
      <c r="D6" s="1511" t="s">
        <v>404</v>
      </c>
      <c r="E6" s="1511" t="s">
        <v>365</v>
      </c>
      <c r="F6" s="1511" t="s">
        <v>1522</v>
      </c>
      <c r="G6" s="1511" t="s">
        <v>323</v>
      </c>
      <c r="H6" s="1511" t="s">
        <v>90</v>
      </c>
      <c r="I6" s="1511" t="s">
        <v>324</v>
      </c>
      <c r="J6" s="1511" t="s">
        <v>366</v>
      </c>
      <c r="K6" s="1511" t="s">
        <v>367</v>
      </c>
      <c r="L6" s="1511" t="s">
        <v>25</v>
      </c>
      <c r="M6" s="1511" t="s">
        <v>26</v>
      </c>
      <c r="N6" s="1511" t="s">
        <v>326</v>
      </c>
      <c r="O6" s="1511" t="s">
        <v>147</v>
      </c>
      <c r="P6" s="1511" t="s">
        <v>327</v>
      </c>
    </row>
    <row r="7" spans="1:99" s="298" customFormat="1" ht="38.25" customHeight="1" x14ac:dyDescent="0.25">
      <c r="A7" s="1511"/>
      <c r="B7" s="1513"/>
      <c r="C7" s="1511"/>
      <c r="D7" s="1511"/>
      <c r="E7" s="1511"/>
      <c r="F7" s="1511"/>
      <c r="G7" s="1511"/>
      <c r="H7" s="1511"/>
      <c r="I7" s="1511"/>
      <c r="J7" s="1511"/>
      <c r="K7" s="1511"/>
      <c r="L7" s="1511"/>
      <c r="M7" s="1511"/>
      <c r="N7" s="1511"/>
      <c r="O7" s="1511"/>
      <c r="P7" s="1511"/>
    </row>
    <row r="8" spans="1:99" s="300" customFormat="1" x14ac:dyDescent="0.25">
      <c r="A8" s="299" t="s">
        <v>409</v>
      </c>
      <c r="B8" s="315" t="s">
        <v>409</v>
      </c>
      <c r="C8" s="316" t="s">
        <v>649</v>
      </c>
      <c r="D8" s="773">
        <f>SUM(E8:P8)</f>
        <v>1368120</v>
      </c>
      <c r="E8" s="773">
        <f>INT(SUM(E9,E10,E16,E22,E23,E24))</f>
        <v>58431</v>
      </c>
      <c r="F8" s="773">
        <f t="shared" ref="F8:P8" si="0">INT(SUM(F9,F10,F16,F22,F23,F24))</f>
        <v>25710</v>
      </c>
      <c r="G8" s="773">
        <f t="shared" si="0"/>
        <v>58385</v>
      </c>
      <c r="H8" s="773">
        <f t="shared" si="0"/>
        <v>51617</v>
      </c>
      <c r="I8" s="773">
        <f t="shared" si="0"/>
        <v>62473</v>
      </c>
      <c r="J8" s="773">
        <f t="shared" si="0"/>
        <v>613163</v>
      </c>
      <c r="K8" s="773">
        <f t="shared" si="0"/>
        <v>78911</v>
      </c>
      <c r="L8" s="773">
        <f t="shared" si="0"/>
        <v>68305</v>
      </c>
      <c r="M8" s="773">
        <f t="shared" si="0"/>
        <v>43010</v>
      </c>
      <c r="N8" s="773">
        <f t="shared" si="0"/>
        <v>54307</v>
      </c>
      <c r="O8" s="773">
        <f t="shared" si="0"/>
        <v>204280</v>
      </c>
      <c r="P8" s="773">
        <f t="shared" si="0"/>
        <v>49528</v>
      </c>
    </row>
    <row r="9" spans="1:99" x14ac:dyDescent="0.25">
      <c r="A9" s="301">
        <v>1</v>
      </c>
      <c r="B9" s="302" t="s">
        <v>650</v>
      </c>
      <c r="C9" s="303" t="s">
        <v>651</v>
      </c>
      <c r="D9" s="774">
        <f>SUM(E9:P9)</f>
        <v>506753</v>
      </c>
      <c r="E9" s="1220">
        <v>0</v>
      </c>
      <c r="F9" s="1220"/>
      <c r="G9" s="1220">
        <v>0</v>
      </c>
      <c r="H9" s="1220"/>
      <c r="I9" s="1220">
        <v>0</v>
      </c>
      <c r="J9" s="1220">
        <v>388461</v>
      </c>
      <c r="K9" s="1220"/>
      <c r="L9" s="1220">
        <v>0</v>
      </c>
      <c r="M9" s="1220">
        <v>3178</v>
      </c>
      <c r="N9" s="1220">
        <v>0</v>
      </c>
      <c r="O9" s="1220">
        <v>115114</v>
      </c>
      <c r="P9" s="1220"/>
    </row>
    <row r="10" spans="1:99" x14ac:dyDescent="0.25">
      <c r="A10" s="301" t="s">
        <v>369</v>
      </c>
      <c r="B10" s="302" t="s">
        <v>368</v>
      </c>
      <c r="C10" s="303" t="s">
        <v>652</v>
      </c>
      <c r="D10" s="774">
        <f>SUM(E10:P10)</f>
        <v>130875</v>
      </c>
      <c r="E10" s="774">
        <f>SUM(E11:E15)</f>
        <v>8759</v>
      </c>
      <c r="F10" s="774">
        <f t="shared" ref="F10:P10" si="1">SUM(F11:F15)</f>
        <v>6268</v>
      </c>
      <c r="G10" s="774">
        <f t="shared" si="1"/>
        <v>7809</v>
      </c>
      <c r="H10" s="774">
        <f t="shared" si="1"/>
        <v>6755</v>
      </c>
      <c r="I10" s="774">
        <f t="shared" si="1"/>
        <v>9970</v>
      </c>
      <c r="J10" s="774">
        <f t="shared" si="1"/>
        <v>20275</v>
      </c>
      <c r="K10" s="774">
        <f t="shared" si="1"/>
        <v>12827</v>
      </c>
      <c r="L10" s="774">
        <f t="shared" si="1"/>
        <v>11345</v>
      </c>
      <c r="M10" s="774">
        <f t="shared" si="1"/>
        <v>13062</v>
      </c>
      <c r="N10" s="774">
        <f t="shared" si="1"/>
        <v>9245</v>
      </c>
      <c r="O10" s="774">
        <f t="shared" si="1"/>
        <v>16374</v>
      </c>
      <c r="P10" s="774">
        <f t="shared" si="1"/>
        <v>8186</v>
      </c>
    </row>
    <row r="11" spans="1:99" s="314" customFormat="1" x14ac:dyDescent="0.25">
      <c r="A11" s="311"/>
      <c r="B11" s="312" t="s">
        <v>434</v>
      </c>
      <c r="C11" s="587" t="s">
        <v>913</v>
      </c>
      <c r="D11" s="775">
        <f t="shared" ref="D11:D34" si="2">SUM(E11:P11)</f>
        <v>103205</v>
      </c>
      <c r="E11" s="775">
        <v>8359</v>
      </c>
      <c r="F11" s="775">
        <v>5568</v>
      </c>
      <c r="G11" s="775">
        <v>7369</v>
      </c>
      <c r="H11" s="775">
        <v>6665</v>
      </c>
      <c r="I11" s="775">
        <v>8320</v>
      </c>
      <c r="J11" s="775">
        <v>9155</v>
      </c>
      <c r="K11" s="775">
        <v>11107</v>
      </c>
      <c r="L11" s="775">
        <v>9395</v>
      </c>
      <c r="M11" s="775">
        <v>10132</v>
      </c>
      <c r="N11" s="775">
        <v>8015</v>
      </c>
      <c r="O11" s="775">
        <v>11714</v>
      </c>
      <c r="P11" s="775">
        <v>7406</v>
      </c>
    </row>
    <row r="12" spans="1:99" s="314" customFormat="1" x14ac:dyDescent="0.25">
      <c r="A12" s="311"/>
      <c r="B12" s="312" t="s">
        <v>435</v>
      </c>
      <c r="C12" s="772" t="s">
        <v>1198</v>
      </c>
      <c r="D12" s="775">
        <f t="shared" si="2"/>
        <v>6220</v>
      </c>
      <c r="E12" s="775">
        <v>0</v>
      </c>
      <c r="F12" s="775">
        <v>0</v>
      </c>
      <c r="G12" s="775">
        <v>170</v>
      </c>
      <c r="H12" s="775">
        <v>0</v>
      </c>
      <c r="I12" s="775">
        <v>60</v>
      </c>
      <c r="J12" s="775">
        <v>3450</v>
      </c>
      <c r="K12" s="775">
        <v>720</v>
      </c>
      <c r="L12" s="775">
        <v>670</v>
      </c>
      <c r="M12" s="775">
        <v>300</v>
      </c>
      <c r="N12" s="775">
        <v>750</v>
      </c>
      <c r="O12" s="775">
        <v>0</v>
      </c>
      <c r="P12" s="775">
        <v>100</v>
      </c>
    </row>
    <row r="13" spans="1:99" s="314" customFormat="1" x14ac:dyDescent="0.25">
      <c r="A13" s="311" t="s">
        <v>368</v>
      </c>
      <c r="B13" s="312" t="s">
        <v>436</v>
      </c>
      <c r="C13" s="772" t="s">
        <v>964</v>
      </c>
      <c r="D13" s="775">
        <f t="shared" si="2"/>
        <v>4320</v>
      </c>
      <c r="E13" s="775">
        <v>340</v>
      </c>
      <c r="F13" s="775">
        <v>200</v>
      </c>
      <c r="G13" s="775">
        <v>140</v>
      </c>
      <c r="H13" s="775">
        <v>0</v>
      </c>
      <c r="I13" s="775">
        <v>270</v>
      </c>
      <c r="J13" s="775">
        <v>1630</v>
      </c>
      <c r="K13" s="775">
        <v>240</v>
      </c>
      <c r="L13" s="775">
        <v>690</v>
      </c>
      <c r="M13" s="775">
        <v>610</v>
      </c>
      <c r="N13" s="775">
        <v>40</v>
      </c>
      <c r="O13" s="775">
        <v>0</v>
      </c>
      <c r="P13" s="775">
        <v>160</v>
      </c>
    </row>
    <row r="14" spans="1:99" s="314" customFormat="1" x14ac:dyDescent="0.25">
      <c r="A14" s="311"/>
      <c r="B14" s="312" t="s">
        <v>437</v>
      </c>
      <c r="C14" s="772" t="s">
        <v>1204</v>
      </c>
      <c r="D14" s="775">
        <f t="shared" si="2"/>
        <v>17090</v>
      </c>
      <c r="E14" s="775">
        <v>60</v>
      </c>
      <c r="F14" s="775">
        <v>500</v>
      </c>
      <c r="G14" s="775">
        <v>90</v>
      </c>
      <c r="H14" s="775">
        <v>90</v>
      </c>
      <c r="I14" s="775">
        <v>1320</v>
      </c>
      <c r="J14" s="775">
        <v>6040</v>
      </c>
      <c r="K14" s="775">
        <v>760</v>
      </c>
      <c r="L14" s="775">
        <v>590</v>
      </c>
      <c r="M14" s="775">
        <v>2020</v>
      </c>
      <c r="N14" s="775">
        <v>440</v>
      </c>
      <c r="O14" s="775">
        <v>4660</v>
      </c>
      <c r="P14" s="775">
        <v>520</v>
      </c>
    </row>
    <row r="15" spans="1:99" s="314" customFormat="1" x14ac:dyDescent="0.25">
      <c r="A15" s="311"/>
      <c r="B15" s="312" t="s">
        <v>1544</v>
      </c>
      <c r="C15" s="772" t="s">
        <v>1481</v>
      </c>
      <c r="D15" s="775">
        <f t="shared" si="2"/>
        <v>40</v>
      </c>
      <c r="E15" s="775">
        <f>'10%TK tăng thêm so với năm 2020'!I8</f>
        <v>0</v>
      </c>
      <c r="F15" s="775">
        <f>'10%TK tăng thêm so với năm 2020'!I9</f>
        <v>0</v>
      </c>
      <c r="G15" s="775">
        <f>'10%TK tăng thêm so với năm 2020'!I10</f>
        <v>40</v>
      </c>
      <c r="H15" s="775">
        <f>'10%TK tăng thêm so với năm 2020'!I11</f>
        <v>0</v>
      </c>
      <c r="I15" s="775">
        <f>'10%TK tăng thêm so với năm 2020'!I12</f>
        <v>0</v>
      </c>
      <c r="J15" s="775">
        <f>'10%TK tăng thêm so với năm 2020'!I13</f>
        <v>0</v>
      </c>
      <c r="K15" s="775">
        <f>'10%TK tăng thêm so với năm 2020'!I14</f>
        <v>0</v>
      </c>
      <c r="L15" s="775">
        <f>'10%TK tăng thêm so với năm 2020'!I15</f>
        <v>0</v>
      </c>
      <c r="M15" s="775">
        <f>'10%TK tăng thêm so với năm 2020'!I16</f>
        <v>0</v>
      </c>
      <c r="N15" s="775">
        <f>'10%TK tăng thêm so với năm 2020'!I17</f>
        <v>0</v>
      </c>
      <c r="O15" s="775">
        <f>'10%TK tăng thêm so với năm 2020'!I18</f>
        <v>0</v>
      </c>
      <c r="P15" s="775">
        <f>'10%TK tăng thêm so với năm 2020'!I19</f>
        <v>0</v>
      </c>
    </row>
    <row r="16" spans="1:99" s="314" customFormat="1" x14ac:dyDescent="0.25">
      <c r="A16" s="311"/>
      <c r="B16" s="302" t="s">
        <v>369</v>
      </c>
      <c r="C16" s="303" t="s">
        <v>1484</v>
      </c>
      <c r="D16" s="774">
        <f t="shared" ref="D16:D21" si="3">SUM(E16:P16)</f>
        <v>368332.85</v>
      </c>
      <c r="E16" s="774">
        <f>SUM(E17:E21)</f>
        <v>1000</v>
      </c>
      <c r="F16" s="774">
        <f t="shared" ref="F16:P16" si="4">SUM(F17:F21)</f>
        <v>-1825</v>
      </c>
      <c r="G16" s="774">
        <f t="shared" si="4"/>
        <v>9627.8499999999985</v>
      </c>
      <c r="H16" s="774">
        <f t="shared" si="4"/>
        <v>-2880</v>
      </c>
      <c r="I16" s="774">
        <f t="shared" si="4"/>
        <v>23185</v>
      </c>
      <c r="J16" s="774">
        <f t="shared" si="4"/>
        <v>202195</v>
      </c>
      <c r="K16" s="774">
        <f t="shared" si="4"/>
        <v>18370</v>
      </c>
      <c r="L16" s="774">
        <f t="shared" si="4"/>
        <v>16505</v>
      </c>
      <c r="M16" s="774">
        <f t="shared" si="4"/>
        <v>15365</v>
      </c>
      <c r="N16" s="774">
        <f t="shared" si="4"/>
        <v>7040</v>
      </c>
      <c r="O16" s="774">
        <f t="shared" si="4"/>
        <v>70555</v>
      </c>
      <c r="P16" s="774">
        <f t="shared" si="4"/>
        <v>9195</v>
      </c>
    </row>
    <row r="17" spans="1:16" s="314" customFormat="1" ht="30" x14ac:dyDescent="0.25">
      <c r="A17" s="311"/>
      <c r="B17" s="312" t="s">
        <v>434</v>
      </c>
      <c r="C17" s="1320" t="s">
        <v>1482</v>
      </c>
      <c r="D17" s="775">
        <f t="shared" si="3"/>
        <v>4147.8499999999995</v>
      </c>
      <c r="E17" s="775">
        <f>'Thu NSH'!T41</f>
        <v>0</v>
      </c>
      <c r="F17" s="775">
        <f>'Thu NSH'!AF41</f>
        <v>0</v>
      </c>
      <c r="G17" s="775">
        <f>'Thu NSH'!AR41</f>
        <v>4147.8499999999995</v>
      </c>
      <c r="H17" s="775">
        <f>'Thu NSH'!BD41</f>
        <v>0</v>
      </c>
      <c r="I17" s="775">
        <f>'Thu NSH'!BP41</f>
        <v>0</v>
      </c>
      <c r="J17" s="775">
        <f>'Thu NSH'!CB41</f>
        <v>0</v>
      </c>
      <c r="K17" s="775">
        <f>'Thu NSH'!CN41</f>
        <v>0</v>
      </c>
      <c r="L17" s="775">
        <f>'Thu NSH'!CZ41</f>
        <v>0</v>
      </c>
      <c r="M17" s="775">
        <f>'Thu NSH'!DL41</f>
        <v>0</v>
      </c>
      <c r="N17" s="775"/>
      <c r="O17" s="775">
        <f>'Thu NSH'!EJ41</f>
        <v>0</v>
      </c>
      <c r="P17" s="775">
        <f>'Thu NSH'!EV41</f>
        <v>0</v>
      </c>
    </row>
    <row r="18" spans="1:16" s="314" customFormat="1" x14ac:dyDescent="0.25">
      <c r="A18" s="311" t="s">
        <v>370</v>
      </c>
      <c r="B18" s="312" t="s">
        <v>435</v>
      </c>
      <c r="C18" s="313" t="s">
        <v>1199</v>
      </c>
      <c r="D18" s="775">
        <f t="shared" si="3"/>
        <v>94035</v>
      </c>
      <c r="E18" s="775">
        <v>-1600</v>
      </c>
      <c r="F18" s="775">
        <v>1025</v>
      </c>
      <c r="G18" s="775">
        <v>855</v>
      </c>
      <c r="H18" s="775">
        <v>-485</v>
      </c>
      <c r="I18" s="775">
        <v>325</v>
      </c>
      <c r="J18" s="775">
        <v>74330</v>
      </c>
      <c r="K18" s="775">
        <v>6360</v>
      </c>
      <c r="L18" s="775">
        <v>4510</v>
      </c>
      <c r="M18" s="775">
        <v>2015</v>
      </c>
      <c r="N18" s="775">
        <v>8180</v>
      </c>
      <c r="O18" s="775">
        <v>-1980</v>
      </c>
      <c r="P18" s="775">
        <v>500</v>
      </c>
    </row>
    <row r="19" spans="1:16" x14ac:dyDescent="0.25">
      <c r="A19" s="301"/>
      <c r="B19" s="312" t="s">
        <v>436</v>
      </c>
      <c r="C19" s="313" t="s">
        <v>1200</v>
      </c>
      <c r="D19" s="775">
        <f t="shared" si="3"/>
        <v>66615</v>
      </c>
      <c r="E19" s="775">
        <v>5700</v>
      </c>
      <c r="F19" s="775">
        <v>3465</v>
      </c>
      <c r="G19" s="775">
        <v>2370</v>
      </c>
      <c r="H19" s="775">
        <v>-685</v>
      </c>
      <c r="I19" s="775">
        <v>4575</v>
      </c>
      <c r="J19" s="775">
        <v>27175</v>
      </c>
      <c r="K19" s="775">
        <v>4125</v>
      </c>
      <c r="L19" s="775">
        <v>11515</v>
      </c>
      <c r="M19" s="775">
        <v>10175</v>
      </c>
      <c r="N19" s="775">
        <v>685</v>
      </c>
      <c r="O19" s="775">
        <v>-5155</v>
      </c>
      <c r="P19" s="775">
        <v>2670</v>
      </c>
    </row>
    <row r="20" spans="1:16" x14ac:dyDescent="0.25">
      <c r="A20" s="301"/>
      <c r="B20" s="312" t="s">
        <v>437</v>
      </c>
      <c r="C20" s="313" t="s">
        <v>965</v>
      </c>
      <c r="D20" s="775">
        <f t="shared" si="3"/>
        <v>285523</v>
      </c>
      <c r="E20" s="775">
        <v>1065</v>
      </c>
      <c r="F20" s="775">
        <v>8335</v>
      </c>
      <c r="G20" s="775">
        <v>1578</v>
      </c>
      <c r="H20" s="775">
        <v>1510</v>
      </c>
      <c r="I20" s="775">
        <v>22020</v>
      </c>
      <c r="J20" s="775">
        <v>100690</v>
      </c>
      <c r="K20" s="775">
        <v>12825</v>
      </c>
      <c r="L20" s="775">
        <v>9955</v>
      </c>
      <c r="M20" s="775">
        <v>33700</v>
      </c>
      <c r="N20" s="775">
        <v>7420</v>
      </c>
      <c r="O20" s="775">
        <v>77690</v>
      </c>
      <c r="P20" s="775">
        <v>8735</v>
      </c>
    </row>
    <row r="21" spans="1:16" x14ac:dyDescent="0.25">
      <c r="A21" s="301" t="s">
        <v>371</v>
      </c>
      <c r="B21" s="312" t="s">
        <v>1544</v>
      </c>
      <c r="C21" s="313" t="s">
        <v>1483</v>
      </c>
      <c r="D21" s="775">
        <f t="shared" si="3"/>
        <v>-81988</v>
      </c>
      <c r="E21" s="775">
        <f>'Thu NSH'!V43</f>
        <v>-4165</v>
      </c>
      <c r="F21" s="775">
        <f>'Thu NSH'!AH43</f>
        <v>-14650</v>
      </c>
      <c r="G21" s="775">
        <f>INT('Thu NSH'!AT43)</f>
        <v>677</v>
      </c>
      <c r="H21" s="775">
        <f>'Thu NSH'!BF43</f>
        <v>-3220</v>
      </c>
      <c r="I21" s="775">
        <f>'Thu NSH'!BR43</f>
        <v>-3735</v>
      </c>
      <c r="J21" s="775">
        <f>'Thu NSH'!CD43+45215</f>
        <v>0</v>
      </c>
      <c r="K21" s="775">
        <f>'Thu NSH'!CP43</f>
        <v>-4940</v>
      </c>
      <c r="L21" s="775">
        <f>'Thu NSH'!DB43</f>
        <v>-9475</v>
      </c>
      <c r="M21" s="775">
        <f>'Thu NSH'!DN43</f>
        <v>-30525</v>
      </c>
      <c r="N21" s="775">
        <f>'Thu NSH'!DZ43</f>
        <v>-9245</v>
      </c>
      <c r="O21" s="775">
        <f>'Thu NSH'!EL43+13360</f>
        <v>0</v>
      </c>
      <c r="P21" s="775">
        <f>'Thu NSH'!EX43</f>
        <v>-2710</v>
      </c>
    </row>
    <row r="22" spans="1:16" s="300" customFormat="1" x14ac:dyDescent="0.25">
      <c r="A22" s="310"/>
      <c r="B22" s="302" t="s">
        <v>370</v>
      </c>
      <c r="C22" s="303" t="s">
        <v>914</v>
      </c>
      <c r="D22" s="774">
        <f t="shared" si="2"/>
        <v>14873</v>
      </c>
      <c r="E22" s="774">
        <v>600</v>
      </c>
      <c r="F22" s="774">
        <v>1460</v>
      </c>
      <c r="G22" s="774">
        <v>880</v>
      </c>
      <c r="H22" s="774">
        <v>752</v>
      </c>
      <c r="I22" s="774">
        <v>560</v>
      </c>
      <c r="J22" s="776">
        <v>1818</v>
      </c>
      <c r="K22" s="774">
        <f>1646+549</f>
        <v>2195</v>
      </c>
      <c r="L22" s="774">
        <v>980</v>
      </c>
      <c r="M22" s="774">
        <v>1087</v>
      </c>
      <c r="N22" s="774">
        <v>960</v>
      </c>
      <c r="O22" s="774">
        <v>2003</v>
      </c>
      <c r="P22" s="774">
        <v>1578</v>
      </c>
    </row>
    <row r="23" spans="1:16" x14ac:dyDescent="0.25">
      <c r="A23" s="301"/>
      <c r="B23" s="302" t="s">
        <v>371</v>
      </c>
      <c r="C23" s="303" t="s">
        <v>1485</v>
      </c>
      <c r="D23" s="774">
        <f t="shared" si="2"/>
        <v>342197</v>
      </c>
      <c r="E23" s="774">
        <v>47478</v>
      </c>
      <c r="F23" s="774">
        <v>19404</v>
      </c>
      <c r="G23" s="774">
        <f>39483</f>
        <v>39483</v>
      </c>
      <c r="H23" s="774">
        <v>46681</v>
      </c>
      <c r="I23" s="774">
        <v>28347</v>
      </c>
      <c r="J23" s="774">
        <v>0</v>
      </c>
      <c r="K23" s="774">
        <v>45011</v>
      </c>
      <c r="L23" s="774">
        <v>39053</v>
      </c>
      <c r="M23" s="774">
        <v>9873</v>
      </c>
      <c r="N23" s="774">
        <v>36666</v>
      </c>
      <c r="O23" s="774">
        <v>0</v>
      </c>
      <c r="P23" s="774">
        <v>30201</v>
      </c>
    </row>
    <row r="24" spans="1:16" x14ac:dyDescent="0.25">
      <c r="A24" s="301"/>
      <c r="B24" s="302" t="s">
        <v>372</v>
      </c>
      <c r="C24" s="1221" t="s">
        <v>1493</v>
      </c>
      <c r="D24" s="774">
        <f t="shared" si="2"/>
        <v>5090</v>
      </c>
      <c r="E24" s="1222">
        <v>594</v>
      </c>
      <c r="F24" s="1222">
        <v>403</v>
      </c>
      <c r="G24" s="1222">
        <v>586</v>
      </c>
      <c r="H24" s="1222">
        <v>309</v>
      </c>
      <c r="I24" s="1222">
        <v>411</v>
      </c>
      <c r="J24" s="1222">
        <v>414</v>
      </c>
      <c r="K24" s="1222">
        <v>508</v>
      </c>
      <c r="L24" s="1222">
        <v>422</v>
      </c>
      <c r="M24" s="1222">
        <v>445</v>
      </c>
      <c r="N24" s="1222">
        <v>396</v>
      </c>
      <c r="O24" s="1222">
        <v>234</v>
      </c>
      <c r="P24" s="1222">
        <v>368</v>
      </c>
    </row>
    <row r="25" spans="1:16" x14ac:dyDescent="0.25">
      <c r="A25" s="301"/>
      <c r="B25" s="304" t="s">
        <v>421</v>
      </c>
      <c r="C25" s="305" t="s">
        <v>653</v>
      </c>
      <c r="D25" s="777">
        <f>SUM(E25:P25)</f>
        <v>836788</v>
      </c>
      <c r="E25" s="777">
        <f>INT(SUM(E27,E28,E29,E30))</f>
        <v>70158</v>
      </c>
      <c r="F25" s="777">
        <f t="shared" ref="F25:P25" si="5">INT(SUM(F27,F28,F29,F30))</f>
        <v>44562</v>
      </c>
      <c r="G25" s="777">
        <f t="shared" si="5"/>
        <v>60577</v>
      </c>
      <c r="H25" s="777">
        <f t="shared" si="5"/>
        <v>62486</v>
      </c>
      <c r="I25" s="777">
        <f t="shared" si="5"/>
        <v>75117</v>
      </c>
      <c r="J25" s="777">
        <f>INT(SUM(J27,J28,J29,J30))</f>
        <v>75997</v>
      </c>
      <c r="K25" s="777">
        <f t="shared" si="5"/>
        <v>95016</v>
      </c>
      <c r="L25" s="777">
        <f t="shared" si="5"/>
        <v>87157</v>
      </c>
      <c r="M25" s="777">
        <f t="shared" si="5"/>
        <v>79318</v>
      </c>
      <c r="N25" s="777">
        <f t="shared" si="5"/>
        <v>71868</v>
      </c>
      <c r="O25" s="777">
        <f t="shared" si="5"/>
        <v>47924</v>
      </c>
      <c r="P25" s="777">
        <f t="shared" si="5"/>
        <v>66608</v>
      </c>
    </row>
    <row r="26" spans="1:16" x14ac:dyDescent="0.25">
      <c r="A26" s="301"/>
      <c r="B26" s="302"/>
      <c r="C26" s="306" t="s">
        <v>311</v>
      </c>
      <c r="D26" s="774">
        <f t="shared" si="2"/>
        <v>0</v>
      </c>
      <c r="E26" s="774"/>
      <c r="F26" s="774"/>
      <c r="G26" s="774"/>
      <c r="H26" s="774"/>
      <c r="I26" s="774"/>
      <c r="J26" s="774"/>
      <c r="K26" s="774"/>
      <c r="L26" s="774"/>
      <c r="M26" s="774"/>
      <c r="N26" s="774"/>
      <c r="O26" s="774"/>
      <c r="P26" s="774"/>
    </row>
    <row r="27" spans="1:16" x14ac:dyDescent="0.25">
      <c r="A27" s="301"/>
      <c r="B27" s="302" t="s">
        <v>650</v>
      </c>
      <c r="C27" s="307" t="s">
        <v>1201</v>
      </c>
      <c r="D27" s="774">
        <f t="shared" si="2"/>
        <v>219227</v>
      </c>
      <c r="E27" s="774">
        <f>8540/6*12+148+1159+260</f>
        <v>18647</v>
      </c>
      <c r="F27" s="774">
        <f>5440/6*12+724+90+800</f>
        <v>12494</v>
      </c>
      <c r="G27" s="774">
        <f>(6982)/6*12+919+310+1000</f>
        <v>16193</v>
      </c>
      <c r="H27" s="774">
        <f>7005/6*12+1161+380</f>
        <v>15551</v>
      </c>
      <c r="I27" s="774">
        <f>9174/6*12+1315+400</f>
        <v>20063</v>
      </c>
      <c r="J27" s="774">
        <f>9027/6*12+138+1407+170</f>
        <v>19769</v>
      </c>
      <c r="K27" s="774">
        <f>10734/6*12+1776+551+1753+520</f>
        <v>26068</v>
      </c>
      <c r="L27" s="774">
        <f>9774/6*12+1278+400</f>
        <v>21226</v>
      </c>
      <c r="M27" s="774">
        <f>9600/6*12+1376+400</f>
        <v>20976</v>
      </c>
      <c r="N27" s="774">
        <f>8657/6*12+1254+380</f>
        <v>18948</v>
      </c>
      <c r="O27" s="774">
        <f>(5231)/6*12+138+892+70</f>
        <v>11562</v>
      </c>
      <c r="P27" s="774">
        <f>8047/6*12+1256+380</f>
        <v>17730</v>
      </c>
    </row>
    <row r="28" spans="1:16" x14ac:dyDescent="0.25">
      <c r="A28" s="301" t="s">
        <v>434</v>
      </c>
      <c r="B28" s="308">
        <v>2</v>
      </c>
      <c r="C28" s="307" t="s">
        <v>1202</v>
      </c>
      <c r="D28" s="774">
        <f t="shared" si="2"/>
        <v>198972</v>
      </c>
      <c r="E28" s="774">
        <f>INT(16002.6038530633)</f>
        <v>16002</v>
      </c>
      <c r="F28" s="774">
        <f>INT(10605.77160022)</f>
        <v>10605</v>
      </c>
      <c r="G28" s="774">
        <f>INT(14343)</f>
        <v>14343</v>
      </c>
      <c r="H28" s="774">
        <f>INT(14601.9862810042)</f>
        <v>14601</v>
      </c>
      <c r="I28" s="774">
        <f>INT(17925.7151866154)</f>
        <v>17925</v>
      </c>
      <c r="J28" s="774">
        <f>INT(17546)</f>
        <v>17546</v>
      </c>
      <c r="K28" s="774">
        <v>26080</v>
      </c>
      <c r="L28" s="774">
        <f>INT(20545.38308544)</f>
        <v>20545</v>
      </c>
      <c r="M28" s="774">
        <f>INT(18071.65919298)</f>
        <v>18071</v>
      </c>
      <c r="N28" s="774">
        <f>INT(16514.2876185789)</f>
        <v>16514</v>
      </c>
      <c r="O28" s="774">
        <f>INT(11361.6998516133)</f>
        <v>11361</v>
      </c>
      <c r="P28" s="774">
        <f>INT(15379.3100384999)</f>
        <v>15379</v>
      </c>
    </row>
    <row r="29" spans="1:16" x14ac:dyDescent="0.25">
      <c r="B29" s="308">
        <v>3</v>
      </c>
      <c r="C29" s="307" t="s">
        <v>1203</v>
      </c>
      <c r="D29" s="774">
        <f t="shared" si="2"/>
        <v>317649</v>
      </c>
      <c r="E29" s="774">
        <f>26253+11*100</f>
        <v>27353</v>
      </c>
      <c r="F29" s="774">
        <f>16158+7*100</f>
        <v>16858</v>
      </c>
      <c r="G29" s="774">
        <f>21499+INT(9*100)</f>
        <v>22399</v>
      </c>
      <c r="H29" s="774">
        <f>23176+12*100</f>
        <v>24376</v>
      </c>
      <c r="I29" s="774">
        <f>26509+13*100</f>
        <v>27809</v>
      </c>
      <c r="J29" s="774">
        <f>27455+15*100</f>
        <v>28955</v>
      </c>
      <c r="K29" s="774">
        <f>29395+18*100</f>
        <v>31195</v>
      </c>
      <c r="L29" s="774">
        <f>34287+13*100</f>
        <v>35587</v>
      </c>
      <c r="M29" s="774">
        <f>29565+13*100</f>
        <v>30865</v>
      </c>
      <c r="N29" s="774">
        <f>26494+12*100</f>
        <v>27694</v>
      </c>
      <c r="O29" s="774">
        <f>17965+9*100</f>
        <v>18865</v>
      </c>
      <c r="P29" s="774">
        <f>24493+12*100</f>
        <v>25693</v>
      </c>
    </row>
    <row r="30" spans="1:16" x14ac:dyDescent="0.25">
      <c r="B30" s="1223">
        <v>4</v>
      </c>
      <c r="C30" s="1224" t="s">
        <v>1494</v>
      </c>
      <c r="D30" s="1225">
        <f>SUM(E30:P30)</f>
        <v>100940</v>
      </c>
      <c r="E30" s="1220">
        <f>INT(SUM(E31:E32))</f>
        <v>8156</v>
      </c>
      <c r="F30" s="1220">
        <f t="shared" ref="F30:P30" si="6">INT(SUM(F31:F32))</f>
        <v>4605</v>
      </c>
      <c r="G30" s="1220">
        <f t="shared" si="6"/>
        <v>7642</v>
      </c>
      <c r="H30" s="1220">
        <f t="shared" si="6"/>
        <v>7958</v>
      </c>
      <c r="I30" s="1220">
        <f t="shared" si="6"/>
        <v>9320</v>
      </c>
      <c r="J30" s="1220">
        <f t="shared" si="6"/>
        <v>9727</v>
      </c>
      <c r="K30" s="1220">
        <f t="shared" si="6"/>
        <v>11673</v>
      </c>
      <c r="L30" s="1220">
        <f t="shared" si="6"/>
        <v>9799</v>
      </c>
      <c r="M30" s="1220">
        <f t="shared" si="6"/>
        <v>9406</v>
      </c>
      <c r="N30" s="1220">
        <f t="shared" si="6"/>
        <v>8712</v>
      </c>
      <c r="O30" s="1220">
        <f t="shared" si="6"/>
        <v>6136</v>
      </c>
      <c r="P30" s="1220">
        <f t="shared" si="6"/>
        <v>7806</v>
      </c>
    </row>
    <row r="31" spans="1:16" x14ac:dyDescent="0.25">
      <c r="B31" s="1226" t="s">
        <v>1495</v>
      </c>
      <c r="C31" s="1227" t="s">
        <v>1496</v>
      </c>
      <c r="D31" s="1228">
        <f>SUM(E31:P31)</f>
        <v>55197</v>
      </c>
      <c r="E31" s="1229">
        <f>INT(4324+329)</f>
        <v>4653</v>
      </c>
      <c r="F31" s="1229">
        <f>INT(2695)</f>
        <v>2695</v>
      </c>
      <c r="G31" s="1229">
        <f>INT(3912)</f>
        <v>3912</v>
      </c>
      <c r="H31" s="1229">
        <f>INT(4000)</f>
        <v>4000</v>
      </c>
      <c r="I31" s="1229">
        <f>INT(4907)</f>
        <v>4907</v>
      </c>
      <c r="J31" s="1229">
        <f>INT(4906)</f>
        <v>4906</v>
      </c>
      <c r="K31" s="1229">
        <f>INT(6350)</f>
        <v>6350</v>
      </c>
      <c r="L31" s="1229">
        <f>INT(5523)</f>
        <v>5523</v>
      </c>
      <c r="M31" s="1229">
        <f>INT(5128+457)</f>
        <v>5585</v>
      </c>
      <c r="N31" s="1229">
        <f>INT(4660+322)</f>
        <v>4982</v>
      </c>
      <c r="O31" s="1229">
        <f>INT(3195+95)</f>
        <v>3290</v>
      </c>
      <c r="P31" s="1229">
        <f>INT(4299+95)</f>
        <v>4394</v>
      </c>
    </row>
    <row r="32" spans="1:16" x14ac:dyDescent="0.25">
      <c r="B32" s="1226" t="s">
        <v>1497</v>
      </c>
      <c r="C32" s="1227" t="s">
        <v>1498</v>
      </c>
      <c r="D32" s="1228">
        <f>SUM(E32:P32)</f>
        <v>45743</v>
      </c>
      <c r="E32" s="1230">
        <f>INT(77*3070000*12/1000000+77*3070000*23.5%*12/1000000)</f>
        <v>3503</v>
      </c>
      <c r="F32" s="1230">
        <f>INT(42*3070000*12/1000000+42*3070000*23.5%*12/1000000)</f>
        <v>1910</v>
      </c>
      <c r="G32" s="1230">
        <f>INT(82*3070000*12/1000000+82*3070000*23.5%*12/1000000)</f>
        <v>3730</v>
      </c>
      <c r="H32" s="1230">
        <f>INT(87*3070000*12/1000000+87*3070000*23.5%*12/1000000)</f>
        <v>3958</v>
      </c>
      <c r="I32" s="1230">
        <f>INT(97*3070000*12/1000000+97*3070000*23.5%*12/1000000)</f>
        <v>4413</v>
      </c>
      <c r="J32" s="1230">
        <f>INT(83*3920000*12/1000000+83*3920000*23.5%*12/1000000)</f>
        <v>4821</v>
      </c>
      <c r="K32" s="1230">
        <f>INT(117*3070000*12/1000000+117*3070000*23.5%*12/1000000)</f>
        <v>5323</v>
      </c>
      <c r="L32" s="1230">
        <f>INT(94*3070000*12/1000000+94*3070000*23.5%*12/1000000)</f>
        <v>4276</v>
      </c>
      <c r="M32" s="1230">
        <f>INT(84*3070000*12/1000000+84*3070000*23.5%*12/1000000)</f>
        <v>3821</v>
      </c>
      <c r="N32" s="1230">
        <f>INT(82*3070000*12/1000000+82*3070000*23.5%*12/1000000)</f>
        <v>3730</v>
      </c>
      <c r="O32" s="1230">
        <f>INT(49*3920000*12/1000000+49*3920000*23.5%*12/1000000)</f>
        <v>2846</v>
      </c>
      <c r="P32" s="1230">
        <f>INT(75*3070000*12/1000000+75*3070000*23.5%*12/1000000)</f>
        <v>3412</v>
      </c>
    </row>
    <row r="33" spans="2:16" x14ac:dyDescent="0.25">
      <c r="B33" s="304" t="s">
        <v>449</v>
      </c>
      <c r="C33" s="309" t="s">
        <v>654</v>
      </c>
      <c r="D33" s="777">
        <f t="shared" si="2"/>
        <v>531332</v>
      </c>
      <c r="E33" s="777">
        <f>INT(E8-E25)</f>
        <v>-11727</v>
      </c>
      <c r="F33" s="777">
        <f t="shared" ref="F33:P33" si="7">INT(F8-F25)</f>
        <v>-18852</v>
      </c>
      <c r="G33" s="777">
        <f t="shared" si="7"/>
        <v>-2192</v>
      </c>
      <c r="H33" s="777">
        <f t="shared" si="7"/>
        <v>-10869</v>
      </c>
      <c r="I33" s="777">
        <f t="shared" si="7"/>
        <v>-12644</v>
      </c>
      <c r="J33" s="777">
        <f>INT(J8-J25)</f>
        <v>537166</v>
      </c>
      <c r="K33" s="777">
        <f t="shared" si="7"/>
        <v>-16105</v>
      </c>
      <c r="L33" s="777">
        <f t="shared" si="7"/>
        <v>-18852</v>
      </c>
      <c r="M33" s="777">
        <f t="shared" si="7"/>
        <v>-36308</v>
      </c>
      <c r="N33" s="777">
        <f t="shared" si="7"/>
        <v>-17561</v>
      </c>
      <c r="O33" s="777">
        <f t="shared" si="7"/>
        <v>156356</v>
      </c>
      <c r="P33" s="777">
        <f t="shared" si="7"/>
        <v>-17080</v>
      </c>
    </row>
    <row r="34" spans="2:16" x14ac:dyDescent="0.25">
      <c r="B34" s="302" t="s">
        <v>650</v>
      </c>
      <c r="C34" s="306" t="s">
        <v>656</v>
      </c>
      <c r="D34" s="774">
        <f t="shared" si="2"/>
        <v>-162190</v>
      </c>
      <c r="E34" s="774">
        <f>INT(IF(E33&lt;0,E33,0))</f>
        <v>-11727</v>
      </c>
      <c r="F34" s="774">
        <f t="shared" ref="F34:L34" si="8">INT(IF(F33&lt;0,F33,0))</f>
        <v>-18852</v>
      </c>
      <c r="G34" s="774">
        <f t="shared" si="8"/>
        <v>-2192</v>
      </c>
      <c r="H34" s="774">
        <f t="shared" si="8"/>
        <v>-10869</v>
      </c>
      <c r="I34" s="774">
        <f t="shared" si="8"/>
        <v>-12644</v>
      </c>
      <c r="J34" s="774">
        <f t="shared" si="8"/>
        <v>0</v>
      </c>
      <c r="K34" s="774">
        <f t="shared" si="8"/>
        <v>-16105</v>
      </c>
      <c r="L34" s="774">
        <f t="shared" si="8"/>
        <v>-18852</v>
      </c>
      <c r="M34" s="774">
        <f>IF(M33&lt;0,M33,0)</f>
        <v>-36308</v>
      </c>
      <c r="N34" s="774">
        <f>INT(IF(N33&lt;0,N33,0))</f>
        <v>-17561</v>
      </c>
      <c r="O34" s="774">
        <f>INT(IF(O33&lt;0,O33,0))</f>
        <v>0</v>
      </c>
      <c r="P34" s="774">
        <f>INT(IF(P33&lt;0,P33,0))</f>
        <v>-17080</v>
      </c>
    </row>
    <row r="35" spans="2:16" x14ac:dyDescent="0.25">
      <c r="B35" s="302" t="s">
        <v>368</v>
      </c>
      <c r="C35" s="306" t="s">
        <v>655</v>
      </c>
      <c r="D35" s="774">
        <f>SUM(E35:P35)</f>
        <v>693522</v>
      </c>
      <c r="E35" s="774">
        <f>IF(E33&gt;0,E33,0)</f>
        <v>0</v>
      </c>
      <c r="F35" s="774">
        <f t="shared" ref="F35:P35" si="9">IF(F33&gt;0,F33,0)</f>
        <v>0</v>
      </c>
      <c r="G35" s="774">
        <f>IF(G33&gt;0,G33,0)</f>
        <v>0</v>
      </c>
      <c r="H35" s="774">
        <f t="shared" si="9"/>
        <v>0</v>
      </c>
      <c r="I35" s="774">
        <f t="shared" si="9"/>
        <v>0</v>
      </c>
      <c r="J35" s="774">
        <f>INT(IF(J33&gt;0,J33,0))</f>
        <v>537166</v>
      </c>
      <c r="K35" s="774">
        <f t="shared" si="9"/>
        <v>0</v>
      </c>
      <c r="L35" s="774">
        <f t="shared" si="9"/>
        <v>0</v>
      </c>
      <c r="M35" s="774">
        <f>INT(IF(M33&gt;0,M33,0))</f>
        <v>0</v>
      </c>
      <c r="N35" s="774">
        <f t="shared" si="9"/>
        <v>0</v>
      </c>
      <c r="O35" s="774">
        <f>IF(O33&gt;0,O33,0)</f>
        <v>156356</v>
      </c>
      <c r="P35" s="774">
        <f t="shared" si="9"/>
        <v>0</v>
      </c>
    </row>
    <row r="36" spans="2:16" x14ac:dyDescent="0.25">
      <c r="B36" s="304" t="s">
        <v>450</v>
      </c>
      <c r="C36" s="309" t="s">
        <v>1666</v>
      </c>
      <c r="D36" s="777">
        <f>SUM(E36:P36)</f>
        <v>606749</v>
      </c>
      <c r="E36" s="777"/>
      <c r="F36" s="777"/>
      <c r="G36" s="777"/>
      <c r="H36" s="777"/>
      <c r="I36" s="777"/>
      <c r="J36" s="777">
        <f>SUM(J37:J39)</f>
        <v>479098</v>
      </c>
      <c r="K36" s="777"/>
      <c r="L36" s="777"/>
      <c r="M36" s="777"/>
      <c r="N36" s="777"/>
      <c r="O36" s="777">
        <f>SUM(O37:O39)</f>
        <v>127651</v>
      </c>
      <c r="P36" s="777"/>
    </row>
    <row r="37" spans="2:16" x14ac:dyDescent="0.25">
      <c r="B37" s="302">
        <v>1</v>
      </c>
      <c r="C37" s="306" t="s">
        <v>1665</v>
      </c>
      <c r="D37" s="774">
        <f t="shared" ref="D37:D44" si="10">SUM(E37:P37)</f>
        <v>693522</v>
      </c>
      <c r="E37" s="774"/>
      <c r="F37" s="774"/>
      <c r="G37" s="774"/>
      <c r="H37" s="774"/>
      <c r="I37" s="774"/>
      <c r="J37" s="774">
        <f>J35</f>
        <v>537166</v>
      </c>
      <c r="K37" s="774"/>
      <c r="L37" s="774"/>
      <c r="M37" s="774"/>
      <c r="N37" s="774"/>
      <c r="O37" s="774">
        <f>O35</f>
        <v>156356</v>
      </c>
      <c r="P37" s="774"/>
    </row>
    <row r="38" spans="2:16" x14ac:dyDescent="0.25">
      <c r="B38" s="302" t="s">
        <v>368</v>
      </c>
      <c r="C38" s="306" t="s">
        <v>1671</v>
      </c>
      <c r="D38" s="774">
        <f t="shared" si="10"/>
        <v>2727</v>
      </c>
      <c r="E38" s="774"/>
      <c r="F38" s="774"/>
      <c r="G38" s="774"/>
      <c r="H38" s="774"/>
      <c r="I38" s="774"/>
      <c r="J38" s="774">
        <f>'Chính sách chế độ 2020-2021'!ES19</f>
        <v>767</v>
      </c>
      <c r="K38" s="774"/>
      <c r="L38" s="774"/>
      <c r="M38" s="774"/>
      <c r="N38" s="774"/>
      <c r="O38" s="774">
        <f>'Chính sách chế độ 2020-2021'!IT19</f>
        <v>1960</v>
      </c>
      <c r="P38" s="774"/>
    </row>
    <row r="39" spans="2:16" x14ac:dyDescent="0.25">
      <c r="B39" s="302" t="s">
        <v>369</v>
      </c>
      <c r="C39" s="306" t="s">
        <v>1672</v>
      </c>
      <c r="D39" s="774">
        <f t="shared" si="10"/>
        <v>-89500</v>
      </c>
      <c r="E39" s="774"/>
      <c r="F39" s="774"/>
      <c r="G39" s="774"/>
      <c r="H39" s="774"/>
      <c r="I39" s="774"/>
      <c r="J39" s="774">
        <f>SUM(J40:J44)</f>
        <v>-58835</v>
      </c>
      <c r="K39" s="774"/>
      <c r="L39" s="774"/>
      <c r="M39" s="774"/>
      <c r="N39" s="774"/>
      <c r="O39" s="774">
        <f>SUM(O40:O44)</f>
        <v>-30665</v>
      </c>
      <c r="P39" s="774"/>
    </row>
    <row r="40" spans="2:16" s="314" customFormat="1" x14ac:dyDescent="0.25">
      <c r="B40" s="312" t="s">
        <v>1673</v>
      </c>
      <c r="C40" s="1316" t="s">
        <v>1667</v>
      </c>
      <c r="D40" s="775">
        <f t="shared" si="10"/>
        <v>-58575</v>
      </c>
      <c r="E40" s="775"/>
      <c r="F40" s="775"/>
      <c r="G40" s="775"/>
      <c r="H40" s="775"/>
      <c r="I40" s="775"/>
      <c r="J40" s="775">
        <f>'Thu NSH'!CD43</f>
        <v>-45215</v>
      </c>
      <c r="K40" s="775"/>
      <c r="L40" s="775"/>
      <c r="M40" s="775"/>
      <c r="N40" s="775"/>
      <c r="O40" s="775">
        <f>+'Thu NSH'!EL43</f>
        <v>-13360</v>
      </c>
      <c r="P40" s="775"/>
    </row>
    <row r="41" spans="2:16" s="314" customFormat="1" x14ac:dyDescent="0.25">
      <c r="B41" s="312" t="s">
        <v>1674</v>
      </c>
      <c r="C41" s="1316" t="s">
        <v>1668</v>
      </c>
      <c r="D41" s="775">
        <f t="shared" si="10"/>
        <v>-22860</v>
      </c>
      <c r="E41" s="775"/>
      <c r="F41" s="775"/>
      <c r="G41" s="775"/>
      <c r="H41" s="775"/>
      <c r="I41" s="775"/>
      <c r="J41" s="775">
        <f>-'Chính sách chế độ 2020-2021'!ER19</f>
        <v>-11904</v>
      </c>
      <c r="K41" s="775"/>
      <c r="L41" s="775"/>
      <c r="M41" s="775"/>
      <c r="N41" s="775"/>
      <c r="O41" s="775">
        <f>-'Chính sách chế độ 2020-2021'!IS19</f>
        <v>-10956</v>
      </c>
      <c r="P41" s="775"/>
    </row>
    <row r="42" spans="2:16" s="314" customFormat="1" x14ac:dyDescent="0.25">
      <c r="B42" s="312" t="s">
        <v>1675</v>
      </c>
      <c r="C42" s="1316" t="s">
        <v>1669</v>
      </c>
      <c r="D42" s="775">
        <f t="shared" si="10"/>
        <v>-2110</v>
      </c>
      <c r="E42" s="775"/>
      <c r="F42" s="775"/>
      <c r="G42" s="775"/>
      <c r="H42" s="775"/>
      <c r="I42" s="775"/>
      <c r="J42" s="775">
        <f>-1316</f>
        <v>-1316</v>
      </c>
      <c r="K42" s="775"/>
      <c r="L42" s="775"/>
      <c r="M42" s="775"/>
      <c r="N42" s="775"/>
      <c r="O42" s="775">
        <f>-794</f>
        <v>-794</v>
      </c>
      <c r="P42" s="775"/>
    </row>
    <row r="43" spans="2:16" s="314" customFormat="1" x14ac:dyDescent="0.25">
      <c r="B43" s="312" t="s">
        <v>1676</v>
      </c>
      <c r="C43" s="1316" t="s">
        <v>1670</v>
      </c>
      <c r="D43" s="775">
        <f t="shared" si="10"/>
        <v>-800</v>
      </c>
      <c r="E43" s="775"/>
      <c r="F43" s="775"/>
      <c r="G43" s="775"/>
      <c r="H43" s="775"/>
      <c r="I43" s="775"/>
      <c r="J43" s="775">
        <f>-400</f>
        <v>-400</v>
      </c>
      <c r="K43" s="775"/>
      <c r="L43" s="775"/>
      <c r="M43" s="775"/>
      <c r="N43" s="775"/>
      <c r="O43" s="775">
        <f>-400</f>
        <v>-400</v>
      </c>
      <c r="P43" s="775"/>
    </row>
    <row r="44" spans="2:16" s="314" customFormat="1" x14ac:dyDescent="0.25">
      <c r="B44" s="1317" t="s">
        <v>1677</v>
      </c>
      <c r="C44" s="1318" t="s">
        <v>1678</v>
      </c>
      <c r="D44" s="1319">
        <f t="shared" si="10"/>
        <v>-5155</v>
      </c>
      <c r="E44" s="1319"/>
      <c r="F44" s="1319"/>
      <c r="G44" s="1319"/>
      <c r="H44" s="1319"/>
      <c r="I44" s="1319"/>
      <c r="J44" s="1319"/>
      <c r="K44" s="1319"/>
      <c r="L44" s="1319"/>
      <c r="M44" s="1319"/>
      <c r="N44" s="1319"/>
      <c r="O44" s="1319">
        <f>-5155</f>
        <v>-5155</v>
      </c>
      <c r="P44" s="1319"/>
    </row>
    <row r="46" spans="2:16" x14ac:dyDescent="0.25">
      <c r="D46" s="296">
        <f>'Chính sách chế độ 2020-2021'!U19</f>
        <v>31361</v>
      </c>
    </row>
    <row r="47" spans="2:16" x14ac:dyDescent="0.25">
      <c r="D47" s="1321">
        <f>+D46+D9</f>
        <v>538114</v>
      </c>
    </row>
  </sheetData>
  <sortState ref="A20:P21">
    <sortCondition descending="1" ref="B20"/>
  </sortState>
  <customSheetViews>
    <customSheetView guid="{88621519-296E-4458-B04E-813E881018FE}" fitToPage="1" hiddenRows="1" topLeftCell="B1">
      <pane xSplit="2" ySplit="8" topLeftCell="D22" activePane="bottomRight" state="frozen"/>
      <selection pane="bottomRight" activeCell="G26" sqref="G26"/>
      <pageMargins left="0" right="0" top="1" bottom="1" header="0.5" footer="0.5"/>
      <printOptions horizontalCentered="1"/>
      <pageSetup paperSize="9" scale="63" orientation="landscape" r:id="rId1"/>
      <headerFooter alignWithMargins="0"/>
    </customSheetView>
  </customSheetViews>
  <mergeCells count="20">
    <mergeCell ref="B6:B7"/>
    <mergeCell ref="K6:K7"/>
    <mergeCell ref="L6:L7"/>
    <mergeCell ref="M6:M7"/>
    <mergeCell ref="D1:L1"/>
    <mergeCell ref="D2:L2"/>
    <mergeCell ref="D3:L3"/>
    <mergeCell ref="A4:P4"/>
    <mergeCell ref="A6:A7"/>
    <mergeCell ref="C6:C7"/>
    <mergeCell ref="D6:D7"/>
    <mergeCell ref="E6:E7"/>
    <mergeCell ref="F6:F7"/>
    <mergeCell ref="G6:G7"/>
    <mergeCell ref="H6:H7"/>
    <mergeCell ref="I6:I7"/>
    <mergeCell ref="N6:N7"/>
    <mergeCell ref="O6:O7"/>
    <mergeCell ref="P6:P7"/>
    <mergeCell ref="J6:J7"/>
  </mergeCells>
  <phoneticPr fontId="5" type="noConversion"/>
  <printOptions horizontalCentered="1"/>
  <pageMargins left="0" right="0" top="0.59055118110236227" bottom="0" header="0.51181102362204722" footer="0.51181102362204722"/>
  <pageSetup paperSize="9" scale="63" orientation="landscape" r:id="rId2"/>
  <headerFooter alignWithMargins="0"/>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U51"/>
  <sheetViews>
    <sheetView workbookViewId="0">
      <pane xSplit="5" ySplit="7" topLeftCell="F23" activePane="bottomRight" state="frozen"/>
      <selection activeCell="B45" sqref="B45"/>
      <selection pane="topRight" activeCell="B45" sqref="B45"/>
      <selection pane="bottomLeft" activeCell="B45" sqref="B45"/>
      <selection pane="bottomRight" activeCell="B45" sqref="B45"/>
    </sheetView>
  </sheetViews>
  <sheetFormatPr defaultColWidth="10.625" defaultRowHeight="15.75" x14ac:dyDescent="0.25"/>
  <cols>
    <col min="1" max="1" width="3.375" style="53" bestFit="1" customWidth="1"/>
    <col min="2" max="2" width="32.5"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99" x14ac:dyDescent="0.25">
      <c r="B1" s="54"/>
      <c r="C1" s="1198"/>
      <c r="D1" s="1198"/>
      <c r="E1" s="54" t="s">
        <v>1537</v>
      </c>
      <c r="F1" s="1198"/>
      <c r="G1" s="1198"/>
      <c r="H1" s="1198"/>
      <c r="I1" s="1198"/>
      <c r="J1" s="1198"/>
      <c r="K1" s="1269" t="s">
        <v>1541</v>
      </c>
      <c r="L1" s="1198"/>
      <c r="M1" s="1198"/>
      <c r="N1" s="1198"/>
      <c r="O1" s="1198"/>
      <c r="P1" s="1198"/>
      <c r="Q1" s="1198"/>
      <c r="R1" s="1198"/>
      <c r="S1" s="1269" t="s">
        <v>1541</v>
      </c>
      <c r="T1" s="1198"/>
      <c r="U1" s="1199"/>
      <c r="V1" s="1199"/>
      <c r="W1" s="1199"/>
      <c r="X1" s="1198"/>
      <c r="Y1" s="1198"/>
      <c r="AA1" s="1269"/>
      <c r="AB1" s="55"/>
      <c r="AC1" s="55"/>
      <c r="AD1" s="54" t="s">
        <v>1537</v>
      </c>
      <c r="AE1" s="55"/>
      <c r="AF1" s="55"/>
      <c r="AG1" s="55"/>
      <c r="AH1" s="55"/>
      <c r="AI1" s="1269"/>
      <c r="AJ1" s="55"/>
      <c r="AK1" s="55"/>
      <c r="AL1" s="55"/>
      <c r="AM1" s="1199"/>
      <c r="AN1" s="1199"/>
      <c r="AO1" s="1199"/>
      <c r="AQ1" s="1269"/>
      <c r="AY1" s="1269"/>
      <c r="BG1" s="1269"/>
      <c r="BO1" s="1269"/>
      <c r="BW1" s="1269"/>
      <c r="CE1" s="1269"/>
      <c r="CM1" s="1269"/>
      <c r="CU1" s="1269"/>
    </row>
    <row r="2" spans="1:99" x14ac:dyDescent="0.25">
      <c r="D2" s="39"/>
      <c r="E2" s="39"/>
      <c r="F2" s="56"/>
      <c r="T2" s="16"/>
      <c r="U2" s="1477" t="s">
        <v>547</v>
      </c>
      <c r="V2" s="1477"/>
      <c r="W2" s="1477"/>
      <c r="AL2" s="16"/>
      <c r="AM2" s="1478" t="s">
        <v>547</v>
      </c>
      <c r="AN2" s="1478"/>
      <c r="AO2" s="1478"/>
    </row>
    <row r="3" spans="1:99" s="10" customFormat="1" ht="24.75" customHeight="1" x14ac:dyDescent="0.25">
      <c r="A3" s="1476" t="s">
        <v>519</v>
      </c>
      <c r="B3" s="1476" t="s">
        <v>548</v>
      </c>
      <c r="C3" s="1475" t="s">
        <v>549</v>
      </c>
      <c r="D3" s="1475"/>
      <c r="E3" s="1475"/>
      <c r="F3" s="1475" t="s">
        <v>550</v>
      </c>
      <c r="G3" s="1475"/>
      <c r="H3" s="1475"/>
      <c r="I3" s="1475" t="s">
        <v>1523</v>
      </c>
      <c r="J3" s="1475"/>
      <c r="K3" s="1475"/>
      <c r="L3" s="1475" t="s">
        <v>551</v>
      </c>
      <c r="M3" s="1475"/>
      <c r="N3" s="1475"/>
      <c r="O3" s="1475" t="s">
        <v>552</v>
      </c>
      <c r="P3" s="1475"/>
      <c r="Q3" s="1475"/>
      <c r="R3" s="1475" t="s">
        <v>553</v>
      </c>
      <c r="S3" s="1475"/>
      <c r="T3" s="1475"/>
      <c r="U3" s="1475" t="s">
        <v>554</v>
      </c>
      <c r="V3" s="1475"/>
      <c r="W3" s="1475"/>
      <c r="X3" s="1475" t="s">
        <v>555</v>
      </c>
      <c r="Y3" s="1475"/>
      <c r="Z3" s="1475"/>
      <c r="AA3" s="1475" t="s">
        <v>556</v>
      </c>
      <c r="AB3" s="1475"/>
      <c r="AC3" s="1475"/>
      <c r="AD3" s="1475" t="s">
        <v>557</v>
      </c>
      <c r="AE3" s="1475"/>
      <c r="AF3" s="1475"/>
      <c r="AG3" s="1475" t="s">
        <v>558</v>
      </c>
      <c r="AH3" s="1475"/>
      <c r="AI3" s="1475"/>
      <c r="AJ3" s="1475" t="s">
        <v>146</v>
      </c>
      <c r="AK3" s="1475"/>
      <c r="AL3" s="1475"/>
      <c r="AM3" s="1475" t="s">
        <v>559</v>
      </c>
      <c r="AN3" s="1475"/>
      <c r="AO3" s="1475"/>
    </row>
    <row r="4" spans="1:99" s="32" customFormat="1" ht="27.75" customHeight="1" x14ac:dyDescent="0.25">
      <c r="A4" s="1476"/>
      <c r="B4" s="1476"/>
      <c r="C4" s="1200" t="s">
        <v>560</v>
      </c>
      <c r="D4" s="1200" t="s">
        <v>561</v>
      </c>
      <c r="E4" s="1200" t="s">
        <v>562</v>
      </c>
      <c r="F4" s="1200" t="s">
        <v>560</v>
      </c>
      <c r="G4" s="1200" t="s">
        <v>561</v>
      </c>
      <c r="H4" s="1200" t="s">
        <v>562</v>
      </c>
      <c r="I4" s="1200" t="s">
        <v>560</v>
      </c>
      <c r="J4" s="1200" t="s">
        <v>561</v>
      </c>
      <c r="K4" s="1200" t="s">
        <v>562</v>
      </c>
      <c r="L4" s="1200" t="s">
        <v>560</v>
      </c>
      <c r="M4" s="1200" t="s">
        <v>561</v>
      </c>
      <c r="N4" s="1200" t="s">
        <v>562</v>
      </c>
      <c r="O4" s="1200" t="s">
        <v>560</v>
      </c>
      <c r="P4" s="1200" t="s">
        <v>561</v>
      </c>
      <c r="Q4" s="1200" t="s">
        <v>562</v>
      </c>
      <c r="R4" s="1200" t="s">
        <v>560</v>
      </c>
      <c r="S4" s="1200" t="s">
        <v>561</v>
      </c>
      <c r="T4" s="1200" t="s">
        <v>562</v>
      </c>
      <c r="U4" s="1200" t="s">
        <v>560</v>
      </c>
      <c r="V4" s="1200" t="s">
        <v>561</v>
      </c>
      <c r="W4" s="1200" t="s">
        <v>562</v>
      </c>
      <c r="X4" s="1200" t="s">
        <v>560</v>
      </c>
      <c r="Y4" s="1200" t="s">
        <v>561</v>
      </c>
      <c r="Z4" s="1200" t="s">
        <v>562</v>
      </c>
      <c r="AA4" s="1200" t="s">
        <v>560</v>
      </c>
      <c r="AB4" s="1200" t="s">
        <v>561</v>
      </c>
      <c r="AC4" s="1200" t="s">
        <v>562</v>
      </c>
      <c r="AD4" s="1200" t="s">
        <v>560</v>
      </c>
      <c r="AE4" s="1200" t="s">
        <v>561</v>
      </c>
      <c r="AF4" s="1200" t="s">
        <v>562</v>
      </c>
      <c r="AG4" s="1200" t="s">
        <v>560</v>
      </c>
      <c r="AH4" s="1200" t="s">
        <v>561</v>
      </c>
      <c r="AI4" s="1200" t="s">
        <v>562</v>
      </c>
      <c r="AJ4" s="1200" t="s">
        <v>560</v>
      </c>
      <c r="AK4" s="1200" t="s">
        <v>561</v>
      </c>
      <c r="AL4" s="1200" t="s">
        <v>562</v>
      </c>
      <c r="AM4" s="1200" t="s">
        <v>560</v>
      </c>
      <c r="AN4" s="1200" t="s">
        <v>561</v>
      </c>
      <c r="AO4" s="1200" t="s">
        <v>562</v>
      </c>
    </row>
    <row r="5" spans="1:99" s="37" customFormat="1" ht="20.100000000000001" customHeigh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99" s="1195" customFormat="1" ht="20.100000000000001" customHeigh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99" s="59" customFormat="1" ht="20.100000000000001" customHeigh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99" ht="20.100000000000001" customHeight="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99" ht="20.100000000000001" customHeight="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99" ht="20.100000000000001" customHeight="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99" ht="20.100000000000001" customHeight="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99" ht="20.100000000000001" customHeight="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99" s="61" customFormat="1" ht="20.100000000000001" customHeigh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99" s="59" customFormat="1" ht="20.100000000000001" customHeigh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99" s="59" customFormat="1" ht="20.100000000000001" hidden="1" customHeigh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99" s="59" customFormat="1" ht="20.100000000000001" customHeigh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ht="20.100000000000001" customHeigh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ht="20.100000000000001" customHeigh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ht="20.100000000000001" customHeigh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ht="20.100000000000001" customHeigh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ht="20.100000000000001" customHeigh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ht="20.100000000000001" customHeigh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ht="20.100000000000001" customHeigh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ht="20.100000000000001" customHeigh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ht="20.100000000000001" customHeigh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ht="20.100000000000001" customHeigh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ht="20.100000000000001" customHeigh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ht="20.100000000000001" customHeight="1" x14ac:dyDescent="0.25">
      <c r="A28" s="291" t="s">
        <v>564</v>
      </c>
      <c r="B28" s="218" t="s">
        <v>640</v>
      </c>
      <c r="C28" s="579">
        <f t="shared" ref="C28:C45" si="17">SUM(F28,L28,O28,R28,U28,X28,AA28,AD28,AG28,AJ28,AM28,I28)</f>
        <v>70000</v>
      </c>
      <c r="D28" s="579" t="str">
        <f t="shared" si="16"/>
        <v/>
      </c>
      <c r="E28" s="579">
        <f t="shared" ref="E28:E45"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ht="20.100000000000001" customHeigh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ht="20.100000000000001" customHeigh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ht="20.100000000000001" customHeigh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ht="20.100000000000001" hidden="1" customHeight="1" x14ac:dyDescent="0.25">
      <c r="A32" s="51" t="s">
        <v>421</v>
      </c>
      <c r="B32" s="49" t="s">
        <v>572</v>
      </c>
      <c r="C32" s="577">
        <f t="shared" si="17"/>
        <v>4537585</v>
      </c>
      <c r="D32" s="578"/>
      <c r="E32" s="577">
        <f t="shared" si="18"/>
        <v>4537585</v>
      </c>
      <c r="F32" s="577">
        <f>F33+F34</f>
        <v>439163</v>
      </c>
      <c r="G32" s="577"/>
      <c r="H32" s="577">
        <f t="shared" ref="H32:H43" si="19">F32</f>
        <v>439163</v>
      </c>
      <c r="I32" s="577">
        <f>I33+I34</f>
        <v>270958</v>
      </c>
      <c r="J32" s="577"/>
      <c r="K32" s="577">
        <f t="shared" ref="K32:K49" si="20">I32</f>
        <v>270958</v>
      </c>
      <c r="L32" s="577">
        <f>L33+L34</f>
        <v>383766</v>
      </c>
      <c r="M32" s="577"/>
      <c r="N32" s="577">
        <f t="shared" ref="N32:N49" si="21">L32</f>
        <v>383766</v>
      </c>
      <c r="O32" s="577">
        <f>O33+O34</f>
        <v>375201</v>
      </c>
      <c r="P32" s="577"/>
      <c r="Q32" s="577">
        <f t="shared" ref="Q32:Q49" si="22">O32</f>
        <v>375201</v>
      </c>
      <c r="R32" s="577">
        <f>R33+R34</f>
        <v>424532</v>
      </c>
      <c r="S32" s="577"/>
      <c r="T32" s="577">
        <f t="shared" ref="T32:T49" si="23">R32</f>
        <v>424532</v>
      </c>
      <c r="U32" s="577">
        <f>U33+U34</f>
        <v>158747</v>
      </c>
      <c r="V32" s="577"/>
      <c r="W32" s="577">
        <f t="shared" ref="W32:W49" si="24">U32</f>
        <v>158747</v>
      </c>
      <c r="X32" s="577">
        <f>X33+X34</f>
        <v>556199</v>
      </c>
      <c r="Y32" s="577"/>
      <c r="Z32" s="577">
        <f t="shared" ref="Z32:Z49" si="25">X32</f>
        <v>556199</v>
      </c>
      <c r="AA32" s="577">
        <f>AA33+AA34</f>
        <v>495897</v>
      </c>
      <c r="AB32" s="577"/>
      <c r="AC32" s="577">
        <f t="shared" ref="AC32:AC49" si="26">AA32</f>
        <v>495897</v>
      </c>
      <c r="AD32" s="577">
        <f>AD33+AD34</f>
        <v>438983</v>
      </c>
      <c r="AE32" s="577"/>
      <c r="AF32" s="577">
        <f t="shared" ref="AF32:AF49" si="27">AD32</f>
        <v>438983</v>
      </c>
      <c r="AG32" s="577">
        <f>AG33+AG34</f>
        <v>419526</v>
      </c>
      <c r="AH32" s="577"/>
      <c r="AI32" s="577">
        <f t="shared" ref="AI32:AI49" si="28">AG32</f>
        <v>419526</v>
      </c>
      <c r="AJ32" s="577">
        <f>AJ33+AJ34</f>
        <v>198029</v>
      </c>
      <c r="AK32" s="577"/>
      <c r="AL32" s="577">
        <f t="shared" ref="AL32:AL49" si="29">AJ32</f>
        <v>198029</v>
      </c>
      <c r="AM32" s="577">
        <f>AM33+AM34</f>
        <v>376584</v>
      </c>
      <c r="AN32" s="577"/>
      <c r="AO32" s="577">
        <f t="shared" ref="AO32:AO49" si="30">AM32</f>
        <v>376584</v>
      </c>
    </row>
    <row r="33" spans="1:41" s="61" customFormat="1" ht="20.100000000000001" hidden="1" customHeigh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ht="20.100000000000001" hidden="1" customHeight="1" x14ac:dyDescent="0.25">
      <c r="A34" s="51">
        <v>2</v>
      </c>
      <c r="B34" s="49" t="s">
        <v>574</v>
      </c>
      <c r="C34" s="577">
        <f>SUM(F34,L34,O34,R34,U34,X34,AA34,AD34,AG34,AJ34,AM34,I34)</f>
        <v>1072734</v>
      </c>
      <c r="D34" s="577"/>
      <c r="E34" s="577">
        <f>SUM(H34,N34,Q34,T34,W34,Z34,AC34,AF34,AI34,AL34,AO34,K34)</f>
        <v>1072734</v>
      </c>
      <c r="F34" s="577">
        <f>SUM(F35:G49)</f>
        <v>94282</v>
      </c>
      <c r="G34" s="577"/>
      <c r="H34" s="577">
        <f t="shared" si="19"/>
        <v>94282</v>
      </c>
      <c r="I34" s="577">
        <f>SUM(I35:J49)</f>
        <v>79543</v>
      </c>
      <c r="J34" s="577"/>
      <c r="K34" s="577">
        <f t="shared" si="20"/>
        <v>79543</v>
      </c>
      <c r="L34" s="577">
        <f>SUM(L35:M49)</f>
        <v>78247</v>
      </c>
      <c r="M34" s="577"/>
      <c r="N34" s="577">
        <f t="shared" si="21"/>
        <v>78247</v>
      </c>
      <c r="O34" s="577">
        <f>SUM(O35:P49)</f>
        <v>114714</v>
      </c>
      <c r="P34" s="577"/>
      <c r="Q34" s="577">
        <f t="shared" si="22"/>
        <v>114714</v>
      </c>
      <c r="R34" s="577">
        <f>SUM(R35:S49)</f>
        <v>89629</v>
      </c>
      <c r="S34" s="577"/>
      <c r="T34" s="577">
        <f t="shared" si="23"/>
        <v>89629</v>
      </c>
      <c r="U34" s="577">
        <f>SUM(U35:V49)</f>
        <v>42550</v>
      </c>
      <c r="V34" s="577"/>
      <c r="W34" s="577">
        <f t="shared" si="24"/>
        <v>42550</v>
      </c>
      <c r="X34" s="577">
        <f>SUM(X35:Y49)</f>
        <v>130477</v>
      </c>
      <c r="Y34" s="577"/>
      <c r="Z34" s="577">
        <f t="shared" si="25"/>
        <v>130477</v>
      </c>
      <c r="AA34" s="577">
        <f>SUM(AA35:AB49)</f>
        <v>132128</v>
      </c>
      <c r="AB34" s="577"/>
      <c r="AC34" s="577">
        <f t="shared" si="26"/>
        <v>132128</v>
      </c>
      <c r="AD34" s="577">
        <f>SUM(AD35:AE49)</f>
        <v>95444</v>
      </c>
      <c r="AE34" s="577"/>
      <c r="AF34" s="577">
        <f t="shared" si="27"/>
        <v>95444</v>
      </c>
      <c r="AG34" s="577">
        <f>SUM(AG35:AH49)</f>
        <v>95667</v>
      </c>
      <c r="AH34" s="577"/>
      <c r="AI34" s="577">
        <f t="shared" si="28"/>
        <v>95667</v>
      </c>
      <c r="AJ34" s="577">
        <f>SUM(AJ35:AK49)</f>
        <v>38930</v>
      </c>
      <c r="AK34" s="577"/>
      <c r="AL34" s="577">
        <f t="shared" si="29"/>
        <v>38930</v>
      </c>
      <c r="AM34" s="577">
        <f>SUM(AM35:AN49)</f>
        <v>81123</v>
      </c>
      <c r="AN34" s="577"/>
      <c r="AO34" s="577">
        <f t="shared" si="30"/>
        <v>81123</v>
      </c>
    </row>
    <row r="35" spans="1:41" s="61" customFormat="1" ht="25.5" hidden="1" x14ac:dyDescent="0.25">
      <c r="A35" s="60" t="s">
        <v>564</v>
      </c>
      <c r="B35" s="788" t="s">
        <v>1479</v>
      </c>
      <c r="C35" s="578">
        <f t="shared" ref="C35:C41" si="31">SUM(F35,L35,O35,R35,U35,X35,AA35,AD35,AG35,AJ35,AM35,I35)</f>
        <v>508829</v>
      </c>
      <c r="D35" s="578"/>
      <c r="E35" s="578">
        <f t="shared" ref="E35:E41" si="32">SUM(H35,N35,Q35,T35,W35,Z35,AC35,AF35,AI35,AL35,AO35,K35)</f>
        <v>508829</v>
      </c>
      <c r="F35" s="578">
        <f>'Chi NSH'!P11</f>
        <v>59799</v>
      </c>
      <c r="G35" s="578"/>
      <c r="H35" s="578">
        <f t="shared" si="19"/>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hidden="1" x14ac:dyDescent="0.25">
      <c r="A36" s="250" t="s">
        <v>564</v>
      </c>
      <c r="B36" s="339" t="s">
        <v>684</v>
      </c>
      <c r="C36" s="578">
        <f t="shared" si="31"/>
        <v>0</v>
      </c>
      <c r="D36" s="578"/>
      <c r="E36" s="578">
        <f t="shared" si="32"/>
        <v>0</v>
      </c>
      <c r="F36" s="578">
        <f>'Chi NSH'!P15</f>
        <v>0</v>
      </c>
      <c r="G36" s="578"/>
      <c r="H36" s="578">
        <f t="shared" si="19"/>
        <v>0</v>
      </c>
      <c r="I36" s="578">
        <f>'Chi NSH'!X15</f>
        <v>0</v>
      </c>
      <c r="J36" s="578"/>
      <c r="K36" s="578">
        <f t="shared" si="20"/>
        <v>0</v>
      </c>
      <c r="L36" s="578">
        <f>'Chi NSH'!AF15</f>
        <v>0</v>
      </c>
      <c r="M36" s="578"/>
      <c r="N36" s="578">
        <f t="shared" si="21"/>
        <v>0</v>
      </c>
      <c r="O36" s="578">
        <f>'Chi NSH'!AN15</f>
        <v>0</v>
      </c>
      <c r="P36" s="578"/>
      <c r="Q36" s="578">
        <f t="shared" si="22"/>
        <v>0</v>
      </c>
      <c r="R36" s="578">
        <f>'Chi NSH'!AV15</f>
        <v>0</v>
      </c>
      <c r="S36" s="578"/>
      <c r="T36" s="578">
        <f t="shared" si="23"/>
        <v>0</v>
      </c>
      <c r="U36" s="578">
        <f>'Chi NSH'!BD15</f>
        <v>0</v>
      </c>
      <c r="V36" s="578"/>
      <c r="W36" s="578">
        <f t="shared" si="24"/>
        <v>0</v>
      </c>
      <c r="X36" s="578">
        <f>'Chi NSH'!BL15</f>
        <v>0</v>
      </c>
      <c r="Y36" s="578"/>
      <c r="Z36" s="578">
        <f t="shared" si="25"/>
        <v>0</v>
      </c>
      <c r="AA36" s="578">
        <f>'Chi NSH'!BT15</f>
        <v>0</v>
      </c>
      <c r="AB36" s="578"/>
      <c r="AC36" s="578">
        <f t="shared" si="26"/>
        <v>0</v>
      </c>
      <c r="AD36" s="578">
        <f>'Chi NSH'!CB15</f>
        <v>0</v>
      </c>
      <c r="AE36" s="578"/>
      <c r="AF36" s="578">
        <f t="shared" si="27"/>
        <v>0</v>
      </c>
      <c r="AG36" s="578">
        <f>'Chi NSH'!CJ15</f>
        <v>0</v>
      </c>
      <c r="AH36" s="578"/>
      <c r="AI36" s="578">
        <f t="shared" si="28"/>
        <v>0</v>
      </c>
      <c r="AJ36" s="578">
        <f>'Chi NSH'!CR15</f>
        <v>0</v>
      </c>
      <c r="AK36" s="578"/>
      <c r="AL36" s="578">
        <f t="shared" si="29"/>
        <v>0</v>
      </c>
      <c r="AM36" s="578">
        <f>'Chi NSH'!CZ15</f>
        <v>0</v>
      </c>
      <c r="AN36" s="578"/>
      <c r="AO36" s="578">
        <f t="shared" si="30"/>
        <v>0</v>
      </c>
    </row>
    <row r="37" spans="1:41" s="61" customFormat="1" hidden="1" x14ac:dyDescent="0.25">
      <c r="A37" s="250" t="s">
        <v>564</v>
      </c>
      <c r="B37" s="339" t="s">
        <v>686</v>
      </c>
      <c r="C37" s="578">
        <f t="shared" si="31"/>
        <v>104088</v>
      </c>
      <c r="D37" s="578"/>
      <c r="E37" s="578">
        <f t="shared" si="32"/>
        <v>104088</v>
      </c>
      <c r="F37" s="578">
        <f>'Chi NSH'!P16</f>
        <v>10406</v>
      </c>
      <c r="G37" s="578"/>
      <c r="H37" s="578">
        <f t="shared" si="19"/>
        <v>10406</v>
      </c>
      <c r="I37" s="578">
        <f>'Chi NSH'!X16</f>
        <v>5191</v>
      </c>
      <c r="J37" s="578"/>
      <c r="K37" s="578">
        <f t="shared" si="20"/>
        <v>5191</v>
      </c>
      <c r="L37" s="578">
        <f>'Chi NSH'!AF16</f>
        <v>0</v>
      </c>
      <c r="M37" s="578"/>
      <c r="N37" s="578">
        <f t="shared" si="21"/>
        <v>0</v>
      </c>
      <c r="O37" s="578">
        <f>'Chi NSH'!AN16</f>
        <v>2619</v>
      </c>
      <c r="P37" s="578"/>
      <c r="Q37" s="578">
        <f t="shared" si="22"/>
        <v>2619</v>
      </c>
      <c r="R37" s="578">
        <f>'Chi NSH'!AV16</f>
        <v>13595</v>
      </c>
      <c r="S37" s="578"/>
      <c r="T37" s="578">
        <f t="shared" si="23"/>
        <v>13595</v>
      </c>
      <c r="U37" s="578">
        <f>'Chi NSH'!BD16</f>
        <v>0</v>
      </c>
      <c r="V37" s="578"/>
      <c r="W37" s="578">
        <f t="shared" si="24"/>
        <v>0</v>
      </c>
      <c r="X37" s="578">
        <f>'Chi NSH'!BL16</f>
        <v>18949</v>
      </c>
      <c r="Y37" s="578"/>
      <c r="Z37" s="578">
        <f t="shared" si="25"/>
        <v>18949</v>
      </c>
      <c r="AA37" s="578">
        <f>'Chi NSH'!BT16</f>
        <v>9881</v>
      </c>
      <c r="AB37" s="578"/>
      <c r="AC37" s="578">
        <f t="shared" si="26"/>
        <v>9881</v>
      </c>
      <c r="AD37" s="578">
        <f>'Chi NSH'!CB16</f>
        <v>16598</v>
      </c>
      <c r="AE37" s="578"/>
      <c r="AF37" s="578">
        <f t="shared" si="27"/>
        <v>16598</v>
      </c>
      <c r="AG37" s="578">
        <f>'Chi NSH'!CJ16</f>
        <v>13311</v>
      </c>
      <c r="AH37" s="578"/>
      <c r="AI37" s="578">
        <f t="shared" si="28"/>
        <v>13311</v>
      </c>
      <c r="AJ37" s="578">
        <f>'Chi NSH'!CR16</f>
        <v>0</v>
      </c>
      <c r="AK37" s="578"/>
      <c r="AL37" s="578">
        <f t="shared" si="29"/>
        <v>0</v>
      </c>
      <c r="AM37" s="578">
        <f>'Chi NSH'!CZ16</f>
        <v>13538</v>
      </c>
      <c r="AN37" s="578"/>
      <c r="AO37" s="578">
        <f t="shared" si="30"/>
        <v>13538</v>
      </c>
    </row>
    <row r="38" spans="1:41" s="61" customFormat="1" hidden="1" x14ac:dyDescent="0.25">
      <c r="A38" s="250" t="s">
        <v>564</v>
      </c>
      <c r="B38" s="339" t="s">
        <v>1214</v>
      </c>
      <c r="C38" s="578">
        <f t="shared" si="31"/>
        <v>9704</v>
      </c>
      <c r="D38" s="578"/>
      <c r="E38" s="578">
        <f t="shared" si="32"/>
        <v>9704</v>
      </c>
      <c r="F38" s="578">
        <f>'Chi NSH'!P17</f>
        <v>1012</v>
      </c>
      <c r="G38" s="578"/>
      <c r="H38" s="578">
        <f t="shared" si="19"/>
        <v>1012</v>
      </c>
      <c r="I38" s="578">
        <f>'Chi NSH'!X17</f>
        <v>628</v>
      </c>
      <c r="J38" s="578"/>
      <c r="K38" s="578">
        <f t="shared" si="20"/>
        <v>628</v>
      </c>
      <c r="L38" s="578">
        <f>'Chi NSH'!AF17</f>
        <v>806</v>
      </c>
      <c r="M38" s="578"/>
      <c r="N38" s="578">
        <f t="shared" si="21"/>
        <v>806</v>
      </c>
      <c r="O38" s="578">
        <f>'Chi NSH'!AN17</f>
        <v>1096</v>
      </c>
      <c r="P38" s="578"/>
      <c r="Q38" s="578">
        <f t="shared" si="22"/>
        <v>1096</v>
      </c>
      <c r="R38" s="578">
        <f>'Chi NSH'!AV17</f>
        <v>1174</v>
      </c>
      <c r="S38" s="578"/>
      <c r="T38" s="578">
        <f t="shared" si="23"/>
        <v>1174</v>
      </c>
      <c r="U38" s="578">
        <f>'Chi NSH'!BD17</f>
        <v>0</v>
      </c>
      <c r="V38" s="578"/>
      <c r="W38" s="578">
        <f t="shared" si="24"/>
        <v>0</v>
      </c>
      <c r="X38" s="578">
        <f>'Chi NSH'!BL17</f>
        <v>1644</v>
      </c>
      <c r="Y38" s="578"/>
      <c r="Z38" s="578">
        <f t="shared" si="25"/>
        <v>1644</v>
      </c>
      <c r="AA38" s="578">
        <f>'Chi NSH'!BT17</f>
        <v>1160</v>
      </c>
      <c r="AB38" s="578"/>
      <c r="AC38" s="578">
        <f t="shared" si="26"/>
        <v>1160</v>
      </c>
      <c r="AD38" s="578">
        <f>'Chi NSH'!CB17</f>
        <v>0</v>
      </c>
      <c r="AE38" s="578"/>
      <c r="AF38" s="578">
        <f t="shared" si="27"/>
        <v>0</v>
      </c>
      <c r="AG38" s="578">
        <f>'Chi NSH'!CJ17</f>
        <v>1088</v>
      </c>
      <c r="AH38" s="578"/>
      <c r="AI38" s="578">
        <f t="shared" si="28"/>
        <v>1088</v>
      </c>
      <c r="AJ38" s="578">
        <f>'Chi NSH'!CR17</f>
        <v>0</v>
      </c>
      <c r="AK38" s="578"/>
      <c r="AL38" s="578">
        <f t="shared" si="29"/>
        <v>0</v>
      </c>
      <c r="AM38" s="578">
        <f>'Chi NSH'!CZ17</f>
        <v>1096</v>
      </c>
      <c r="AN38" s="578"/>
      <c r="AO38" s="578">
        <f t="shared" si="30"/>
        <v>1096</v>
      </c>
    </row>
    <row r="39" spans="1:41" s="61" customFormat="1" hidden="1" x14ac:dyDescent="0.25">
      <c r="A39" s="250" t="s">
        <v>564</v>
      </c>
      <c r="B39" s="339" t="s">
        <v>1217</v>
      </c>
      <c r="C39" s="578">
        <f t="shared" si="31"/>
        <v>3600</v>
      </c>
      <c r="D39" s="578"/>
      <c r="E39" s="578">
        <f t="shared" si="32"/>
        <v>3600</v>
      </c>
      <c r="F39" s="578">
        <f>'Chi NSH'!P18</f>
        <v>400</v>
      </c>
      <c r="G39" s="578"/>
      <c r="H39" s="578">
        <f t="shared" si="19"/>
        <v>400</v>
      </c>
      <c r="I39" s="578">
        <f>'Chi NSH'!X18</f>
        <v>400</v>
      </c>
      <c r="J39" s="578"/>
      <c r="K39" s="578">
        <f t="shared" si="20"/>
        <v>400</v>
      </c>
      <c r="L39" s="578">
        <f>'Chi NSH'!AF18</f>
        <v>400</v>
      </c>
      <c r="M39" s="578"/>
      <c r="N39" s="578">
        <f t="shared" si="21"/>
        <v>400</v>
      </c>
      <c r="O39" s="578">
        <f>'Chi NSH'!AN18</f>
        <v>400</v>
      </c>
      <c r="P39" s="578"/>
      <c r="Q39" s="578">
        <f t="shared" si="22"/>
        <v>400</v>
      </c>
      <c r="R39" s="578">
        <f>'Chi NSH'!AV18</f>
        <v>400</v>
      </c>
      <c r="S39" s="578"/>
      <c r="T39" s="578">
        <f t="shared" si="23"/>
        <v>400</v>
      </c>
      <c r="U39" s="578">
        <f>'Chi NSH'!BD18</f>
        <v>0</v>
      </c>
      <c r="V39" s="578"/>
      <c r="W39" s="578">
        <f t="shared" si="24"/>
        <v>0</v>
      </c>
      <c r="X39" s="578">
        <f>'Chi NSH'!BL18</f>
        <v>0</v>
      </c>
      <c r="Y39" s="578"/>
      <c r="Z39" s="578">
        <f t="shared" si="25"/>
        <v>0</v>
      </c>
      <c r="AA39" s="578">
        <f>'Chi NSH'!BT18</f>
        <v>400</v>
      </c>
      <c r="AB39" s="578"/>
      <c r="AC39" s="578">
        <f t="shared" si="26"/>
        <v>400</v>
      </c>
      <c r="AD39" s="578">
        <f>'Chi NSH'!CB18</f>
        <v>400</v>
      </c>
      <c r="AE39" s="578"/>
      <c r="AF39" s="578">
        <f t="shared" si="27"/>
        <v>400</v>
      </c>
      <c r="AG39" s="578">
        <f>'Chi NSH'!CJ18</f>
        <v>400</v>
      </c>
      <c r="AH39" s="578"/>
      <c r="AI39" s="578">
        <f t="shared" si="28"/>
        <v>400</v>
      </c>
      <c r="AJ39" s="578">
        <f>'Chi NSH'!CR18</f>
        <v>0</v>
      </c>
      <c r="AK39" s="578"/>
      <c r="AL39" s="578">
        <f t="shared" si="29"/>
        <v>0</v>
      </c>
      <c r="AM39" s="578">
        <f>'Chi NSH'!CZ18</f>
        <v>400</v>
      </c>
      <c r="AN39" s="578"/>
      <c r="AO39" s="578">
        <f t="shared" si="30"/>
        <v>400</v>
      </c>
    </row>
    <row r="40" spans="1:41" s="61" customFormat="1" hidden="1" x14ac:dyDescent="0.25">
      <c r="A40" s="250" t="s">
        <v>564</v>
      </c>
      <c r="B40" s="339" t="s">
        <v>1220</v>
      </c>
      <c r="C40" s="578">
        <f t="shared" si="31"/>
        <v>8860</v>
      </c>
      <c r="D40" s="578"/>
      <c r="E40" s="578">
        <f t="shared" si="32"/>
        <v>8860</v>
      </c>
      <c r="F40" s="578">
        <f>'Chi NSH'!P19</f>
        <v>700</v>
      </c>
      <c r="G40" s="578"/>
      <c r="H40" s="578">
        <f>F40</f>
        <v>700</v>
      </c>
      <c r="I40" s="578">
        <f>'Chi NSH'!X19</f>
        <v>640</v>
      </c>
      <c r="J40" s="578"/>
      <c r="K40" s="578">
        <f>I40</f>
        <v>640</v>
      </c>
      <c r="L40" s="578">
        <f>'Chi NSH'!AF19</f>
        <v>680</v>
      </c>
      <c r="M40" s="578"/>
      <c r="N40" s="578">
        <f>L40</f>
        <v>680</v>
      </c>
      <c r="O40" s="578">
        <f>'Chi NSH'!AN19</f>
        <v>740</v>
      </c>
      <c r="P40" s="578"/>
      <c r="Q40" s="578">
        <f>O40</f>
        <v>740</v>
      </c>
      <c r="R40" s="578">
        <f>'Chi NSH'!AV19</f>
        <v>760</v>
      </c>
      <c r="S40" s="578"/>
      <c r="T40" s="578">
        <f>R40</f>
        <v>760</v>
      </c>
      <c r="U40" s="578">
        <f>'Chi NSH'!BD19</f>
        <v>800</v>
      </c>
      <c r="V40" s="578"/>
      <c r="W40" s="578">
        <f>U40</f>
        <v>800</v>
      </c>
      <c r="X40" s="578">
        <f>'Chi NSH'!BL19</f>
        <v>860</v>
      </c>
      <c r="Y40" s="578"/>
      <c r="Z40" s="578">
        <f>X40</f>
        <v>860</v>
      </c>
      <c r="AA40" s="578">
        <f>'Chi NSH'!BT19</f>
        <v>760</v>
      </c>
      <c r="AB40" s="578"/>
      <c r="AC40" s="578">
        <f>AA40</f>
        <v>760</v>
      </c>
      <c r="AD40" s="578">
        <f>'Chi NSH'!CB19</f>
        <v>760</v>
      </c>
      <c r="AE40" s="578"/>
      <c r="AF40" s="578">
        <f>AD40</f>
        <v>760</v>
      </c>
      <c r="AG40" s="578">
        <f>'Chi NSH'!CJ19</f>
        <v>740</v>
      </c>
      <c r="AH40" s="578"/>
      <c r="AI40" s="578">
        <f>AG40</f>
        <v>740</v>
      </c>
      <c r="AJ40" s="578">
        <f>'Chi NSH'!CR19</f>
        <v>680</v>
      </c>
      <c r="AK40" s="578"/>
      <c r="AL40" s="578">
        <f>AJ40</f>
        <v>680</v>
      </c>
      <c r="AM40" s="578">
        <f>'Chi NSH'!CZ19</f>
        <v>740</v>
      </c>
      <c r="AN40" s="578"/>
      <c r="AO40" s="578">
        <f>AM40</f>
        <v>740</v>
      </c>
    </row>
    <row r="41" spans="1:41" s="61" customFormat="1" hidden="1" x14ac:dyDescent="0.25">
      <c r="A41" s="250" t="s">
        <v>564</v>
      </c>
      <c r="B41" s="339" t="s">
        <v>1396</v>
      </c>
      <c r="C41" s="578">
        <f t="shared" si="31"/>
        <v>0</v>
      </c>
      <c r="D41" s="578"/>
      <c r="E41" s="578">
        <f t="shared" si="32"/>
        <v>0</v>
      </c>
      <c r="F41" s="578">
        <f>'Chi NSH'!P20</f>
        <v>0</v>
      </c>
      <c r="G41" s="578"/>
      <c r="H41" s="578">
        <f>F41</f>
        <v>0</v>
      </c>
      <c r="I41" s="578">
        <f>'Chi NSH'!X20</f>
        <v>0</v>
      </c>
      <c r="J41" s="578"/>
      <c r="K41" s="578">
        <f>I41</f>
        <v>0</v>
      </c>
      <c r="L41" s="578">
        <f>'Chi NSH'!AF20</f>
        <v>0</v>
      </c>
      <c r="M41" s="578"/>
      <c r="N41" s="578">
        <f>L41</f>
        <v>0</v>
      </c>
      <c r="O41" s="578">
        <f>'Chi NSH'!AN20</f>
        <v>0</v>
      </c>
      <c r="P41" s="578"/>
      <c r="Q41" s="578">
        <f>O41</f>
        <v>0</v>
      </c>
      <c r="R41" s="578">
        <f>'Chi NSH'!AV20</f>
        <v>0</v>
      </c>
      <c r="S41" s="578"/>
      <c r="T41" s="578">
        <f>R41</f>
        <v>0</v>
      </c>
      <c r="U41" s="578">
        <f>'Chi NSH'!BD20</f>
        <v>0</v>
      </c>
      <c r="V41" s="578"/>
      <c r="W41" s="578">
        <f>U41</f>
        <v>0</v>
      </c>
      <c r="X41" s="578">
        <f>'Chi NSH'!BL20</f>
        <v>0</v>
      </c>
      <c r="Y41" s="578"/>
      <c r="Z41" s="578">
        <f>X41</f>
        <v>0</v>
      </c>
      <c r="AA41" s="578">
        <f>'Chi NSH'!BT20</f>
        <v>0</v>
      </c>
      <c r="AB41" s="578"/>
      <c r="AC41" s="578">
        <f>AA41</f>
        <v>0</v>
      </c>
      <c r="AD41" s="578">
        <f>'Chi NSH'!CB20</f>
        <v>0</v>
      </c>
      <c r="AE41" s="578"/>
      <c r="AF41" s="578">
        <f>AD41</f>
        <v>0</v>
      </c>
      <c r="AG41" s="578">
        <f>'Chi NSH'!CJ20</f>
        <v>0</v>
      </c>
      <c r="AH41" s="578"/>
      <c r="AI41" s="578">
        <f>AG41</f>
        <v>0</v>
      </c>
      <c r="AJ41" s="578">
        <f>'Chi NSH'!CR20</f>
        <v>0</v>
      </c>
      <c r="AK41" s="578"/>
      <c r="AL41" s="578">
        <f>AJ41</f>
        <v>0</v>
      </c>
      <c r="AM41" s="578">
        <f>'Chi NSH'!CZ20</f>
        <v>0</v>
      </c>
      <c r="AN41" s="578"/>
      <c r="AO41" s="578">
        <f>AM41</f>
        <v>0</v>
      </c>
    </row>
    <row r="42" spans="1:41" ht="20.100000000000001" hidden="1" customHeight="1" x14ac:dyDescent="0.25">
      <c r="A42" s="60" t="s">
        <v>564</v>
      </c>
      <c r="B42" s="1196" t="s">
        <v>605</v>
      </c>
      <c r="C42" s="578">
        <f t="shared" si="17"/>
        <v>317798</v>
      </c>
      <c r="D42" s="578"/>
      <c r="E42" s="578">
        <f t="shared" si="18"/>
        <v>317798</v>
      </c>
      <c r="F42" s="578">
        <f>'Chi NSH'!P21</f>
        <v>18800</v>
      </c>
      <c r="G42" s="578"/>
      <c r="H42" s="578">
        <f t="shared" si="19"/>
        <v>18800</v>
      </c>
      <c r="I42" s="578">
        <f>'Chi NSH'!X21</f>
        <v>13300</v>
      </c>
      <c r="J42" s="578"/>
      <c r="K42" s="578">
        <f t="shared" si="20"/>
        <v>13300</v>
      </c>
      <c r="L42" s="578">
        <f>'Chi NSH'!AF21</f>
        <v>34100</v>
      </c>
      <c r="M42" s="578"/>
      <c r="N42" s="578">
        <f t="shared" si="21"/>
        <v>34100</v>
      </c>
      <c r="O42" s="578">
        <f>'Chi NSH'!AN21</f>
        <v>45900</v>
      </c>
      <c r="P42" s="578"/>
      <c r="Q42" s="578">
        <f t="shared" si="22"/>
        <v>45900</v>
      </c>
      <c r="R42" s="578">
        <f>'Chi NSH'!AV21</f>
        <v>32298</v>
      </c>
      <c r="S42" s="578"/>
      <c r="T42" s="578">
        <f t="shared" si="23"/>
        <v>32298</v>
      </c>
      <c r="U42" s="578">
        <f>'Chi NSH'!BD21</f>
        <v>8000</v>
      </c>
      <c r="V42" s="578"/>
      <c r="W42" s="578">
        <f t="shared" si="24"/>
        <v>8000</v>
      </c>
      <c r="X42" s="578">
        <f>'Chi NSH'!BL21</f>
        <v>47400</v>
      </c>
      <c r="Y42" s="578"/>
      <c r="Z42" s="578">
        <f t="shared" si="25"/>
        <v>47400</v>
      </c>
      <c r="AA42" s="578">
        <f>'Chi NSH'!BT21</f>
        <v>61600</v>
      </c>
      <c r="AB42" s="578"/>
      <c r="AC42" s="578">
        <f t="shared" si="26"/>
        <v>61600</v>
      </c>
      <c r="AD42" s="578">
        <f>'Chi NSH'!CB21</f>
        <v>15900</v>
      </c>
      <c r="AE42" s="578"/>
      <c r="AF42" s="578">
        <f t="shared" si="27"/>
        <v>15900</v>
      </c>
      <c r="AG42" s="578">
        <f>'Chi NSH'!CJ21</f>
        <v>18300</v>
      </c>
      <c r="AH42" s="578"/>
      <c r="AI42" s="578">
        <f t="shared" si="28"/>
        <v>18300</v>
      </c>
      <c r="AJ42" s="578">
        <f>'Chi NSH'!CR21</f>
        <v>4500</v>
      </c>
      <c r="AK42" s="578"/>
      <c r="AL42" s="578">
        <f t="shared" si="29"/>
        <v>4500</v>
      </c>
      <c r="AM42" s="578">
        <f>'Chi NSH'!CZ21</f>
        <v>17700</v>
      </c>
      <c r="AN42" s="578"/>
      <c r="AO42" s="578">
        <f t="shared" si="30"/>
        <v>17700</v>
      </c>
    </row>
    <row r="43" spans="1:41" ht="20.100000000000001" hidden="1" customHeight="1" x14ac:dyDescent="0.25">
      <c r="A43" s="250" t="s">
        <v>564</v>
      </c>
      <c r="B43" s="1196" t="s">
        <v>933</v>
      </c>
      <c r="C43" s="578">
        <f t="shared" si="17"/>
        <v>76750</v>
      </c>
      <c r="D43" s="578"/>
      <c r="E43" s="578">
        <f t="shared" si="18"/>
        <v>76750</v>
      </c>
      <c r="F43" s="578">
        <f>'Chi NSH'!P22</f>
        <v>0</v>
      </c>
      <c r="G43" s="578"/>
      <c r="H43" s="578">
        <f t="shared" si="19"/>
        <v>0</v>
      </c>
      <c r="I43" s="578">
        <f>'Chi NSH'!X22</f>
        <v>4250</v>
      </c>
      <c r="J43" s="578"/>
      <c r="K43" s="578">
        <f>I43</f>
        <v>4250</v>
      </c>
      <c r="L43" s="578">
        <f>'Chi NSH'!AF22</f>
        <v>0</v>
      </c>
      <c r="M43" s="578"/>
      <c r="N43" s="578">
        <f>L43</f>
        <v>0</v>
      </c>
      <c r="O43" s="578">
        <f>'Chi NSH'!AN22</f>
        <v>0</v>
      </c>
      <c r="P43" s="578"/>
      <c r="Q43" s="578">
        <f>O43</f>
        <v>0</v>
      </c>
      <c r="R43" s="578">
        <f>'Chi NSH'!AV22</f>
        <v>0</v>
      </c>
      <c r="S43" s="578"/>
      <c r="T43" s="578">
        <f>R43</f>
        <v>0</v>
      </c>
      <c r="U43" s="578">
        <f>'Chi NSH'!BD22</f>
        <v>33750</v>
      </c>
      <c r="V43" s="578"/>
      <c r="W43" s="578">
        <f>U43</f>
        <v>33750</v>
      </c>
      <c r="X43" s="578">
        <f>'Chi NSH'!BL22</f>
        <v>0</v>
      </c>
      <c r="Y43" s="578"/>
      <c r="Z43" s="578">
        <f>X43</f>
        <v>0</v>
      </c>
      <c r="AA43" s="578">
        <f>'Chi NSH'!BT22</f>
        <v>0</v>
      </c>
      <c r="AB43" s="578"/>
      <c r="AC43" s="578">
        <f>AA43</f>
        <v>0</v>
      </c>
      <c r="AD43" s="578">
        <f>'Chi NSH'!CB22</f>
        <v>0</v>
      </c>
      <c r="AE43" s="578"/>
      <c r="AF43" s="578">
        <f>AD43</f>
        <v>0</v>
      </c>
      <c r="AG43" s="578">
        <f>'Chi NSH'!CJ22</f>
        <v>5000</v>
      </c>
      <c r="AH43" s="578"/>
      <c r="AI43" s="578">
        <f>AG43</f>
        <v>5000</v>
      </c>
      <c r="AJ43" s="578">
        <f>'Chi NSH'!CR22</f>
        <v>33750</v>
      </c>
      <c r="AK43" s="578"/>
      <c r="AL43" s="578">
        <f>AJ43</f>
        <v>33750</v>
      </c>
      <c r="AM43" s="578">
        <f>'Chi NSH'!CZ22</f>
        <v>0</v>
      </c>
      <c r="AN43" s="578"/>
      <c r="AO43" s="578">
        <f>AM43</f>
        <v>0</v>
      </c>
    </row>
    <row r="44" spans="1:41" ht="20.100000000000001" hidden="1" customHeight="1" x14ac:dyDescent="0.25">
      <c r="A44" s="250" t="s">
        <v>564</v>
      </c>
      <c r="B44" s="339" t="s">
        <v>1205</v>
      </c>
      <c r="C44" s="578">
        <f t="shared" si="17"/>
        <v>0</v>
      </c>
      <c r="D44" s="578"/>
      <c r="E44" s="578">
        <f t="shared" si="18"/>
        <v>0</v>
      </c>
      <c r="F44" s="578">
        <f>'Chi NSH'!P23</f>
        <v>0</v>
      </c>
      <c r="G44" s="578"/>
      <c r="H44" s="578">
        <f t="shared" ref="H44:H50" si="33">F44</f>
        <v>0</v>
      </c>
      <c r="I44" s="578">
        <f>'Chi NSH'!X23</f>
        <v>0</v>
      </c>
      <c r="J44" s="578"/>
      <c r="K44" s="578">
        <f>I44</f>
        <v>0</v>
      </c>
      <c r="L44" s="578">
        <f>'Chi NSH'!AF23</f>
        <v>0</v>
      </c>
      <c r="M44" s="578"/>
      <c r="N44" s="578">
        <f>L44</f>
        <v>0</v>
      </c>
      <c r="O44" s="578">
        <f>'Chi NSH'!AN23</f>
        <v>0</v>
      </c>
      <c r="P44" s="578"/>
      <c r="Q44" s="578">
        <f>O44</f>
        <v>0</v>
      </c>
      <c r="R44" s="578">
        <f>'Chi NSH'!AV23</f>
        <v>0</v>
      </c>
      <c r="S44" s="578"/>
      <c r="T44" s="578">
        <f>R44</f>
        <v>0</v>
      </c>
      <c r="U44" s="578">
        <f>'Chi NSH'!BD23</f>
        <v>0</v>
      </c>
      <c r="V44" s="578"/>
      <c r="W44" s="578">
        <f>U44</f>
        <v>0</v>
      </c>
      <c r="X44" s="578">
        <f>'Chi NSH'!BL23</f>
        <v>0</v>
      </c>
      <c r="Y44" s="578"/>
      <c r="Z44" s="578">
        <f>X44</f>
        <v>0</v>
      </c>
      <c r="AA44" s="578">
        <f>'Chi NSH'!BT23</f>
        <v>0</v>
      </c>
      <c r="AB44" s="578"/>
      <c r="AC44" s="578">
        <f>AA44</f>
        <v>0</v>
      </c>
      <c r="AD44" s="578">
        <f>'Chi NSH'!CB23</f>
        <v>0</v>
      </c>
      <c r="AE44" s="578"/>
      <c r="AF44" s="578">
        <f>AD44</f>
        <v>0</v>
      </c>
      <c r="AG44" s="578">
        <f>'Chi NSH'!CJ23</f>
        <v>0</v>
      </c>
      <c r="AH44" s="578"/>
      <c r="AI44" s="578">
        <f>AG44</f>
        <v>0</v>
      </c>
      <c r="AJ44" s="578">
        <f>'Chi NSH'!CR23</f>
        <v>0</v>
      </c>
      <c r="AK44" s="578"/>
      <c r="AL44" s="578">
        <f>AJ44</f>
        <v>0</v>
      </c>
      <c r="AM44" s="578">
        <f>'Chi NSH'!CZ23</f>
        <v>0</v>
      </c>
      <c r="AN44" s="578"/>
      <c r="AO44" s="578">
        <f>AM44</f>
        <v>0</v>
      </c>
    </row>
    <row r="45" spans="1:41" ht="20.100000000000001" hidden="1" customHeight="1" x14ac:dyDescent="0.25">
      <c r="A45" s="1207" t="s">
        <v>564</v>
      </c>
      <c r="B45" s="232" t="s">
        <v>1491</v>
      </c>
      <c r="C45" s="578">
        <f t="shared" si="17"/>
        <v>43105</v>
      </c>
      <c r="D45" s="578"/>
      <c r="E45" s="578">
        <f t="shared" si="18"/>
        <v>43105</v>
      </c>
      <c r="F45" s="578">
        <f>'Chi NSH'!N24</f>
        <v>3165</v>
      </c>
      <c r="G45" s="578"/>
      <c r="H45" s="578">
        <f t="shared" si="33"/>
        <v>3165</v>
      </c>
      <c r="I45" s="578">
        <f>'Chi NSH'!V24</f>
        <v>16475</v>
      </c>
      <c r="J45" s="578"/>
      <c r="K45" s="578">
        <f t="shared" si="20"/>
        <v>16475</v>
      </c>
      <c r="L45" s="578">
        <f>'Chi NSH'!AD24</f>
        <v>0</v>
      </c>
      <c r="M45" s="578"/>
      <c r="N45" s="578">
        <f t="shared" si="21"/>
        <v>0</v>
      </c>
      <c r="O45" s="578">
        <f>'Chi NSH'!AL24</f>
        <v>6100</v>
      </c>
      <c r="P45" s="578"/>
      <c r="Q45" s="578">
        <f t="shared" si="22"/>
        <v>6100</v>
      </c>
      <c r="R45" s="578">
        <f>'Chi NSH'!AT24</f>
        <v>0</v>
      </c>
      <c r="S45" s="578"/>
      <c r="T45" s="578">
        <f t="shared" si="23"/>
        <v>0</v>
      </c>
      <c r="U45" s="578">
        <f>'Chi NSH'!BB24</f>
        <v>0</v>
      </c>
      <c r="V45" s="578"/>
      <c r="W45" s="578">
        <f t="shared" si="24"/>
        <v>0</v>
      </c>
      <c r="X45" s="578">
        <f>'Chi NSH'!BJ24</f>
        <v>0</v>
      </c>
      <c r="Y45" s="578"/>
      <c r="Z45" s="578">
        <f t="shared" si="25"/>
        <v>0</v>
      </c>
      <c r="AA45" s="578">
        <f>'Chi NSH'!BR24</f>
        <v>0</v>
      </c>
      <c r="AB45" s="578"/>
      <c r="AC45" s="578">
        <f t="shared" si="26"/>
        <v>0</v>
      </c>
      <c r="AD45" s="578">
        <f>'Chi NSH'!BZ24</f>
        <v>15160</v>
      </c>
      <c r="AE45" s="578"/>
      <c r="AF45" s="578">
        <f t="shared" si="27"/>
        <v>15160</v>
      </c>
      <c r="AG45" s="578">
        <f>'Chi NSH'!CH24</f>
        <v>2205</v>
      </c>
      <c r="AH45" s="578"/>
      <c r="AI45" s="578">
        <f t="shared" si="28"/>
        <v>2205</v>
      </c>
      <c r="AJ45" s="578">
        <f>'Chi NSH'!CP24</f>
        <v>0</v>
      </c>
      <c r="AK45" s="578"/>
      <c r="AL45" s="578">
        <f t="shared" si="29"/>
        <v>0</v>
      </c>
      <c r="AM45" s="578">
        <f>'Chi NSH'!CX24</f>
        <v>0</v>
      </c>
      <c r="AN45" s="578"/>
      <c r="AO45" s="578">
        <f t="shared" si="30"/>
        <v>0</v>
      </c>
    </row>
    <row r="46" spans="1:41" ht="20.100000000000001" hidden="1" customHeight="1" x14ac:dyDescent="0.25">
      <c r="A46" s="621"/>
      <c r="B46" s="50"/>
      <c r="C46" s="578"/>
      <c r="D46" s="578"/>
      <c r="E46" s="578"/>
      <c r="F46" s="578"/>
      <c r="G46" s="578"/>
      <c r="H46" s="578">
        <f t="shared" si="33"/>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t="20.100000000000001" hidden="1" customHeight="1" x14ac:dyDescent="0.25">
      <c r="A47" s="621"/>
      <c r="B47" s="50"/>
      <c r="C47" s="578"/>
      <c r="D47" s="578"/>
      <c r="E47" s="578"/>
      <c r="F47" s="578"/>
      <c r="G47" s="578"/>
      <c r="H47" s="578">
        <f t="shared" si="33"/>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ht="20.100000000000001" hidden="1" customHeight="1" x14ac:dyDescent="0.25">
      <c r="A48" s="623"/>
      <c r="B48" s="624"/>
      <c r="C48" s="578"/>
      <c r="D48" s="578"/>
      <c r="E48" s="578"/>
      <c r="F48" s="578"/>
      <c r="G48" s="578"/>
      <c r="H48" s="578">
        <f t="shared" si="33"/>
        <v>0</v>
      </c>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8"/>
      <c r="AH48" s="578"/>
      <c r="AI48" s="578"/>
      <c r="AJ48" s="578"/>
      <c r="AK48" s="578"/>
      <c r="AL48" s="578"/>
      <c r="AM48" s="578"/>
      <c r="AN48" s="578"/>
      <c r="AO48" s="578"/>
    </row>
    <row r="49" spans="1:41" s="59" customFormat="1" ht="20.100000000000001" hidden="1" customHeight="1" x14ac:dyDescent="0.25">
      <c r="A49" s="179"/>
      <c r="B49" s="180"/>
      <c r="C49" s="578">
        <f>SUM(F49,L49,O49,R49,U49,X49,AA49,AD49,AG49,AJ49,AM49,I49)</f>
        <v>0</v>
      </c>
      <c r="D49" s="578"/>
      <c r="E49" s="578">
        <f>SUM(H49,N49,Q49,T49,W49,Z49,AC49,AF49,AI49,AL49,AO49,K49)</f>
        <v>0</v>
      </c>
      <c r="F49" s="578"/>
      <c r="G49" s="578"/>
      <c r="H49" s="578">
        <f t="shared" si="33"/>
        <v>0</v>
      </c>
      <c r="I49" s="578"/>
      <c r="J49" s="578"/>
      <c r="K49" s="578">
        <f t="shared" si="20"/>
        <v>0</v>
      </c>
      <c r="L49" s="578"/>
      <c r="M49" s="578"/>
      <c r="N49" s="578">
        <f t="shared" si="21"/>
        <v>0</v>
      </c>
      <c r="O49" s="578"/>
      <c r="P49" s="578"/>
      <c r="Q49" s="578">
        <f t="shared" si="22"/>
        <v>0</v>
      </c>
      <c r="R49" s="578"/>
      <c r="S49" s="578"/>
      <c r="T49" s="578">
        <f t="shared" si="23"/>
        <v>0</v>
      </c>
      <c r="U49" s="578"/>
      <c r="V49" s="578"/>
      <c r="W49" s="578">
        <f t="shared" si="24"/>
        <v>0</v>
      </c>
      <c r="X49" s="578"/>
      <c r="Y49" s="578"/>
      <c r="Z49" s="578">
        <f t="shared" si="25"/>
        <v>0</v>
      </c>
      <c r="AA49" s="578"/>
      <c r="AB49" s="578"/>
      <c r="AC49" s="578">
        <f t="shared" si="26"/>
        <v>0</v>
      </c>
      <c r="AD49" s="578"/>
      <c r="AE49" s="578"/>
      <c r="AF49" s="578">
        <f t="shared" si="27"/>
        <v>0</v>
      </c>
      <c r="AG49" s="578"/>
      <c r="AH49" s="578"/>
      <c r="AI49" s="578">
        <f t="shared" si="28"/>
        <v>0</v>
      </c>
      <c r="AJ49" s="578"/>
      <c r="AK49" s="578"/>
      <c r="AL49" s="578">
        <f t="shared" si="29"/>
        <v>0</v>
      </c>
      <c r="AM49" s="578"/>
      <c r="AN49" s="578"/>
      <c r="AO49" s="578">
        <f t="shared" si="30"/>
        <v>0</v>
      </c>
    </row>
    <row r="50" spans="1:41" s="61" customFormat="1" ht="20.100000000000001" hidden="1" customHeight="1" x14ac:dyDescent="0.25">
      <c r="A50" s="51" t="s">
        <v>449</v>
      </c>
      <c r="B50" s="49" t="s">
        <v>1212</v>
      </c>
      <c r="C50" s="577">
        <f>SUM(F50,L50,O50,R50,U50,X50,AA50,AD50,AG50,AJ50,AM50,I50)</f>
        <v>538114</v>
      </c>
      <c r="D50" s="577"/>
      <c r="E50" s="577">
        <f>SUM(H50,N50,Q50,T50,W50,Z50,AC50,AF50,AI50,AL50,AO50,K50)</f>
        <v>538114</v>
      </c>
      <c r="F50" s="577">
        <f>'Chi NSH'!P25</f>
        <v>5467</v>
      </c>
      <c r="G50" s="577"/>
      <c r="H50" s="577">
        <f t="shared" si="33"/>
        <v>5467</v>
      </c>
      <c r="I50" s="577">
        <f>'Chi NSH'!X25</f>
        <v>0</v>
      </c>
      <c r="J50" s="577"/>
      <c r="K50" s="577">
        <f>I50</f>
        <v>0</v>
      </c>
      <c r="L50" s="577">
        <f>'Chi NSH'!AF25</f>
        <v>8754</v>
      </c>
      <c r="M50" s="577"/>
      <c r="N50" s="577">
        <f>L50</f>
        <v>8754</v>
      </c>
      <c r="O50" s="577">
        <f>'Chi NSH'!AN25</f>
        <v>7763</v>
      </c>
      <c r="P50" s="577"/>
      <c r="Q50" s="577">
        <f>O50</f>
        <v>7763</v>
      </c>
      <c r="R50" s="577">
        <f>'Chi NSH'!AV25</f>
        <v>0</v>
      </c>
      <c r="S50" s="577"/>
      <c r="T50" s="577">
        <f>R50</f>
        <v>0</v>
      </c>
      <c r="U50" s="577">
        <f>'Chi NSH'!BD25</f>
        <v>390133</v>
      </c>
      <c r="V50" s="577"/>
      <c r="W50" s="577">
        <f>U50</f>
        <v>390133</v>
      </c>
      <c r="X50" s="577">
        <f>'Chi NSH'!BL25</f>
        <v>0</v>
      </c>
      <c r="Y50" s="577"/>
      <c r="Z50" s="577">
        <f>X50</f>
        <v>0</v>
      </c>
      <c r="AA50" s="577">
        <f>'Chi NSH'!BT25</f>
        <v>0</v>
      </c>
      <c r="AB50" s="577"/>
      <c r="AC50" s="577">
        <f>AA50</f>
        <v>0</v>
      </c>
      <c r="AD50" s="577">
        <f>'Chi NSH'!CB25</f>
        <v>3178</v>
      </c>
      <c r="AE50" s="577"/>
      <c r="AF50" s="577">
        <f>AD50</f>
        <v>3178</v>
      </c>
      <c r="AG50" s="577">
        <f>'Chi NSH'!CJ25</f>
        <v>1112</v>
      </c>
      <c r="AH50" s="577"/>
      <c r="AI50" s="577">
        <f>AG50</f>
        <v>1112</v>
      </c>
      <c r="AJ50" s="577">
        <f>'Chi NSH'!CR25</f>
        <v>119826</v>
      </c>
      <c r="AK50" s="577"/>
      <c r="AL50" s="577">
        <f>AJ50</f>
        <v>119826</v>
      </c>
      <c r="AM50" s="577">
        <f>'Chi NSH'!CZ25</f>
        <v>1881</v>
      </c>
      <c r="AN50" s="577"/>
      <c r="AO50" s="577">
        <f>AM50</f>
        <v>1881</v>
      </c>
    </row>
    <row r="51" spans="1:41" hidden="1" x14ac:dyDescent="0.25">
      <c r="A51" s="62"/>
      <c r="B51" s="62" t="s">
        <v>685</v>
      </c>
      <c r="C51" s="580"/>
      <c r="D51" s="580"/>
      <c r="E51" s="580">
        <f>SUM(H51,N51,Q51,T51,W51,Z51,AC51,AF51,AI51,AL51,AO51,K51)</f>
        <v>7453009</v>
      </c>
      <c r="F51" s="580"/>
      <c r="G51" s="580"/>
      <c r="H51" s="580">
        <f>SUM(H5,H32,H50)</f>
        <v>508630</v>
      </c>
      <c r="I51" s="580"/>
      <c r="J51" s="580"/>
      <c r="K51" s="580">
        <f>SUM(K5,K32,K50)</f>
        <v>466908</v>
      </c>
      <c r="L51" s="580"/>
      <c r="M51" s="580"/>
      <c r="N51" s="580">
        <f>SUM(N5,N32,N50)</f>
        <v>443090</v>
      </c>
      <c r="O51" s="580"/>
      <c r="P51" s="580"/>
      <c r="Q51" s="580">
        <f>SUM(Q5,Q32,Q50)</f>
        <v>449344</v>
      </c>
      <c r="R51" s="580"/>
      <c r="S51" s="580"/>
      <c r="T51" s="580">
        <f>SUM(T5,T32,T50)</f>
        <v>565232</v>
      </c>
      <c r="U51" s="580"/>
      <c r="V51" s="580"/>
      <c r="W51" s="580">
        <f>SUM(W5,W32,W50)</f>
        <v>1287780</v>
      </c>
      <c r="X51" s="580"/>
      <c r="Y51" s="580"/>
      <c r="Z51" s="580">
        <f>SUM(Z5,Z32,Z50)</f>
        <v>701919</v>
      </c>
      <c r="AA51" s="580"/>
      <c r="AB51" s="580"/>
      <c r="AC51" s="580">
        <f>SUM(AC5,AC32,AC50)</f>
        <v>641617</v>
      </c>
      <c r="AD51" s="580"/>
      <c r="AE51" s="580"/>
      <c r="AF51" s="580">
        <f>SUM(AF5,AF32,AF50)</f>
        <v>592111</v>
      </c>
      <c r="AG51" s="580"/>
      <c r="AH51" s="580"/>
      <c r="AI51" s="580">
        <f>SUM(AI5,AI32,AI50)</f>
        <v>515138</v>
      </c>
      <c r="AJ51" s="580"/>
      <c r="AK51" s="580"/>
      <c r="AL51" s="580">
        <f>SUM(AL5,AL32,AL50)</f>
        <v>791375</v>
      </c>
      <c r="AM51" s="580"/>
      <c r="AN51" s="580"/>
      <c r="AO51" s="580">
        <f>SUM(AO5,AO32,AO50)</f>
        <v>489865</v>
      </c>
    </row>
  </sheetData>
  <mergeCells count="17">
    <mergeCell ref="AJ3:AL3"/>
    <mergeCell ref="U2:W2"/>
    <mergeCell ref="AM2:AO2"/>
    <mergeCell ref="A3:A4"/>
    <mergeCell ref="B3:B4"/>
    <mergeCell ref="C3:E3"/>
    <mergeCell ref="F3:H3"/>
    <mergeCell ref="I3:K3"/>
    <mergeCell ref="L3:N3"/>
    <mergeCell ref="O3:Q3"/>
    <mergeCell ref="R3:T3"/>
    <mergeCell ref="AM3:AO3"/>
    <mergeCell ref="U3:W3"/>
    <mergeCell ref="X3:Z3"/>
    <mergeCell ref="AA3:AC3"/>
    <mergeCell ref="AD3:AF3"/>
    <mergeCell ref="AG3:AI3"/>
  </mergeCells>
  <printOptions horizontalCentered="1"/>
  <pageMargins left="0" right="0" top="0.39370078740157483" bottom="0.39370078740157483" header="0.19685039370078741" footer="0.19685039370078741"/>
  <pageSetup paperSize="9" scale="72" fitToWidth="2" orientation="landscape" r:id="rId1"/>
  <headerFooter alignWithMargins="0">
    <oddHeader>&amp;R&amp;A</oddHead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8"/>
    <pageSetUpPr fitToPage="1"/>
  </sheetPr>
  <dimension ref="A1:DB59"/>
  <sheetViews>
    <sheetView zoomScaleNormal="100" workbookViewId="0">
      <pane xSplit="3" ySplit="7" topLeftCell="XET8" activePane="bottomRight" state="frozen"/>
      <selection activeCell="B45" sqref="B45"/>
      <selection pane="topRight" activeCell="B45" sqref="B45"/>
      <selection pane="bottomLeft" activeCell="B45" sqref="B45"/>
      <selection pane="bottomRight" activeCell="B45" sqref="B45"/>
    </sheetView>
  </sheetViews>
  <sheetFormatPr defaultRowHeight="12.75" x14ac:dyDescent="0.2"/>
  <cols>
    <col min="1" max="1" width="4.375" style="321" bestFit="1" customWidth="1"/>
    <col min="2" max="2" width="43.125" style="321" customWidth="1"/>
    <col min="3" max="3" width="10.625" style="351" customWidth="1"/>
    <col min="4" max="8" width="10.625" style="321" customWidth="1"/>
    <col min="9" max="10" width="8.625" style="321" customWidth="1"/>
    <col min="11" max="16" width="10.625" style="321" customWidth="1"/>
    <col min="17" max="18" width="8.625" style="321" customWidth="1"/>
    <col min="19" max="24" width="10.625" style="321" customWidth="1"/>
    <col min="25" max="26" width="8.625" style="321" customWidth="1"/>
    <col min="27" max="32" width="10.625" style="321" customWidth="1"/>
    <col min="33" max="34" width="8.625" style="321" customWidth="1"/>
    <col min="35" max="40" width="10.625" style="321" customWidth="1"/>
    <col min="41" max="42" width="8.625" style="321" customWidth="1"/>
    <col min="43" max="48" width="10.625" style="321" customWidth="1"/>
    <col min="49" max="50" width="8.625" style="321" customWidth="1"/>
    <col min="51" max="56" width="10.625" style="321" customWidth="1"/>
    <col min="57" max="58" width="8.625" style="321" customWidth="1"/>
    <col min="59" max="64" width="10.625" style="321" customWidth="1"/>
    <col min="65" max="66" width="8.625" style="321" customWidth="1"/>
    <col min="67" max="72" width="10.625" style="321" customWidth="1"/>
    <col min="73" max="74" width="8.625" style="321" customWidth="1"/>
    <col min="75" max="80" width="10.625" style="321" customWidth="1"/>
    <col min="81" max="82" width="8.625" style="321" customWidth="1"/>
    <col min="83" max="88" width="10.625" style="321" customWidth="1"/>
    <col min="89" max="90" width="8.625" style="321" customWidth="1"/>
    <col min="91" max="96" width="10.625" style="321" customWidth="1"/>
    <col min="97" max="98" width="8.625" style="321" customWidth="1"/>
    <col min="99" max="104" width="10.625" style="321" customWidth="1"/>
    <col min="105" max="106" width="8.625" style="321" customWidth="1"/>
    <col min="107" max="16384" width="9" style="321"/>
  </cols>
  <sheetData>
    <row r="1" spans="1:106" ht="22.5" customHeight="1" x14ac:dyDescent="0.2">
      <c r="C1" s="322" t="s">
        <v>1541</v>
      </c>
      <c r="D1" s="322"/>
      <c r="E1" s="322"/>
      <c r="F1" s="322"/>
      <c r="G1" s="323"/>
      <c r="H1" s="323"/>
      <c r="I1" s="323"/>
      <c r="J1" s="323"/>
      <c r="K1" s="322" t="s">
        <v>1541</v>
      </c>
      <c r="L1" s="322"/>
      <c r="M1" s="324"/>
      <c r="N1" s="324"/>
      <c r="O1" s="324"/>
      <c r="P1" s="324"/>
      <c r="Q1" s="324"/>
      <c r="R1" s="324"/>
      <c r="S1" s="322" t="s">
        <v>1541</v>
      </c>
      <c r="T1" s="322"/>
      <c r="U1" s="324"/>
      <c r="V1" s="324"/>
      <c r="W1" s="324"/>
      <c r="X1" s="324"/>
      <c r="Y1" s="324"/>
      <c r="Z1" s="324"/>
      <c r="AA1" s="322" t="s">
        <v>1541</v>
      </c>
      <c r="AB1" s="323"/>
      <c r="AC1" s="323"/>
      <c r="AD1" s="323"/>
      <c r="AE1" s="323"/>
      <c r="AF1" s="323"/>
      <c r="AG1" s="323"/>
      <c r="AH1" s="323"/>
      <c r="AI1" s="322" t="s">
        <v>1541</v>
      </c>
      <c r="AJ1" s="323"/>
      <c r="AK1" s="323"/>
      <c r="AL1" s="323"/>
      <c r="AM1" s="323"/>
      <c r="AN1" s="323"/>
      <c r="AO1" s="323"/>
      <c r="AP1" s="323"/>
      <c r="AQ1" s="322" t="s">
        <v>1541</v>
      </c>
      <c r="AR1" s="323"/>
      <c r="AS1" s="323"/>
      <c r="AT1" s="323"/>
      <c r="AU1" s="323"/>
      <c r="AV1" s="323"/>
      <c r="AW1" s="323"/>
      <c r="AX1" s="323"/>
      <c r="AY1" s="322" t="s">
        <v>1541</v>
      </c>
      <c r="AZ1" s="323"/>
      <c r="BA1" s="323"/>
      <c r="BB1" s="323"/>
      <c r="BC1" s="323"/>
      <c r="BD1" s="323"/>
      <c r="BE1" s="323"/>
      <c r="BF1" s="323"/>
      <c r="BG1" s="322" t="s">
        <v>1541</v>
      </c>
      <c r="BH1" s="323"/>
      <c r="BI1" s="323"/>
      <c r="BJ1" s="323"/>
      <c r="BK1" s="323"/>
      <c r="BL1" s="323"/>
      <c r="BM1" s="323"/>
      <c r="BN1" s="323"/>
      <c r="BO1" s="322" t="s">
        <v>1541</v>
      </c>
      <c r="BP1" s="323"/>
      <c r="BQ1" s="323"/>
      <c r="BR1" s="323"/>
      <c r="BS1" s="323"/>
      <c r="BT1" s="323"/>
      <c r="BU1" s="323"/>
      <c r="BV1" s="323"/>
      <c r="BW1" s="322" t="s">
        <v>1541</v>
      </c>
      <c r="BX1" s="323"/>
      <c r="BY1" s="323"/>
      <c r="BZ1" s="323"/>
      <c r="CA1" s="323"/>
      <c r="CB1" s="323"/>
      <c r="CC1" s="323"/>
      <c r="CD1" s="323"/>
      <c r="CE1" s="322" t="s">
        <v>1541</v>
      </c>
      <c r="CF1" s="323"/>
      <c r="CG1" s="323"/>
      <c r="CH1" s="323"/>
      <c r="CI1" s="323"/>
      <c r="CJ1" s="323"/>
      <c r="CK1" s="323"/>
      <c r="CL1" s="323"/>
      <c r="CM1" s="322" t="s">
        <v>1541</v>
      </c>
      <c r="CN1" s="323"/>
      <c r="CO1" s="323"/>
      <c r="CP1" s="323"/>
      <c r="CQ1" s="323"/>
      <c r="CR1" s="323"/>
      <c r="CS1" s="323"/>
      <c r="CT1" s="323"/>
      <c r="CU1" s="322" t="s">
        <v>1541</v>
      </c>
      <c r="CV1" s="323"/>
      <c r="CW1" s="323"/>
      <c r="CX1" s="323"/>
      <c r="CY1" s="323"/>
      <c r="CZ1" s="323"/>
      <c r="DA1" s="323"/>
      <c r="DB1" s="323"/>
    </row>
    <row r="2" spans="1:106" s="325" customFormat="1" ht="18" customHeight="1" thickBot="1" x14ac:dyDescent="0.25">
      <c r="B2" s="326"/>
      <c r="C2" s="327"/>
      <c r="D2" s="326"/>
      <c r="E2" s="326"/>
      <c r="F2" s="326"/>
      <c r="G2" s="326"/>
      <c r="H2" s="326"/>
      <c r="J2" s="328" t="s">
        <v>516</v>
      </c>
      <c r="Q2" s="328"/>
      <c r="R2" s="328" t="s">
        <v>516</v>
      </c>
      <c r="Y2" s="328"/>
      <c r="Z2" s="328" t="s">
        <v>516</v>
      </c>
      <c r="AG2" s="328"/>
      <c r="AH2" s="328" t="s">
        <v>516</v>
      </c>
      <c r="AO2" s="328"/>
      <c r="AP2" s="328" t="s">
        <v>516</v>
      </c>
      <c r="AW2" s="328"/>
      <c r="AX2" s="328" t="s">
        <v>516</v>
      </c>
      <c r="BE2" s="328"/>
      <c r="BF2" s="328" t="s">
        <v>516</v>
      </c>
      <c r="BM2" s="328"/>
      <c r="BN2" s="328" t="s">
        <v>516</v>
      </c>
      <c r="BU2" s="328"/>
      <c r="BV2" s="328" t="s">
        <v>516</v>
      </c>
      <c r="CC2" s="328"/>
      <c r="CD2" s="328" t="s">
        <v>516</v>
      </c>
      <c r="CK2" s="328"/>
      <c r="CL2" s="328" t="s">
        <v>516</v>
      </c>
      <c r="CS2" s="328"/>
      <c r="CT2" s="328" t="s">
        <v>516</v>
      </c>
      <c r="DB2" s="328" t="s">
        <v>516</v>
      </c>
    </row>
    <row r="3" spans="1:106" s="329" customFormat="1" ht="21" customHeight="1" x14ac:dyDescent="0.25">
      <c r="A3" s="1504" t="s">
        <v>519</v>
      </c>
      <c r="B3" s="1506" t="s">
        <v>357</v>
      </c>
      <c r="C3" s="1500" t="s">
        <v>520</v>
      </c>
      <c r="D3" s="1501"/>
      <c r="E3" s="1501"/>
      <c r="F3" s="1501"/>
      <c r="G3" s="1501"/>
      <c r="H3" s="1501"/>
      <c r="I3" s="1501"/>
      <c r="J3" s="1502"/>
      <c r="K3" s="1500" t="s">
        <v>550</v>
      </c>
      <c r="L3" s="1501"/>
      <c r="M3" s="1501"/>
      <c r="N3" s="1501"/>
      <c r="O3" s="1501"/>
      <c r="P3" s="1501"/>
      <c r="Q3" s="1501"/>
      <c r="R3" s="1502"/>
      <c r="S3" s="1500" t="s">
        <v>1519</v>
      </c>
      <c r="T3" s="1501"/>
      <c r="U3" s="1501"/>
      <c r="V3" s="1501"/>
      <c r="W3" s="1501"/>
      <c r="X3" s="1501"/>
      <c r="Y3" s="1501"/>
      <c r="Z3" s="1502"/>
      <c r="AA3" s="1500" t="s">
        <v>551</v>
      </c>
      <c r="AB3" s="1501"/>
      <c r="AC3" s="1501"/>
      <c r="AD3" s="1501"/>
      <c r="AE3" s="1501"/>
      <c r="AF3" s="1501"/>
      <c r="AG3" s="1501"/>
      <c r="AH3" s="1502"/>
      <c r="AI3" s="1500" t="s">
        <v>552</v>
      </c>
      <c r="AJ3" s="1501"/>
      <c r="AK3" s="1501"/>
      <c r="AL3" s="1501"/>
      <c r="AM3" s="1501"/>
      <c r="AN3" s="1501"/>
      <c r="AO3" s="1501"/>
      <c r="AP3" s="1502"/>
      <c r="AQ3" s="1500" t="s">
        <v>358</v>
      </c>
      <c r="AR3" s="1501"/>
      <c r="AS3" s="1501"/>
      <c r="AT3" s="1501"/>
      <c r="AU3" s="1501"/>
      <c r="AV3" s="1501"/>
      <c r="AW3" s="1501"/>
      <c r="AX3" s="1502"/>
      <c r="AY3" s="1500" t="s">
        <v>1520</v>
      </c>
      <c r="AZ3" s="1501"/>
      <c r="BA3" s="1501"/>
      <c r="BB3" s="1501"/>
      <c r="BC3" s="1501"/>
      <c r="BD3" s="1501"/>
      <c r="BE3" s="1501"/>
      <c r="BF3" s="1502"/>
      <c r="BG3" s="1500" t="s">
        <v>359</v>
      </c>
      <c r="BH3" s="1501"/>
      <c r="BI3" s="1501"/>
      <c r="BJ3" s="1501"/>
      <c r="BK3" s="1501"/>
      <c r="BL3" s="1501"/>
      <c r="BM3" s="1501"/>
      <c r="BN3" s="1502"/>
      <c r="BO3" s="1500" t="s">
        <v>556</v>
      </c>
      <c r="BP3" s="1501"/>
      <c r="BQ3" s="1501"/>
      <c r="BR3" s="1501"/>
      <c r="BS3" s="1501"/>
      <c r="BT3" s="1501"/>
      <c r="BU3" s="1501"/>
      <c r="BV3" s="1502"/>
      <c r="BW3" s="1500" t="s">
        <v>557</v>
      </c>
      <c r="BX3" s="1501"/>
      <c r="BY3" s="1501"/>
      <c r="BZ3" s="1501"/>
      <c r="CA3" s="1501"/>
      <c r="CB3" s="1501"/>
      <c r="CC3" s="1501"/>
      <c r="CD3" s="1502"/>
      <c r="CE3" s="1500" t="s">
        <v>558</v>
      </c>
      <c r="CF3" s="1501"/>
      <c r="CG3" s="1501"/>
      <c r="CH3" s="1501"/>
      <c r="CI3" s="1501"/>
      <c r="CJ3" s="1501"/>
      <c r="CK3" s="1501"/>
      <c r="CL3" s="1502"/>
      <c r="CM3" s="1500" t="s">
        <v>1521</v>
      </c>
      <c r="CN3" s="1501"/>
      <c r="CO3" s="1501"/>
      <c r="CP3" s="1501"/>
      <c r="CQ3" s="1501"/>
      <c r="CR3" s="1501"/>
      <c r="CS3" s="1501"/>
      <c r="CT3" s="1502"/>
      <c r="CU3" s="1500" t="s">
        <v>559</v>
      </c>
      <c r="CV3" s="1501"/>
      <c r="CW3" s="1501"/>
      <c r="CX3" s="1501"/>
      <c r="CY3" s="1501"/>
      <c r="CZ3" s="1501"/>
      <c r="DA3" s="1501"/>
      <c r="DB3" s="1503"/>
    </row>
    <row r="4" spans="1:106" s="330" customFormat="1" ht="24.95" customHeight="1" x14ac:dyDescent="0.25">
      <c r="A4" s="1505"/>
      <c r="B4" s="1507"/>
      <c r="C4" s="1495" t="s">
        <v>905</v>
      </c>
      <c r="D4" s="1496"/>
      <c r="E4" s="1497"/>
      <c r="F4" s="1495" t="s">
        <v>1405</v>
      </c>
      <c r="G4" s="1496"/>
      <c r="H4" s="1497"/>
      <c r="I4" s="1498" t="s">
        <v>1406</v>
      </c>
      <c r="J4" s="1498" t="s">
        <v>1407</v>
      </c>
      <c r="K4" s="1495" t="s">
        <v>905</v>
      </c>
      <c r="L4" s="1496"/>
      <c r="M4" s="1497"/>
      <c r="N4" s="1495" t="s">
        <v>1405</v>
      </c>
      <c r="O4" s="1496"/>
      <c r="P4" s="1497"/>
      <c r="Q4" s="1498" t="s">
        <v>1406</v>
      </c>
      <c r="R4" s="1498" t="s">
        <v>1407</v>
      </c>
      <c r="S4" s="1495" t="s">
        <v>905</v>
      </c>
      <c r="T4" s="1496"/>
      <c r="U4" s="1497"/>
      <c r="V4" s="1495" t="s">
        <v>1405</v>
      </c>
      <c r="W4" s="1496"/>
      <c r="X4" s="1497"/>
      <c r="Y4" s="1498" t="s">
        <v>1406</v>
      </c>
      <c r="Z4" s="1498" t="s">
        <v>1407</v>
      </c>
      <c r="AA4" s="1495" t="s">
        <v>905</v>
      </c>
      <c r="AB4" s="1496"/>
      <c r="AC4" s="1497"/>
      <c r="AD4" s="1495" t="s">
        <v>1405</v>
      </c>
      <c r="AE4" s="1496"/>
      <c r="AF4" s="1497"/>
      <c r="AG4" s="1498" t="s">
        <v>1406</v>
      </c>
      <c r="AH4" s="1498" t="s">
        <v>1407</v>
      </c>
      <c r="AI4" s="1495" t="s">
        <v>905</v>
      </c>
      <c r="AJ4" s="1496"/>
      <c r="AK4" s="1497"/>
      <c r="AL4" s="1495" t="s">
        <v>1405</v>
      </c>
      <c r="AM4" s="1496"/>
      <c r="AN4" s="1497"/>
      <c r="AO4" s="1498" t="s">
        <v>1406</v>
      </c>
      <c r="AP4" s="1498" t="s">
        <v>1407</v>
      </c>
      <c r="AQ4" s="1495" t="s">
        <v>905</v>
      </c>
      <c r="AR4" s="1496"/>
      <c r="AS4" s="1497"/>
      <c r="AT4" s="1495" t="s">
        <v>1405</v>
      </c>
      <c r="AU4" s="1496"/>
      <c r="AV4" s="1497"/>
      <c r="AW4" s="1498" t="s">
        <v>1406</v>
      </c>
      <c r="AX4" s="1498" t="s">
        <v>1407</v>
      </c>
      <c r="AY4" s="1495" t="s">
        <v>905</v>
      </c>
      <c r="AZ4" s="1496"/>
      <c r="BA4" s="1497"/>
      <c r="BB4" s="1495" t="s">
        <v>1405</v>
      </c>
      <c r="BC4" s="1496"/>
      <c r="BD4" s="1497"/>
      <c r="BE4" s="1498" t="s">
        <v>1406</v>
      </c>
      <c r="BF4" s="1498" t="s">
        <v>1407</v>
      </c>
      <c r="BG4" s="1495" t="s">
        <v>905</v>
      </c>
      <c r="BH4" s="1496"/>
      <c r="BI4" s="1497"/>
      <c r="BJ4" s="1495" t="s">
        <v>1405</v>
      </c>
      <c r="BK4" s="1496"/>
      <c r="BL4" s="1497"/>
      <c r="BM4" s="1498" t="s">
        <v>1406</v>
      </c>
      <c r="BN4" s="1498" t="s">
        <v>1407</v>
      </c>
      <c r="BO4" s="1495" t="s">
        <v>905</v>
      </c>
      <c r="BP4" s="1496"/>
      <c r="BQ4" s="1497"/>
      <c r="BR4" s="1495" t="s">
        <v>1405</v>
      </c>
      <c r="BS4" s="1496"/>
      <c r="BT4" s="1497"/>
      <c r="BU4" s="1498" t="s">
        <v>1406</v>
      </c>
      <c r="BV4" s="1498" t="s">
        <v>1407</v>
      </c>
      <c r="BW4" s="1495" t="s">
        <v>905</v>
      </c>
      <c r="BX4" s="1496"/>
      <c r="BY4" s="1497"/>
      <c r="BZ4" s="1495" t="s">
        <v>1405</v>
      </c>
      <c r="CA4" s="1496"/>
      <c r="CB4" s="1497"/>
      <c r="CC4" s="1498" t="s">
        <v>1406</v>
      </c>
      <c r="CD4" s="1498" t="s">
        <v>1407</v>
      </c>
      <c r="CE4" s="1495" t="s">
        <v>905</v>
      </c>
      <c r="CF4" s="1496"/>
      <c r="CG4" s="1497"/>
      <c r="CH4" s="1495" t="s">
        <v>1405</v>
      </c>
      <c r="CI4" s="1496"/>
      <c r="CJ4" s="1497"/>
      <c r="CK4" s="1498" t="s">
        <v>1406</v>
      </c>
      <c r="CL4" s="1498" t="s">
        <v>1407</v>
      </c>
      <c r="CM4" s="1495" t="s">
        <v>905</v>
      </c>
      <c r="CN4" s="1496"/>
      <c r="CO4" s="1497"/>
      <c r="CP4" s="1495" t="s">
        <v>1405</v>
      </c>
      <c r="CQ4" s="1496"/>
      <c r="CR4" s="1497"/>
      <c r="CS4" s="1498" t="s">
        <v>1406</v>
      </c>
      <c r="CT4" s="1498" t="s">
        <v>1407</v>
      </c>
      <c r="CU4" s="1495" t="s">
        <v>905</v>
      </c>
      <c r="CV4" s="1496"/>
      <c r="CW4" s="1497"/>
      <c r="CX4" s="1495" t="s">
        <v>1405</v>
      </c>
      <c r="CY4" s="1496"/>
      <c r="CZ4" s="1497"/>
      <c r="DA4" s="1498" t="s">
        <v>1406</v>
      </c>
      <c r="DB4" s="1498" t="s">
        <v>1407</v>
      </c>
    </row>
    <row r="5" spans="1:106" s="330" customFormat="1" ht="116.25" customHeight="1" x14ac:dyDescent="0.25">
      <c r="A5" s="1505"/>
      <c r="B5" s="1507"/>
      <c r="C5" s="331" t="s">
        <v>582</v>
      </c>
      <c r="D5" s="331" t="s">
        <v>1474</v>
      </c>
      <c r="E5" s="331" t="s">
        <v>1384</v>
      </c>
      <c r="F5" s="331" t="s">
        <v>583</v>
      </c>
      <c r="G5" s="331" t="s">
        <v>1490</v>
      </c>
      <c r="H5" s="331" t="s">
        <v>1475</v>
      </c>
      <c r="I5" s="1499"/>
      <c r="J5" s="1499"/>
      <c r="K5" s="331" t="s">
        <v>582</v>
      </c>
      <c r="L5" s="331" t="s">
        <v>1474</v>
      </c>
      <c r="M5" s="331" t="s">
        <v>1384</v>
      </c>
      <c r="N5" s="331" t="s">
        <v>583</v>
      </c>
      <c r="O5" s="331" t="s">
        <v>1490</v>
      </c>
      <c r="P5" s="331" t="s">
        <v>1475</v>
      </c>
      <c r="Q5" s="1499"/>
      <c r="R5" s="1499"/>
      <c r="S5" s="331" t="s">
        <v>582</v>
      </c>
      <c r="T5" s="331" t="s">
        <v>1474</v>
      </c>
      <c r="U5" s="331" t="s">
        <v>1384</v>
      </c>
      <c r="V5" s="331" t="s">
        <v>583</v>
      </c>
      <c r="W5" s="331" t="s">
        <v>1490</v>
      </c>
      <c r="X5" s="331" t="s">
        <v>1475</v>
      </c>
      <c r="Y5" s="1499"/>
      <c r="Z5" s="1499"/>
      <c r="AA5" s="331" t="s">
        <v>582</v>
      </c>
      <c r="AB5" s="331" t="s">
        <v>1474</v>
      </c>
      <c r="AC5" s="331" t="s">
        <v>1384</v>
      </c>
      <c r="AD5" s="331" t="s">
        <v>583</v>
      </c>
      <c r="AE5" s="331" t="s">
        <v>1490</v>
      </c>
      <c r="AF5" s="331" t="s">
        <v>1475</v>
      </c>
      <c r="AG5" s="1499"/>
      <c r="AH5" s="1499"/>
      <c r="AI5" s="331" t="s">
        <v>582</v>
      </c>
      <c r="AJ5" s="331" t="s">
        <v>1474</v>
      </c>
      <c r="AK5" s="331" t="s">
        <v>1384</v>
      </c>
      <c r="AL5" s="331" t="s">
        <v>583</v>
      </c>
      <c r="AM5" s="331" t="s">
        <v>1490</v>
      </c>
      <c r="AN5" s="331" t="s">
        <v>1475</v>
      </c>
      <c r="AO5" s="1499"/>
      <c r="AP5" s="1499"/>
      <c r="AQ5" s="331" t="s">
        <v>582</v>
      </c>
      <c r="AR5" s="331" t="s">
        <v>1474</v>
      </c>
      <c r="AS5" s="331" t="s">
        <v>1384</v>
      </c>
      <c r="AT5" s="331" t="s">
        <v>583</v>
      </c>
      <c r="AU5" s="331" t="s">
        <v>1490</v>
      </c>
      <c r="AV5" s="331" t="s">
        <v>1475</v>
      </c>
      <c r="AW5" s="1499"/>
      <c r="AX5" s="1499"/>
      <c r="AY5" s="331" t="s">
        <v>582</v>
      </c>
      <c r="AZ5" s="331" t="s">
        <v>1474</v>
      </c>
      <c r="BA5" s="331" t="s">
        <v>1384</v>
      </c>
      <c r="BB5" s="331" t="s">
        <v>583</v>
      </c>
      <c r="BC5" s="331" t="s">
        <v>1490</v>
      </c>
      <c r="BD5" s="331" t="s">
        <v>1475</v>
      </c>
      <c r="BE5" s="1499"/>
      <c r="BF5" s="1499"/>
      <c r="BG5" s="331" t="s">
        <v>582</v>
      </c>
      <c r="BH5" s="331" t="s">
        <v>1474</v>
      </c>
      <c r="BI5" s="331" t="s">
        <v>1384</v>
      </c>
      <c r="BJ5" s="331" t="s">
        <v>583</v>
      </c>
      <c r="BK5" s="331" t="s">
        <v>1490</v>
      </c>
      <c r="BL5" s="331" t="s">
        <v>1475</v>
      </c>
      <c r="BM5" s="1499"/>
      <c r="BN5" s="1499"/>
      <c r="BO5" s="331" t="s">
        <v>582</v>
      </c>
      <c r="BP5" s="331" t="s">
        <v>1474</v>
      </c>
      <c r="BQ5" s="331" t="s">
        <v>1384</v>
      </c>
      <c r="BR5" s="331" t="s">
        <v>583</v>
      </c>
      <c r="BS5" s="331" t="s">
        <v>1490</v>
      </c>
      <c r="BT5" s="331" t="s">
        <v>1475</v>
      </c>
      <c r="BU5" s="1499"/>
      <c r="BV5" s="1499"/>
      <c r="BW5" s="331" t="s">
        <v>582</v>
      </c>
      <c r="BX5" s="331" t="s">
        <v>1474</v>
      </c>
      <c r="BY5" s="331" t="s">
        <v>1384</v>
      </c>
      <c r="BZ5" s="331" t="s">
        <v>583</v>
      </c>
      <c r="CA5" s="331" t="s">
        <v>1490</v>
      </c>
      <c r="CB5" s="331" t="s">
        <v>1475</v>
      </c>
      <c r="CC5" s="1499"/>
      <c r="CD5" s="1499"/>
      <c r="CE5" s="331" t="s">
        <v>582</v>
      </c>
      <c r="CF5" s="331" t="s">
        <v>1474</v>
      </c>
      <c r="CG5" s="331" t="s">
        <v>1384</v>
      </c>
      <c r="CH5" s="331" t="s">
        <v>583</v>
      </c>
      <c r="CI5" s="331" t="s">
        <v>1490</v>
      </c>
      <c r="CJ5" s="331" t="s">
        <v>1475</v>
      </c>
      <c r="CK5" s="1499"/>
      <c r="CL5" s="1499"/>
      <c r="CM5" s="331" t="s">
        <v>582</v>
      </c>
      <c r="CN5" s="331" t="s">
        <v>1474</v>
      </c>
      <c r="CO5" s="331" t="s">
        <v>1384</v>
      </c>
      <c r="CP5" s="331" t="s">
        <v>583</v>
      </c>
      <c r="CQ5" s="331" t="s">
        <v>1490</v>
      </c>
      <c r="CR5" s="331" t="s">
        <v>1475</v>
      </c>
      <c r="CS5" s="1499"/>
      <c r="CT5" s="1499"/>
      <c r="CU5" s="331" t="s">
        <v>582</v>
      </c>
      <c r="CV5" s="331" t="s">
        <v>1474</v>
      </c>
      <c r="CW5" s="331" t="s">
        <v>1384</v>
      </c>
      <c r="CX5" s="331" t="s">
        <v>583</v>
      </c>
      <c r="CY5" s="331" t="s">
        <v>1490</v>
      </c>
      <c r="CZ5" s="331" t="s">
        <v>1475</v>
      </c>
      <c r="DA5" s="1499"/>
      <c r="DB5" s="1499"/>
    </row>
    <row r="6" spans="1:106" s="335" customFormat="1" x14ac:dyDescent="0.2">
      <c r="A6" s="332" t="s">
        <v>407</v>
      </c>
      <c r="B6" s="333" t="s">
        <v>422</v>
      </c>
      <c r="C6" s="334">
        <v>1</v>
      </c>
      <c r="D6" s="334">
        <f>C6+1</f>
        <v>2</v>
      </c>
      <c r="E6" s="334">
        <v>3</v>
      </c>
      <c r="F6" s="334">
        <v>4</v>
      </c>
      <c r="G6" s="334">
        <v>5</v>
      </c>
      <c r="H6" s="334">
        <v>6</v>
      </c>
      <c r="I6" s="333" t="s">
        <v>636</v>
      </c>
      <c r="J6" s="333" t="s">
        <v>637</v>
      </c>
      <c r="K6" s="334">
        <v>1</v>
      </c>
      <c r="L6" s="334">
        <f>K6+1</f>
        <v>2</v>
      </c>
      <c r="M6" s="334">
        <v>3</v>
      </c>
      <c r="N6" s="334">
        <v>4</v>
      </c>
      <c r="O6" s="334">
        <v>5</v>
      </c>
      <c r="P6" s="334">
        <v>6</v>
      </c>
      <c r="Q6" s="333" t="s">
        <v>636</v>
      </c>
      <c r="R6" s="333" t="s">
        <v>637</v>
      </c>
      <c r="S6" s="334">
        <v>1</v>
      </c>
      <c r="T6" s="334">
        <f>S6+1</f>
        <v>2</v>
      </c>
      <c r="U6" s="334">
        <v>3</v>
      </c>
      <c r="V6" s="334">
        <v>4</v>
      </c>
      <c r="W6" s="334">
        <v>5</v>
      </c>
      <c r="X6" s="334">
        <v>6</v>
      </c>
      <c r="Y6" s="333" t="s">
        <v>636</v>
      </c>
      <c r="Z6" s="333" t="s">
        <v>637</v>
      </c>
      <c r="AA6" s="334">
        <v>1</v>
      </c>
      <c r="AB6" s="334">
        <f>AA6+1</f>
        <v>2</v>
      </c>
      <c r="AC6" s="334">
        <v>3</v>
      </c>
      <c r="AD6" s="334">
        <v>4</v>
      </c>
      <c r="AE6" s="334">
        <v>5</v>
      </c>
      <c r="AF6" s="334">
        <v>6</v>
      </c>
      <c r="AG6" s="333" t="s">
        <v>636</v>
      </c>
      <c r="AH6" s="333" t="s">
        <v>637</v>
      </c>
      <c r="AI6" s="334">
        <v>1</v>
      </c>
      <c r="AJ6" s="334">
        <f>AI6+1</f>
        <v>2</v>
      </c>
      <c r="AK6" s="334">
        <v>3</v>
      </c>
      <c r="AL6" s="334">
        <v>4</v>
      </c>
      <c r="AM6" s="334">
        <v>5</v>
      </c>
      <c r="AN6" s="334">
        <v>6</v>
      </c>
      <c r="AO6" s="333" t="s">
        <v>636</v>
      </c>
      <c r="AP6" s="333" t="s">
        <v>637</v>
      </c>
      <c r="AQ6" s="334">
        <v>1</v>
      </c>
      <c r="AR6" s="334">
        <f>AQ6+1</f>
        <v>2</v>
      </c>
      <c r="AS6" s="334">
        <v>3</v>
      </c>
      <c r="AT6" s="334">
        <v>4</v>
      </c>
      <c r="AU6" s="334">
        <v>5</v>
      </c>
      <c r="AV6" s="334">
        <v>6</v>
      </c>
      <c r="AW6" s="333" t="s">
        <v>636</v>
      </c>
      <c r="AX6" s="333" t="s">
        <v>637</v>
      </c>
      <c r="AY6" s="334">
        <v>1</v>
      </c>
      <c r="AZ6" s="334">
        <f>AY6+1</f>
        <v>2</v>
      </c>
      <c r="BA6" s="334">
        <v>3</v>
      </c>
      <c r="BB6" s="334">
        <v>4</v>
      </c>
      <c r="BC6" s="334">
        <v>5</v>
      </c>
      <c r="BD6" s="334">
        <v>6</v>
      </c>
      <c r="BE6" s="333" t="s">
        <v>636</v>
      </c>
      <c r="BF6" s="333" t="s">
        <v>637</v>
      </c>
      <c r="BG6" s="334">
        <v>1</v>
      </c>
      <c r="BH6" s="334">
        <f>BG6+1</f>
        <v>2</v>
      </c>
      <c r="BI6" s="334">
        <v>3</v>
      </c>
      <c r="BJ6" s="334">
        <v>4</v>
      </c>
      <c r="BK6" s="334">
        <v>5</v>
      </c>
      <c r="BL6" s="334">
        <v>6</v>
      </c>
      <c r="BM6" s="333" t="s">
        <v>636</v>
      </c>
      <c r="BN6" s="333" t="s">
        <v>637</v>
      </c>
      <c r="BO6" s="334">
        <v>1</v>
      </c>
      <c r="BP6" s="334">
        <f>BO6+1</f>
        <v>2</v>
      </c>
      <c r="BQ6" s="334">
        <v>3</v>
      </c>
      <c r="BR6" s="334">
        <v>4</v>
      </c>
      <c r="BS6" s="334">
        <v>5</v>
      </c>
      <c r="BT6" s="334">
        <v>6</v>
      </c>
      <c r="BU6" s="333" t="s">
        <v>636</v>
      </c>
      <c r="BV6" s="333" t="s">
        <v>637</v>
      </c>
      <c r="BW6" s="334">
        <v>1</v>
      </c>
      <c r="BX6" s="334">
        <f>BW6+1</f>
        <v>2</v>
      </c>
      <c r="BY6" s="334">
        <v>3</v>
      </c>
      <c r="BZ6" s="334">
        <v>4</v>
      </c>
      <c r="CA6" s="334">
        <v>5</v>
      </c>
      <c r="CB6" s="334">
        <v>6</v>
      </c>
      <c r="CC6" s="333" t="s">
        <v>636</v>
      </c>
      <c r="CD6" s="333" t="s">
        <v>637</v>
      </c>
      <c r="CE6" s="334">
        <v>1</v>
      </c>
      <c r="CF6" s="334">
        <f>CE6+1</f>
        <v>2</v>
      </c>
      <c r="CG6" s="334">
        <v>3</v>
      </c>
      <c r="CH6" s="334">
        <v>4</v>
      </c>
      <c r="CI6" s="334">
        <v>5</v>
      </c>
      <c r="CJ6" s="334">
        <v>6</v>
      </c>
      <c r="CK6" s="333" t="s">
        <v>636</v>
      </c>
      <c r="CL6" s="333" t="s">
        <v>637</v>
      </c>
      <c r="CM6" s="334">
        <v>1</v>
      </c>
      <c r="CN6" s="334">
        <f>CM6+1</f>
        <v>2</v>
      </c>
      <c r="CO6" s="334">
        <v>3</v>
      </c>
      <c r="CP6" s="334">
        <v>4</v>
      </c>
      <c r="CQ6" s="334">
        <v>5</v>
      </c>
      <c r="CR6" s="334">
        <v>6</v>
      </c>
      <c r="CS6" s="333" t="s">
        <v>636</v>
      </c>
      <c r="CT6" s="333" t="s">
        <v>637</v>
      </c>
      <c r="CU6" s="334">
        <v>1</v>
      </c>
      <c r="CV6" s="334">
        <f>CU6+1</f>
        <v>2</v>
      </c>
      <c r="CW6" s="334">
        <v>3</v>
      </c>
      <c r="CX6" s="334">
        <v>4</v>
      </c>
      <c r="CY6" s="334">
        <v>5</v>
      </c>
      <c r="CZ6" s="334">
        <v>6</v>
      </c>
      <c r="DA6" s="333" t="s">
        <v>636</v>
      </c>
      <c r="DB6" s="333" t="s">
        <v>637</v>
      </c>
    </row>
    <row r="7" spans="1:106" s="338" customFormat="1" ht="18.95" customHeight="1" x14ac:dyDescent="0.2">
      <c r="A7" s="336" t="s">
        <v>409</v>
      </c>
      <c r="B7" s="337" t="s">
        <v>360</v>
      </c>
      <c r="C7" s="562">
        <f t="shared" ref="C7:H7" si="0">SUM(C8,C10,C11,C15,C16,C17,C18,C19,C20,C21,C22,C24,C25)</f>
        <v>7059294</v>
      </c>
      <c r="D7" s="562">
        <f t="shared" si="0"/>
        <v>0</v>
      </c>
      <c r="E7" s="562">
        <f t="shared" si="0"/>
        <v>6682108.5</v>
      </c>
      <c r="F7" s="562">
        <f t="shared" si="0"/>
        <v>7428289</v>
      </c>
      <c r="G7" s="562">
        <f t="shared" si="0"/>
        <v>0</v>
      </c>
      <c r="H7" s="562">
        <f t="shared" si="0"/>
        <v>7428289</v>
      </c>
      <c r="I7" s="563">
        <f t="shared" ref="I7:I13" si="1">F7-C7</f>
        <v>368995</v>
      </c>
      <c r="J7" s="564">
        <f>F7/C7%</f>
        <v>105.22708078173257</v>
      </c>
      <c r="K7" s="562">
        <f t="shared" ref="K7:P7" si="2">SUM(K8,K10,K11,K15,K16,K17,K18,K19,K20,K21,K22,K24,K25)</f>
        <v>495278</v>
      </c>
      <c r="L7" s="562">
        <f t="shared" si="2"/>
        <v>0</v>
      </c>
      <c r="M7" s="562">
        <f t="shared" si="2"/>
        <v>490731</v>
      </c>
      <c r="N7" s="562">
        <f t="shared" si="2"/>
        <v>510465</v>
      </c>
      <c r="O7" s="562">
        <f t="shared" si="2"/>
        <v>0</v>
      </c>
      <c r="P7" s="562">
        <f t="shared" si="2"/>
        <v>510465</v>
      </c>
      <c r="Q7" s="563">
        <f>N7-K7</f>
        <v>15187</v>
      </c>
      <c r="R7" s="564">
        <f>N7/K7%</f>
        <v>103.06635869148236</v>
      </c>
      <c r="S7" s="562">
        <f t="shared" ref="S7:X7" si="3">SUM(S8,S10,S11,S15,S16,S17,S18,S19,S20,S21,S22,S24,S25)</f>
        <v>460081</v>
      </c>
      <c r="T7" s="562">
        <f t="shared" si="3"/>
        <v>0</v>
      </c>
      <c r="U7" s="562">
        <f t="shared" si="3"/>
        <v>447818</v>
      </c>
      <c r="V7" s="562">
        <f t="shared" si="3"/>
        <v>452258</v>
      </c>
      <c r="W7" s="562">
        <f t="shared" si="3"/>
        <v>0</v>
      </c>
      <c r="X7" s="562">
        <f t="shared" si="3"/>
        <v>452258</v>
      </c>
      <c r="Y7" s="563">
        <f>V7-S7</f>
        <v>-7823</v>
      </c>
      <c r="Z7" s="564">
        <f>V7/S7%</f>
        <v>98.299647236030168</v>
      </c>
      <c r="AA7" s="562">
        <f t="shared" ref="AA7:AF7" si="4">SUM(AA8,AA10,AA11,AA15,AA16,AA17,AA18,AA19,AA20,AA21,AA22,AA24,AA25)</f>
        <v>435248</v>
      </c>
      <c r="AB7" s="562">
        <f t="shared" si="4"/>
        <v>0</v>
      </c>
      <c r="AC7" s="562">
        <f t="shared" si="4"/>
        <v>459037.5</v>
      </c>
      <c r="AD7" s="562">
        <f t="shared" si="4"/>
        <v>444390</v>
      </c>
      <c r="AE7" s="562">
        <f t="shared" si="4"/>
        <v>0</v>
      </c>
      <c r="AF7" s="562">
        <f t="shared" si="4"/>
        <v>444390</v>
      </c>
      <c r="AG7" s="563">
        <f>AD7-AA7</f>
        <v>9142</v>
      </c>
      <c r="AH7" s="564">
        <f>AD7/AA7%</f>
        <v>102.10041171929568</v>
      </c>
      <c r="AI7" s="562">
        <f t="shared" ref="AI7:AN7" si="5">SUM(AI8,AI10,AI11,AI15,AI16,AI17,AI18,AI19,AI20,AI21,AI22,AI24,AI25)</f>
        <v>444525</v>
      </c>
      <c r="AJ7" s="562">
        <f t="shared" si="5"/>
        <v>0</v>
      </c>
      <c r="AK7" s="562">
        <f t="shared" si="5"/>
        <v>396938</v>
      </c>
      <c r="AL7" s="562">
        <f t="shared" si="5"/>
        <v>453504</v>
      </c>
      <c r="AM7" s="562">
        <f t="shared" si="5"/>
        <v>0</v>
      </c>
      <c r="AN7" s="562">
        <f t="shared" si="5"/>
        <v>453504</v>
      </c>
      <c r="AO7" s="563">
        <f t="shared" ref="AO7:AO13" si="6">AL7-AI7</f>
        <v>8979</v>
      </c>
      <c r="AP7" s="564">
        <f>AL7/AI7%</f>
        <v>102.01990889151341</v>
      </c>
      <c r="AQ7" s="562">
        <f t="shared" ref="AQ7:AV7" si="7">SUM(AQ8,AQ10,AQ11,AQ15,AQ16,AQ17,AQ18,AQ19,AQ20,AQ21,AQ22,AQ24,AQ25)</f>
        <v>567836.5</v>
      </c>
      <c r="AR7" s="562">
        <f t="shared" si="7"/>
        <v>0</v>
      </c>
      <c r="AS7" s="562">
        <f t="shared" si="7"/>
        <v>521873</v>
      </c>
      <c r="AT7" s="562">
        <f t="shared" si="7"/>
        <v>565232</v>
      </c>
      <c r="AU7" s="562">
        <f t="shared" si="7"/>
        <v>0</v>
      </c>
      <c r="AV7" s="562">
        <f t="shared" si="7"/>
        <v>565232</v>
      </c>
      <c r="AW7" s="563">
        <f>AT7-AQ7</f>
        <v>-2604.5</v>
      </c>
      <c r="AX7" s="564">
        <f>AT7/AQ7%</f>
        <v>99.541329238257845</v>
      </c>
      <c r="AY7" s="562">
        <f t="shared" ref="AY7:BD7" si="8">SUM(AY8,AY10,AY11,AY15,AY16,AY17,AY18,AY19,AY20,AY21,AY22,AY24,AY25)</f>
        <v>1001173</v>
      </c>
      <c r="AZ7" s="562">
        <f t="shared" si="8"/>
        <v>0</v>
      </c>
      <c r="BA7" s="562">
        <f t="shared" si="8"/>
        <v>967718</v>
      </c>
      <c r="BB7" s="562">
        <f t="shared" si="8"/>
        <v>1287780</v>
      </c>
      <c r="BC7" s="562">
        <f t="shared" si="8"/>
        <v>0</v>
      </c>
      <c r="BD7" s="562">
        <f t="shared" si="8"/>
        <v>1287780</v>
      </c>
      <c r="BE7" s="563">
        <f>BB7-AY7</f>
        <v>286607</v>
      </c>
      <c r="BF7" s="564">
        <f>BB7/AY7%</f>
        <v>128.62712038778514</v>
      </c>
      <c r="BG7" s="562">
        <f t="shared" ref="BG7:BL7" si="9">SUM(BG8,BG10,BG11,BG15,BG16,BG17,BG18,BG19,BG20,BG21,BG22,BG24,BG25)</f>
        <v>697597</v>
      </c>
      <c r="BH7" s="562">
        <f t="shared" si="9"/>
        <v>0</v>
      </c>
      <c r="BI7" s="562">
        <f t="shared" si="9"/>
        <v>649037</v>
      </c>
      <c r="BJ7" s="562">
        <f t="shared" si="9"/>
        <v>701919</v>
      </c>
      <c r="BK7" s="562">
        <f t="shared" si="9"/>
        <v>0</v>
      </c>
      <c r="BL7" s="562">
        <f t="shared" si="9"/>
        <v>701919</v>
      </c>
      <c r="BM7" s="563">
        <f>BJ7-BG7</f>
        <v>4322</v>
      </c>
      <c r="BN7" s="564">
        <f>BJ7/BG7%</f>
        <v>100.61955541666606</v>
      </c>
      <c r="BO7" s="562">
        <f t="shared" ref="BO7:BT7" si="10">SUM(BO8,BO10,BO11,BO15,BO16,BO17,BO18,BO19,BO20,BO21,BO22,BO24,BO25)</f>
        <v>634927</v>
      </c>
      <c r="BP7" s="562">
        <f t="shared" si="10"/>
        <v>0</v>
      </c>
      <c r="BQ7" s="562">
        <f t="shared" si="10"/>
        <v>571036.5</v>
      </c>
      <c r="BR7" s="562">
        <f t="shared" si="10"/>
        <v>641617</v>
      </c>
      <c r="BS7" s="562">
        <f t="shared" si="10"/>
        <v>0</v>
      </c>
      <c r="BT7" s="562">
        <f t="shared" si="10"/>
        <v>641617</v>
      </c>
      <c r="BU7" s="563">
        <f>BR7-BO7</f>
        <v>6690</v>
      </c>
      <c r="BV7" s="564">
        <f>BR7/BO7%</f>
        <v>101.05366443701401</v>
      </c>
      <c r="BW7" s="562">
        <f t="shared" ref="BW7:CB7" si="11">SUM(BW8,BW10,BW11,BW15,BW16,BW17,BW18,BW19,BW20,BW21,BW22,BW24,BW25)</f>
        <v>624056.5</v>
      </c>
      <c r="BX7" s="562">
        <f t="shared" si="11"/>
        <v>0</v>
      </c>
      <c r="BY7" s="562">
        <f t="shared" si="11"/>
        <v>570912</v>
      </c>
      <c r="BZ7" s="562">
        <f t="shared" si="11"/>
        <v>576951</v>
      </c>
      <c r="CA7" s="562">
        <f t="shared" si="11"/>
        <v>0</v>
      </c>
      <c r="CB7" s="562">
        <f t="shared" si="11"/>
        <v>576951</v>
      </c>
      <c r="CC7" s="563">
        <f>BZ7-BW7</f>
        <v>-47105.5</v>
      </c>
      <c r="CD7" s="564">
        <f>BZ7/BW7%</f>
        <v>92.451725124247574</v>
      </c>
      <c r="CE7" s="562">
        <f t="shared" ref="CE7:CJ7" si="12">SUM(CE8,CE10,CE11,CE15,CE16,CE17,CE18,CE19,CE20,CE21,CE22,CE24,CE25)</f>
        <v>502271.5</v>
      </c>
      <c r="CF7" s="562">
        <f t="shared" si="12"/>
        <v>0</v>
      </c>
      <c r="CG7" s="562">
        <f t="shared" si="12"/>
        <v>450231</v>
      </c>
      <c r="CH7" s="562">
        <f t="shared" si="12"/>
        <v>512933</v>
      </c>
      <c r="CI7" s="562">
        <f t="shared" si="12"/>
        <v>0</v>
      </c>
      <c r="CJ7" s="562">
        <f t="shared" si="12"/>
        <v>512933</v>
      </c>
      <c r="CK7" s="563">
        <f>CH7-CE7</f>
        <v>10661.5</v>
      </c>
      <c r="CL7" s="564">
        <f>CH7/CE7%</f>
        <v>102.12265677029256</v>
      </c>
      <c r="CM7" s="562">
        <f t="shared" ref="CM7:CR7" si="13">SUM(CM8,CM10,CM11,CM15,CM16,CM17,CM18,CM19,CM20,CM21,CM22,CM24,CM25)</f>
        <v>725981</v>
      </c>
      <c r="CN7" s="562">
        <f t="shared" si="13"/>
        <v>0</v>
      </c>
      <c r="CO7" s="562">
        <f t="shared" si="13"/>
        <v>724731.5</v>
      </c>
      <c r="CP7" s="562">
        <f t="shared" si="13"/>
        <v>791375</v>
      </c>
      <c r="CQ7" s="562">
        <f t="shared" si="13"/>
        <v>0</v>
      </c>
      <c r="CR7" s="562">
        <f t="shared" si="13"/>
        <v>791375</v>
      </c>
      <c r="CS7" s="563">
        <f>CP7-CM7</f>
        <v>65394</v>
      </c>
      <c r="CT7" s="564">
        <f>CP7/CM7%</f>
        <v>109.00767375454728</v>
      </c>
      <c r="CU7" s="562">
        <f t="shared" ref="CU7:CZ7" si="14">SUM(CU8,CU10,CU11,CU15,CU16,CU17,CU18,CU19,CU20,CU21,CU22,CU24,CU25)</f>
        <v>470319.5</v>
      </c>
      <c r="CV7" s="562">
        <f t="shared" si="14"/>
        <v>0</v>
      </c>
      <c r="CW7" s="562">
        <f t="shared" si="14"/>
        <v>432045</v>
      </c>
      <c r="CX7" s="562">
        <f t="shared" si="14"/>
        <v>489865</v>
      </c>
      <c r="CY7" s="562">
        <f t="shared" si="14"/>
        <v>0</v>
      </c>
      <c r="CZ7" s="562">
        <f t="shared" si="14"/>
        <v>489865</v>
      </c>
      <c r="DA7" s="563">
        <f>CX7-CU7</f>
        <v>19545.5</v>
      </c>
      <c r="DB7" s="564">
        <f>CX7/CU7%</f>
        <v>104.15579196695013</v>
      </c>
    </row>
    <row r="8" spans="1:106" s="335" customFormat="1" ht="18.95" customHeight="1" x14ac:dyDescent="0.2">
      <c r="A8" s="343">
        <v>1</v>
      </c>
      <c r="B8" s="1182" t="s">
        <v>298</v>
      </c>
      <c r="C8" s="1183">
        <f t="shared" ref="C8:C25" si="15">+K8+S8+AA8+AI8+AQ8+AY8+BG8+BO8+BW8+CE8+CM8+CU8</f>
        <v>2508435</v>
      </c>
      <c r="D8" s="1183"/>
      <c r="E8" s="1183">
        <f t="shared" ref="E8:E25" si="16">+M8+U8+AC8+AK8+AS8+BA8+BI8+BQ8+BY8+CG8+CO8+CW8</f>
        <v>2391255.5</v>
      </c>
      <c r="F8" s="1183">
        <f>SUM(N8,V8,AD8,AL8,AT8,BB8,BJ8,BR8,BZ8,CH8,CP8,CX8)</f>
        <v>2377310</v>
      </c>
      <c r="G8" s="1183">
        <f>SUM(O8,W8,AE8,AM8,AU8,BC8,BK8,BS8,CA8,CI8,CQ8,CY8)</f>
        <v>0</v>
      </c>
      <c r="H8" s="1183">
        <f>SUM(P8,X8,AF8,AN8,AV8,BD8,BL8,BT8,CB8,CJ8,CR8,CZ8)</f>
        <v>2377310</v>
      </c>
      <c r="I8" s="1184">
        <f t="shared" si="1"/>
        <v>-131125</v>
      </c>
      <c r="J8" s="1183">
        <f>F8/C8%</f>
        <v>94.772637122349195</v>
      </c>
      <c r="K8" s="1183">
        <f>'Thu NSH'!P8</f>
        <v>60330</v>
      </c>
      <c r="L8" s="1183"/>
      <c r="M8" s="1183">
        <f>'Thu NSH'!T8</f>
        <v>58165</v>
      </c>
      <c r="N8" s="1183">
        <f>'Thu NSH'!V8</f>
        <v>64000</v>
      </c>
      <c r="O8" s="1183"/>
      <c r="P8" s="1183">
        <f>N8</f>
        <v>64000</v>
      </c>
      <c r="Q8" s="1184">
        <f>N8-K8</f>
        <v>3670</v>
      </c>
      <c r="R8" s="1183">
        <f>N8/K8%</f>
        <v>106.08320901707278</v>
      </c>
      <c r="S8" s="1183">
        <f>'Thu NSH'!AB8</f>
        <v>225250</v>
      </c>
      <c r="T8" s="1183"/>
      <c r="U8" s="1183">
        <f>'Thu NSH'!AF8</f>
        <v>214780</v>
      </c>
      <c r="V8" s="1183">
        <f>'Thu NSH'!AH8</f>
        <v>195950</v>
      </c>
      <c r="W8" s="1183"/>
      <c r="X8" s="1183">
        <f>V8</f>
        <v>195950</v>
      </c>
      <c r="Y8" s="1184">
        <f>V8-S8</f>
        <v>-29300</v>
      </c>
      <c r="Z8" s="1183">
        <f>V8/S8%</f>
        <v>86.992230854605992</v>
      </c>
      <c r="AA8" s="1183">
        <f>'Thu NSH'!AN8</f>
        <v>44215</v>
      </c>
      <c r="AB8" s="1183"/>
      <c r="AC8" s="1183">
        <f>'Thu NSH'!AR8</f>
        <v>70140.5</v>
      </c>
      <c r="AD8" s="1183">
        <f>'Thu NSH'!AT8</f>
        <v>50570</v>
      </c>
      <c r="AE8" s="1183"/>
      <c r="AF8" s="1183">
        <f>AD8</f>
        <v>50570</v>
      </c>
      <c r="AG8" s="1184">
        <f>AD8-AA8</f>
        <v>6355</v>
      </c>
      <c r="AH8" s="1183">
        <f>AD8/AA8%</f>
        <v>114.37295035621396</v>
      </c>
      <c r="AI8" s="1183">
        <f>'Thu NSH'!AZ8</f>
        <v>72820</v>
      </c>
      <c r="AJ8" s="1183"/>
      <c r="AK8" s="1183">
        <f>'Thu NSH'!BD8</f>
        <v>74400</v>
      </c>
      <c r="AL8" s="1183">
        <f>'Thu NSH'!BF8</f>
        <v>66380</v>
      </c>
      <c r="AM8" s="1183"/>
      <c r="AN8" s="1183">
        <f>AL8</f>
        <v>66380</v>
      </c>
      <c r="AO8" s="1184">
        <f t="shared" si="6"/>
        <v>-6440</v>
      </c>
      <c r="AP8" s="1183">
        <f>AL8/AI8%</f>
        <v>91.156275748420754</v>
      </c>
      <c r="AQ8" s="1183">
        <f>'Thu NSH'!BL8</f>
        <v>143170</v>
      </c>
      <c r="AR8" s="1183"/>
      <c r="AS8" s="1183">
        <f>'Thu NSH'!BP8</f>
        <v>128200</v>
      </c>
      <c r="AT8" s="1183">
        <f>'Thu NSH'!BR8</f>
        <v>140700</v>
      </c>
      <c r="AU8" s="1183"/>
      <c r="AV8" s="1183">
        <f>AT8</f>
        <v>140700</v>
      </c>
      <c r="AW8" s="1184">
        <f>AT8-AQ8</f>
        <v>-2470</v>
      </c>
      <c r="AX8" s="1183">
        <f>AT8/AQ8%</f>
        <v>98.274778235663888</v>
      </c>
      <c r="AY8" s="1183">
        <f>'Thu NSH'!BX8</f>
        <v>781330</v>
      </c>
      <c r="AZ8" s="1183"/>
      <c r="BA8" s="1183">
        <f>'Thu NSH'!CB8</f>
        <v>748800</v>
      </c>
      <c r="BB8" s="1183">
        <f>'Thu NSH'!CD8</f>
        <v>738900</v>
      </c>
      <c r="BC8" s="1183"/>
      <c r="BD8" s="1183">
        <f>BB8</f>
        <v>738900</v>
      </c>
      <c r="BE8" s="1184">
        <f>BB8-AY8</f>
        <v>-42430</v>
      </c>
      <c r="BF8" s="1183">
        <f>BB8/AY8%</f>
        <v>94.569516081553246</v>
      </c>
      <c r="BG8" s="1183">
        <f>'Thu NSH'!CJ8</f>
        <v>155600</v>
      </c>
      <c r="BH8" s="1183"/>
      <c r="BI8" s="1183">
        <f>'Thu NSH'!CN8</f>
        <v>154930</v>
      </c>
      <c r="BJ8" s="1183">
        <f>'Thu NSH'!CP8</f>
        <v>145720</v>
      </c>
      <c r="BK8" s="1183"/>
      <c r="BL8" s="1183">
        <f>BJ8</f>
        <v>145720</v>
      </c>
      <c r="BM8" s="1184">
        <f>BJ8-BG8</f>
        <v>-9880</v>
      </c>
      <c r="BN8" s="1183">
        <f>BJ8/BG8%</f>
        <v>93.650385604113112</v>
      </c>
      <c r="BO8" s="1183">
        <f>'Thu NSH'!CV8</f>
        <v>154670</v>
      </c>
      <c r="BP8" s="1183"/>
      <c r="BQ8" s="1183">
        <f>'Thu NSH'!CZ8</f>
        <v>131892.5</v>
      </c>
      <c r="BR8" s="1183">
        <f>'Thu NSH'!DB8</f>
        <v>145720</v>
      </c>
      <c r="BS8" s="1183"/>
      <c r="BT8" s="1183">
        <f>BR8</f>
        <v>145720</v>
      </c>
      <c r="BU8" s="1184">
        <f>BR8-BO8</f>
        <v>-8950</v>
      </c>
      <c r="BV8" s="1183">
        <f>BR8/BO8%</f>
        <v>94.213486778302183</v>
      </c>
      <c r="BW8" s="1183">
        <f>'Thu NSH'!DH8</f>
        <v>201000</v>
      </c>
      <c r="BX8" s="1183"/>
      <c r="BY8" s="1183">
        <f>'Thu NSH'!DL8</f>
        <v>159076</v>
      </c>
      <c r="BZ8" s="1183">
        <f>'Thu NSH'!DN8</f>
        <v>149950</v>
      </c>
      <c r="CA8" s="1183"/>
      <c r="CB8" s="1183">
        <f>BZ8</f>
        <v>149950</v>
      </c>
      <c r="CC8" s="1184">
        <f>BZ8-BW8</f>
        <v>-51050</v>
      </c>
      <c r="CD8" s="1183">
        <f>BZ8/BW8%</f>
        <v>74.601990049751237</v>
      </c>
      <c r="CE8" s="1183">
        <f>'Thu NSH'!DT8</f>
        <v>107990</v>
      </c>
      <c r="CF8" s="1183"/>
      <c r="CG8" s="1183">
        <f>'Thu NSH'!DX8</f>
        <v>95031</v>
      </c>
      <c r="CH8" s="1183">
        <f>'Thu NSH'!DZ8</f>
        <v>94500</v>
      </c>
      <c r="CI8" s="1183"/>
      <c r="CJ8" s="1183">
        <f>CH8</f>
        <v>94500</v>
      </c>
      <c r="CK8" s="1184">
        <f>CH8-CE8</f>
        <v>-13490</v>
      </c>
      <c r="CL8" s="1183">
        <f>CH8/CE8%</f>
        <v>87.508102602092777</v>
      </c>
      <c r="CM8" s="1183">
        <f>'Thu NSH'!EF8</f>
        <v>460240</v>
      </c>
      <c r="CN8" s="1183"/>
      <c r="CO8" s="1183">
        <f>'Thu NSH'!EJ8</f>
        <v>459670.5</v>
      </c>
      <c r="CP8" s="1183">
        <f>'Thu NSH'!EL8</f>
        <v>473520</v>
      </c>
      <c r="CQ8" s="1183"/>
      <c r="CR8" s="1183">
        <f>CP8</f>
        <v>473520</v>
      </c>
      <c r="CS8" s="1184">
        <f>CP8-CM8</f>
        <v>13280</v>
      </c>
      <c r="CT8" s="1183">
        <f>CP8/CM8%</f>
        <v>102.88545106900749</v>
      </c>
      <c r="CU8" s="1183">
        <f>'Thu NSH'!ER8</f>
        <v>101820</v>
      </c>
      <c r="CV8" s="1183"/>
      <c r="CW8" s="1183">
        <f>'Thu NSH'!EV8</f>
        <v>96170</v>
      </c>
      <c r="CX8" s="1183">
        <f>'Thu NSH'!EX8</f>
        <v>111400</v>
      </c>
      <c r="CY8" s="1183"/>
      <c r="CZ8" s="1183">
        <f>CX8</f>
        <v>111400</v>
      </c>
      <c r="DA8" s="1184">
        <f>CX8-CU8</f>
        <v>9580</v>
      </c>
      <c r="DB8" s="1183">
        <f>CX8/CU8%</f>
        <v>109.40876055784717</v>
      </c>
    </row>
    <row r="9" spans="1:106" s="592" customFormat="1" ht="18.95" customHeight="1" x14ac:dyDescent="0.2">
      <c r="A9" s="345" t="s">
        <v>564</v>
      </c>
      <c r="B9" s="1181" t="s">
        <v>1469</v>
      </c>
      <c r="C9" s="589">
        <f t="shared" si="15"/>
        <v>500000</v>
      </c>
      <c r="D9" s="589"/>
      <c r="E9" s="589">
        <f t="shared" si="16"/>
        <v>750000</v>
      </c>
      <c r="F9" s="589">
        <f>SUM(N9,V9,AD9,AL9,AT9,BB9,BJ9,BR9,BZ9,CH9,CP9,CX9)</f>
        <v>650000</v>
      </c>
      <c r="G9" s="589"/>
      <c r="H9" s="589">
        <f>SUM(P9,X9,AF9,AN9,AV9,BD9,BL9,BT9,CB9,CJ9,CR9,CZ9)</f>
        <v>650000</v>
      </c>
      <c r="I9" s="590">
        <f t="shared" si="1"/>
        <v>150000</v>
      </c>
      <c r="J9" s="589">
        <f>F9/C9%</f>
        <v>130</v>
      </c>
      <c r="K9" s="589">
        <f>'Thu NSH'!P28</f>
        <v>13000</v>
      </c>
      <c r="L9" s="589"/>
      <c r="M9" s="589">
        <f>'Thu NSH'!T28</f>
        <v>25000</v>
      </c>
      <c r="N9" s="589">
        <f>'Thu NSH'!V28</f>
        <v>25000</v>
      </c>
      <c r="O9" s="589"/>
      <c r="P9" s="589">
        <f>N9</f>
        <v>25000</v>
      </c>
      <c r="Q9" s="590">
        <f>N9-K9</f>
        <v>12000</v>
      </c>
      <c r="R9" s="589">
        <f>N9/K9%</f>
        <v>192.30769230769232</v>
      </c>
      <c r="S9" s="589">
        <f>'Thu NSH'!AB28</f>
        <v>150000</v>
      </c>
      <c r="T9" s="589"/>
      <c r="U9" s="589">
        <f>'Thu NSH'!AF28</f>
        <v>160000</v>
      </c>
      <c r="V9" s="589">
        <f>'Thu NSH'!AH28</f>
        <v>150000</v>
      </c>
      <c r="W9" s="589"/>
      <c r="X9" s="589">
        <f>V9</f>
        <v>150000</v>
      </c>
      <c r="Y9" s="590">
        <f>V9-S9</f>
        <v>0</v>
      </c>
      <c r="Z9" s="589">
        <f>V9/S9%</f>
        <v>100</v>
      </c>
      <c r="AA9" s="589">
        <f>'Thu NSH'!AN28</f>
        <v>10000</v>
      </c>
      <c r="AB9" s="589"/>
      <c r="AC9" s="589">
        <f>'Thu NSH'!AR28</f>
        <v>30000</v>
      </c>
      <c r="AD9" s="589">
        <f>'Thu NSH'!AT28</f>
        <v>15000</v>
      </c>
      <c r="AE9" s="589"/>
      <c r="AF9" s="589">
        <f>AD9</f>
        <v>15000</v>
      </c>
      <c r="AG9" s="590">
        <f>AD9-AA9</f>
        <v>5000</v>
      </c>
      <c r="AH9" s="589">
        <f>AD9/AA9%</f>
        <v>150</v>
      </c>
      <c r="AI9" s="589">
        <f>'Thu NSH'!AZ28</f>
        <v>20000</v>
      </c>
      <c r="AJ9" s="589"/>
      <c r="AK9" s="589">
        <f>'Thu NSH'!BD28</f>
        <v>25000</v>
      </c>
      <c r="AL9" s="589">
        <f>'Thu NSH'!BF28</f>
        <v>20000</v>
      </c>
      <c r="AM9" s="589"/>
      <c r="AN9" s="589">
        <f>AL9</f>
        <v>20000</v>
      </c>
      <c r="AO9" s="590">
        <f t="shared" si="6"/>
        <v>0</v>
      </c>
      <c r="AP9" s="589">
        <f>AL9/AI9%</f>
        <v>100</v>
      </c>
      <c r="AQ9" s="589">
        <f>'Thu NSH'!BL28</f>
        <v>20000</v>
      </c>
      <c r="AR9" s="589"/>
      <c r="AS9" s="589">
        <f>'Thu NSH'!BP28</f>
        <v>20000</v>
      </c>
      <c r="AT9" s="589">
        <f>'Thu NSH'!BR28</f>
        <v>25000</v>
      </c>
      <c r="AU9" s="589"/>
      <c r="AV9" s="589">
        <f>AT9</f>
        <v>25000</v>
      </c>
      <c r="AW9" s="590">
        <f>AT9-AQ9</f>
        <v>5000</v>
      </c>
      <c r="AX9" s="589">
        <f>AT9/AQ9%</f>
        <v>125</v>
      </c>
      <c r="AY9" s="589">
        <f>'Thu NSH'!BX28</f>
        <v>52000</v>
      </c>
      <c r="AZ9" s="589"/>
      <c r="BA9" s="589">
        <f>'Thu NSH'!CB28</f>
        <v>160000</v>
      </c>
      <c r="BB9" s="589">
        <f>'Thu NSH'!CD28</f>
        <v>100000</v>
      </c>
      <c r="BC9" s="589"/>
      <c r="BD9" s="589">
        <f>BB9</f>
        <v>100000</v>
      </c>
      <c r="BE9" s="590">
        <f>BB9-AY9</f>
        <v>48000</v>
      </c>
      <c r="BF9" s="589">
        <f>BB9/AY9%</f>
        <v>192.30769230769232</v>
      </c>
      <c r="BG9" s="589">
        <f>'Thu NSH'!CJ28</f>
        <v>35000</v>
      </c>
      <c r="BH9" s="589"/>
      <c r="BI9" s="589">
        <f>'Thu NSH'!CN28</f>
        <v>40000</v>
      </c>
      <c r="BJ9" s="589">
        <f>'Thu NSH'!CP28</f>
        <v>35000</v>
      </c>
      <c r="BK9" s="589"/>
      <c r="BL9" s="589">
        <f>BJ9</f>
        <v>35000</v>
      </c>
      <c r="BM9" s="590">
        <f>BJ9-BG9</f>
        <v>0</v>
      </c>
      <c r="BN9" s="589">
        <f>BJ9/BG9%</f>
        <v>100</v>
      </c>
      <c r="BO9" s="589">
        <f>'Thu NSH'!CV28</f>
        <v>50000</v>
      </c>
      <c r="BP9" s="589"/>
      <c r="BQ9" s="589">
        <f>'Thu NSH'!CZ28</f>
        <v>55000</v>
      </c>
      <c r="BR9" s="589">
        <f>'Thu NSH'!DB28</f>
        <v>60000</v>
      </c>
      <c r="BS9" s="589"/>
      <c r="BT9" s="589">
        <f>BR9</f>
        <v>60000</v>
      </c>
      <c r="BU9" s="590">
        <f>BR9-BO9</f>
        <v>10000</v>
      </c>
      <c r="BV9" s="589">
        <f>BR9/BO9%</f>
        <v>120</v>
      </c>
      <c r="BW9" s="589">
        <f>'Thu NSH'!DH28</f>
        <v>15000</v>
      </c>
      <c r="BX9" s="589"/>
      <c r="BY9" s="589">
        <f>'Thu NSH'!DL28</f>
        <v>40000</v>
      </c>
      <c r="BZ9" s="589">
        <f>'Thu NSH'!DN28</f>
        <v>25000</v>
      </c>
      <c r="CA9" s="589"/>
      <c r="CB9" s="589">
        <f>BZ9</f>
        <v>25000</v>
      </c>
      <c r="CC9" s="590">
        <f>BZ9-BW9</f>
        <v>10000</v>
      </c>
      <c r="CD9" s="589">
        <f>BZ9/BW9%</f>
        <v>166.66666666666666</v>
      </c>
      <c r="CE9" s="589">
        <f>'Thu NSH'!DT28</f>
        <v>15000</v>
      </c>
      <c r="CF9" s="589"/>
      <c r="CG9" s="589">
        <f>'Thu NSH'!DX28</f>
        <v>27000</v>
      </c>
      <c r="CH9" s="589">
        <f>'Thu NSH'!DZ28</f>
        <v>20000</v>
      </c>
      <c r="CI9" s="589"/>
      <c r="CJ9" s="589">
        <f>CH9</f>
        <v>20000</v>
      </c>
      <c r="CK9" s="590">
        <f>CH9-CE9</f>
        <v>5000</v>
      </c>
      <c r="CL9" s="589">
        <f>CH9/CE9%</f>
        <v>133.33333333333334</v>
      </c>
      <c r="CM9" s="589">
        <f>'Thu NSH'!EF28</f>
        <v>100000</v>
      </c>
      <c r="CN9" s="589"/>
      <c r="CO9" s="589">
        <f>'Thu NSH'!EJ28</f>
        <v>143000</v>
      </c>
      <c r="CP9" s="589">
        <f>'Thu NSH'!EL28</f>
        <v>140000</v>
      </c>
      <c r="CQ9" s="589"/>
      <c r="CR9" s="589">
        <f>CP9</f>
        <v>140000</v>
      </c>
      <c r="CS9" s="590">
        <f>CP9-CM9</f>
        <v>40000</v>
      </c>
      <c r="CT9" s="589">
        <f>CP9/CM9%</f>
        <v>140</v>
      </c>
      <c r="CU9" s="589">
        <f>'Thu NSH'!ER28</f>
        <v>20000</v>
      </c>
      <c r="CV9" s="589"/>
      <c r="CW9" s="589">
        <f>'Thu NSH'!EV28</f>
        <v>25000</v>
      </c>
      <c r="CX9" s="589">
        <f>'Thu NSH'!EX28</f>
        <v>35000</v>
      </c>
      <c r="CY9" s="589"/>
      <c r="CZ9" s="589">
        <f>CX9</f>
        <v>35000</v>
      </c>
      <c r="DA9" s="590">
        <f>CX9-CU9</f>
        <v>15000</v>
      </c>
      <c r="DB9" s="589">
        <f>CX9/CU9%</f>
        <v>175</v>
      </c>
    </row>
    <row r="10" spans="1:106" s="335" customFormat="1" ht="18.95" customHeight="1" x14ac:dyDescent="0.2">
      <c r="A10" s="343">
        <v>2</v>
      </c>
      <c r="B10" s="1185" t="s">
        <v>646</v>
      </c>
      <c r="C10" s="1183">
        <f t="shared" si="15"/>
        <v>3464851</v>
      </c>
      <c r="D10" s="1183"/>
      <c r="E10" s="1183">
        <f t="shared" si="16"/>
        <v>3464851</v>
      </c>
      <c r="F10" s="1183">
        <f t="shared" ref="F10:H25" si="17">SUM(N10,V10,AD10,AL10,AT10,BB10,BJ10,BR10,BZ10,CH10,CP10,CX10)</f>
        <v>3464851</v>
      </c>
      <c r="G10" s="1183">
        <f t="shared" si="17"/>
        <v>0</v>
      </c>
      <c r="H10" s="1183">
        <f t="shared" si="17"/>
        <v>3464851</v>
      </c>
      <c r="I10" s="1184">
        <f t="shared" si="1"/>
        <v>0</v>
      </c>
      <c r="J10" s="1183">
        <f>F10/C10%</f>
        <v>100</v>
      </c>
      <c r="K10" s="1183">
        <v>344881</v>
      </c>
      <c r="L10" s="1183"/>
      <c r="M10" s="1183">
        <f>K10</f>
        <v>344881</v>
      </c>
      <c r="N10" s="1183">
        <f>K10</f>
        <v>344881</v>
      </c>
      <c r="O10" s="1183"/>
      <c r="P10" s="1183">
        <f>N10</f>
        <v>344881</v>
      </c>
      <c r="Q10" s="1184">
        <f>N10-K10</f>
        <v>0</v>
      </c>
      <c r="R10" s="1183">
        <f>N10/K10%</f>
        <v>100</v>
      </c>
      <c r="S10" s="1183">
        <v>191415</v>
      </c>
      <c r="T10" s="1183"/>
      <c r="U10" s="1183">
        <f>S10</f>
        <v>191415</v>
      </c>
      <c r="V10" s="1183">
        <f>S10</f>
        <v>191415</v>
      </c>
      <c r="W10" s="1183"/>
      <c r="X10" s="1183">
        <f>V10</f>
        <v>191415</v>
      </c>
      <c r="Y10" s="1184">
        <f>V10-S10</f>
        <v>0</v>
      </c>
      <c r="Z10" s="1183">
        <f>V10/S10%</f>
        <v>100</v>
      </c>
      <c r="AA10" s="1183">
        <v>305519</v>
      </c>
      <c r="AB10" s="1183"/>
      <c r="AC10" s="1183">
        <f>AA10</f>
        <v>305519</v>
      </c>
      <c r="AD10" s="1183">
        <f>AA10</f>
        <v>305519</v>
      </c>
      <c r="AE10" s="1183"/>
      <c r="AF10" s="1183">
        <f t="shared" ref="AF10:AF25" si="18">AD10</f>
        <v>305519</v>
      </c>
      <c r="AG10" s="1184">
        <f>AD10-AA10</f>
        <v>0</v>
      </c>
      <c r="AH10" s="1183">
        <f>AD10/AA10%</f>
        <v>100</v>
      </c>
      <c r="AI10" s="1183">
        <v>260487</v>
      </c>
      <c r="AJ10" s="1183"/>
      <c r="AK10" s="1183">
        <f>AI10</f>
        <v>260487</v>
      </c>
      <c r="AL10" s="1183">
        <f>AI10</f>
        <v>260487</v>
      </c>
      <c r="AM10" s="1183"/>
      <c r="AN10" s="1183">
        <f t="shared" ref="AN10:AN25" si="19">AL10</f>
        <v>260487</v>
      </c>
      <c r="AO10" s="1184">
        <f t="shared" si="6"/>
        <v>0</v>
      </c>
      <c r="AP10" s="1183">
        <f>AL10/AI10%</f>
        <v>100</v>
      </c>
      <c r="AQ10" s="1183">
        <v>334903</v>
      </c>
      <c r="AR10" s="1183"/>
      <c r="AS10" s="1183">
        <f>AQ10</f>
        <v>334903</v>
      </c>
      <c r="AT10" s="1183">
        <f>AQ10</f>
        <v>334903</v>
      </c>
      <c r="AU10" s="1183"/>
      <c r="AV10" s="1183">
        <f t="shared" ref="AV10:AV25" si="20">AT10</f>
        <v>334903</v>
      </c>
      <c r="AW10" s="1184">
        <f>AT10-AQ10</f>
        <v>0</v>
      </c>
      <c r="AX10" s="1183">
        <f>AT10/AQ10%</f>
        <v>100</v>
      </c>
      <c r="AY10" s="1183">
        <v>116197</v>
      </c>
      <c r="AZ10" s="1183"/>
      <c r="BA10" s="1183">
        <f>AY10</f>
        <v>116197</v>
      </c>
      <c r="BB10" s="1183">
        <f>AY10</f>
        <v>116197</v>
      </c>
      <c r="BC10" s="1183"/>
      <c r="BD10" s="1183">
        <f t="shared" ref="BD10:BD25" si="21">BB10</f>
        <v>116197</v>
      </c>
      <c r="BE10" s="1184">
        <f>BB10-AY10</f>
        <v>0</v>
      </c>
      <c r="BF10" s="1183">
        <f>BB10/AY10%</f>
        <v>100</v>
      </c>
      <c r="BG10" s="1183">
        <v>425722</v>
      </c>
      <c r="BH10" s="1183"/>
      <c r="BI10" s="1183">
        <f>BG10</f>
        <v>425722</v>
      </c>
      <c r="BJ10" s="1183">
        <f>BG10</f>
        <v>425722</v>
      </c>
      <c r="BK10" s="1183"/>
      <c r="BL10" s="1183">
        <f t="shared" ref="BL10:BL25" si="22">BJ10</f>
        <v>425722</v>
      </c>
      <c r="BM10" s="1184">
        <f>BJ10-BG10</f>
        <v>0</v>
      </c>
      <c r="BN10" s="1183">
        <f>BJ10/BG10%</f>
        <v>100</v>
      </c>
      <c r="BO10" s="1183">
        <v>363769</v>
      </c>
      <c r="BP10" s="1183"/>
      <c r="BQ10" s="1183">
        <f>BO10</f>
        <v>363769</v>
      </c>
      <c r="BR10" s="1183">
        <f>BO10</f>
        <v>363769</v>
      </c>
      <c r="BS10" s="1183"/>
      <c r="BT10" s="1183">
        <f t="shared" ref="BT10:BT25" si="23">BR10</f>
        <v>363769</v>
      </c>
      <c r="BU10" s="1184">
        <f>BR10-BO10</f>
        <v>0</v>
      </c>
      <c r="BV10" s="1183">
        <f>BR10/BO10%</f>
        <v>100</v>
      </c>
      <c r="BW10" s="1183">
        <v>343539</v>
      </c>
      <c r="BX10" s="1183"/>
      <c r="BY10" s="1183">
        <f>BW10</f>
        <v>343539</v>
      </c>
      <c r="BZ10" s="1183">
        <f>BW10</f>
        <v>343539</v>
      </c>
      <c r="CA10" s="1183"/>
      <c r="CB10" s="1183">
        <f t="shared" ref="CB10:CB25" si="24">BZ10</f>
        <v>343539</v>
      </c>
      <c r="CC10" s="1184">
        <f>BZ10-BW10</f>
        <v>0</v>
      </c>
      <c r="CD10" s="1183">
        <f>BZ10/BW10%</f>
        <v>100</v>
      </c>
      <c r="CE10" s="1183">
        <v>323859</v>
      </c>
      <c r="CF10" s="1183"/>
      <c r="CG10" s="1183">
        <f>CE10</f>
        <v>323859</v>
      </c>
      <c r="CH10" s="1183">
        <f>CE10</f>
        <v>323859</v>
      </c>
      <c r="CI10" s="1183"/>
      <c r="CJ10" s="1183">
        <f t="shared" ref="CJ10:CJ25" si="25">CH10</f>
        <v>323859</v>
      </c>
      <c r="CK10" s="1184">
        <f>CH10-CE10</f>
        <v>0</v>
      </c>
      <c r="CL10" s="1183">
        <f>CH10/CE10%</f>
        <v>100</v>
      </c>
      <c r="CM10" s="1183">
        <v>159099</v>
      </c>
      <c r="CN10" s="1183"/>
      <c r="CO10" s="1183">
        <f>CM10</f>
        <v>159099</v>
      </c>
      <c r="CP10" s="1183">
        <f>CM10</f>
        <v>159099</v>
      </c>
      <c r="CQ10" s="1183"/>
      <c r="CR10" s="1183">
        <f t="shared" ref="CR10:CR25" si="26">CP10</f>
        <v>159099</v>
      </c>
      <c r="CS10" s="1184">
        <f>CP10-CM10</f>
        <v>0</v>
      </c>
      <c r="CT10" s="1183">
        <f>CP10/CM10%</f>
        <v>100</v>
      </c>
      <c r="CU10" s="1183">
        <v>295461</v>
      </c>
      <c r="CV10" s="1183"/>
      <c r="CW10" s="1183">
        <f>CU10</f>
        <v>295461</v>
      </c>
      <c r="CX10" s="1183">
        <f>CU10</f>
        <v>295461</v>
      </c>
      <c r="CY10" s="1183"/>
      <c r="CZ10" s="1183">
        <f t="shared" ref="CZ10:CZ25" si="27">CX10</f>
        <v>295461</v>
      </c>
      <c r="DA10" s="1184">
        <f>CX10-CU10</f>
        <v>0</v>
      </c>
      <c r="DB10" s="1183">
        <f>CX10/CU10%</f>
        <v>100</v>
      </c>
    </row>
    <row r="11" spans="1:106" s="335" customFormat="1" ht="18.95" customHeight="1" x14ac:dyDescent="0.2">
      <c r="A11" s="343">
        <v>3</v>
      </c>
      <c r="B11" s="1185" t="s">
        <v>1470</v>
      </c>
      <c r="C11" s="1183">
        <f t="shared" si="15"/>
        <v>342197</v>
      </c>
      <c r="D11" s="1183"/>
      <c r="E11" s="1183">
        <f t="shared" si="16"/>
        <v>106365</v>
      </c>
      <c r="F11" s="1183">
        <f t="shared" si="17"/>
        <v>508829</v>
      </c>
      <c r="G11" s="1183">
        <f t="shared" si="17"/>
        <v>0</v>
      </c>
      <c r="H11" s="1183">
        <f t="shared" si="17"/>
        <v>508829</v>
      </c>
      <c r="I11" s="1184">
        <f t="shared" si="1"/>
        <v>166632</v>
      </c>
      <c r="J11" s="1183">
        <f>F11/C11%</f>
        <v>148.69475769805112</v>
      </c>
      <c r="K11" s="1183">
        <f t="shared" ref="K11:P11" si="28">SUM(K12:K14)</f>
        <v>47478</v>
      </c>
      <c r="L11" s="1183">
        <f t="shared" si="28"/>
        <v>0</v>
      </c>
      <c r="M11" s="1183">
        <f t="shared" si="28"/>
        <v>47478</v>
      </c>
      <c r="N11" s="1183">
        <f t="shared" si="28"/>
        <v>59799</v>
      </c>
      <c r="O11" s="1183">
        <f t="shared" si="28"/>
        <v>0</v>
      </c>
      <c r="P11" s="1183">
        <f t="shared" si="28"/>
        <v>59799</v>
      </c>
      <c r="Q11" s="1184">
        <f>N11-K11</f>
        <v>12321</v>
      </c>
      <c r="R11" s="1183"/>
      <c r="S11" s="1183">
        <f t="shared" ref="S11:X11" si="29">SUM(S12:S14)</f>
        <v>19404</v>
      </c>
      <c r="T11" s="1183">
        <f t="shared" si="29"/>
        <v>0</v>
      </c>
      <c r="U11" s="1183">
        <f t="shared" si="29"/>
        <v>19404</v>
      </c>
      <c r="V11" s="1183">
        <f t="shared" si="29"/>
        <v>38659</v>
      </c>
      <c r="W11" s="1183">
        <f t="shared" si="29"/>
        <v>0</v>
      </c>
      <c r="X11" s="1183">
        <f t="shared" si="29"/>
        <v>38659</v>
      </c>
      <c r="Y11" s="1184">
        <f>V11-S11</f>
        <v>19255</v>
      </c>
      <c r="Z11" s="1183"/>
      <c r="AA11" s="1183">
        <f>SUM(AA12:AA14)</f>
        <v>39483</v>
      </c>
      <c r="AB11" s="1183">
        <f>SUM(AB12:AB14)</f>
        <v>0</v>
      </c>
      <c r="AC11" s="1183">
        <f>SUM(AC12:AC14)</f>
        <v>39483</v>
      </c>
      <c r="AD11" s="1183">
        <f>SUM(AD12:AD14)</f>
        <v>42261</v>
      </c>
      <c r="AE11" s="1183">
        <f>SUM(AE12:AE14)</f>
        <v>0</v>
      </c>
      <c r="AF11" s="1183">
        <f t="shared" si="18"/>
        <v>42261</v>
      </c>
      <c r="AG11" s="1184">
        <f>AD11-AA11</f>
        <v>2778</v>
      </c>
      <c r="AH11" s="1183"/>
      <c r="AI11" s="1183">
        <f>SUM(AI12:AI14)</f>
        <v>46681</v>
      </c>
      <c r="AJ11" s="1183">
        <f>SUM(AJ12:AJ14)</f>
        <v>0</v>
      </c>
      <c r="AK11" s="1183">
        <f>SUM(AK12:AK14)</f>
        <v>0</v>
      </c>
      <c r="AL11" s="1183">
        <f>SUM(AL12:AL14)</f>
        <v>57859</v>
      </c>
      <c r="AM11" s="1183">
        <f>SUM(AM12:AM14)</f>
        <v>0</v>
      </c>
      <c r="AN11" s="1183">
        <f t="shared" si="19"/>
        <v>57859</v>
      </c>
      <c r="AO11" s="1184">
        <f t="shared" si="6"/>
        <v>11178</v>
      </c>
      <c r="AP11" s="1183"/>
      <c r="AQ11" s="1183">
        <f>SUM(AQ12:AQ14)</f>
        <v>28347</v>
      </c>
      <c r="AR11" s="1183">
        <f>SUM(AR12:AR14)</f>
        <v>0</v>
      </c>
      <c r="AS11" s="1183">
        <f>SUM(AS12:AS14)</f>
        <v>0</v>
      </c>
      <c r="AT11" s="1183">
        <f>SUM(AT12:AT14)</f>
        <v>41402</v>
      </c>
      <c r="AU11" s="1183">
        <f>SUM(AU12:AU14)</f>
        <v>0</v>
      </c>
      <c r="AV11" s="1183">
        <f t="shared" si="20"/>
        <v>41402</v>
      </c>
      <c r="AW11" s="1184">
        <f>AT11-AQ11</f>
        <v>13055</v>
      </c>
      <c r="AX11" s="1183"/>
      <c r="AY11" s="1183">
        <f>SUM(AY12:AY14)</f>
        <v>0</v>
      </c>
      <c r="AZ11" s="1183">
        <f>SUM(AZ12:AZ14)</f>
        <v>0</v>
      </c>
      <c r="BA11" s="1183">
        <f>SUM(BA12:BA14)</f>
        <v>0</v>
      </c>
      <c r="BB11" s="1183">
        <f>SUM(BB12:BB14)</f>
        <v>0</v>
      </c>
      <c r="BC11" s="1183">
        <f>SUM(BC12:BC14)</f>
        <v>0</v>
      </c>
      <c r="BD11" s="1183">
        <f t="shared" si="21"/>
        <v>0</v>
      </c>
      <c r="BE11" s="1184">
        <f>BB11-AY11</f>
        <v>0</v>
      </c>
      <c r="BF11" s="1183"/>
      <c r="BG11" s="1183">
        <f>SUM(BG12:BG14)</f>
        <v>45011</v>
      </c>
      <c r="BH11" s="1183">
        <f>SUM(BH12:BH14)</f>
        <v>0</v>
      </c>
      <c r="BI11" s="1183">
        <f>SUM(BI12:BI14)</f>
        <v>0</v>
      </c>
      <c r="BJ11" s="1183">
        <f>SUM(BJ12:BJ14)</f>
        <v>61624</v>
      </c>
      <c r="BK11" s="1183">
        <f>SUM(BK12:BK14)</f>
        <v>0</v>
      </c>
      <c r="BL11" s="1183">
        <f t="shared" si="22"/>
        <v>61624</v>
      </c>
      <c r="BM11" s="1184">
        <f>BJ11-BG11</f>
        <v>16613</v>
      </c>
      <c r="BN11" s="1183"/>
      <c r="BO11" s="1183">
        <f>SUM(BO12:BO14)</f>
        <v>39053</v>
      </c>
      <c r="BP11" s="1183">
        <f>SUM(BP12:BP14)</f>
        <v>0</v>
      </c>
      <c r="BQ11" s="1183">
        <f>SUM(BQ12:BQ14)</f>
        <v>0</v>
      </c>
      <c r="BR11" s="1183">
        <f>SUM(BR12:BR14)</f>
        <v>58327</v>
      </c>
      <c r="BS11" s="1183">
        <f>SUM(BS12:BS14)</f>
        <v>0</v>
      </c>
      <c r="BT11" s="1183">
        <f t="shared" si="23"/>
        <v>58327</v>
      </c>
      <c r="BU11" s="1184">
        <f>BR11-BO11</f>
        <v>19274</v>
      </c>
      <c r="BV11" s="1183"/>
      <c r="BW11" s="1183">
        <f>SUM(BW12:BW14)</f>
        <v>9873</v>
      </c>
      <c r="BX11" s="1183">
        <f>SUM(BX12:BX14)</f>
        <v>0</v>
      </c>
      <c r="BY11" s="1183">
        <f>SUM(BY12:BY14)</f>
        <v>0</v>
      </c>
      <c r="BZ11" s="1183">
        <f>SUM(BZ12:BZ14)</f>
        <v>46626</v>
      </c>
      <c r="CA11" s="1183">
        <f>SUM(CA12:CA14)</f>
        <v>0</v>
      </c>
      <c r="CB11" s="1183">
        <f t="shared" si="24"/>
        <v>46626</v>
      </c>
      <c r="CC11" s="1184">
        <f>BZ11-BW11</f>
        <v>36753</v>
      </c>
      <c r="CD11" s="1183"/>
      <c r="CE11" s="1183">
        <f>SUM(CE12:CE14)</f>
        <v>36666</v>
      </c>
      <c r="CF11" s="1183">
        <f>SUM(CF12:CF14)</f>
        <v>0</v>
      </c>
      <c r="CG11" s="1183">
        <f>SUM(CG12:CG14)</f>
        <v>0</v>
      </c>
      <c r="CH11" s="1183">
        <f>SUM(CH12:CH14)</f>
        <v>54623</v>
      </c>
      <c r="CI11" s="1183">
        <f>SUM(CI12:CI14)</f>
        <v>0</v>
      </c>
      <c r="CJ11" s="1183">
        <f t="shared" si="25"/>
        <v>54623</v>
      </c>
      <c r="CK11" s="1184">
        <f>CH11-CE11</f>
        <v>17957</v>
      </c>
      <c r="CL11" s="1183"/>
      <c r="CM11" s="1183">
        <f>SUM(CM12:CM14)</f>
        <v>0</v>
      </c>
      <c r="CN11" s="1183">
        <f>SUM(CN12:CN14)</f>
        <v>0</v>
      </c>
      <c r="CO11" s="1183">
        <f>SUM(CO12:CO14)</f>
        <v>0</v>
      </c>
      <c r="CP11" s="1183">
        <f>SUM(CP12:CP14)</f>
        <v>0</v>
      </c>
      <c r="CQ11" s="1183">
        <f>SUM(CQ12:CQ14)</f>
        <v>0</v>
      </c>
      <c r="CR11" s="1183">
        <f t="shared" si="26"/>
        <v>0</v>
      </c>
      <c r="CS11" s="1184">
        <f>CP11-CM11</f>
        <v>0</v>
      </c>
      <c r="CT11" s="1183"/>
      <c r="CU11" s="1183">
        <f>SUM(CU12:CU14)</f>
        <v>30201</v>
      </c>
      <c r="CV11" s="1183">
        <f>SUM(CV12:CV14)</f>
        <v>0</v>
      </c>
      <c r="CW11" s="1183">
        <f>SUM(CW12:CW14)</f>
        <v>0</v>
      </c>
      <c r="CX11" s="1183">
        <f>SUM(CX12:CX14)</f>
        <v>47649</v>
      </c>
      <c r="CY11" s="1183">
        <f>SUM(CY12:CY14)</f>
        <v>0</v>
      </c>
      <c r="CZ11" s="1183">
        <f t="shared" si="27"/>
        <v>47649</v>
      </c>
      <c r="DA11" s="1184">
        <f>CX11-CU11</f>
        <v>17448</v>
      </c>
      <c r="DB11" s="1183"/>
    </row>
    <row r="12" spans="1:106" s="592" customFormat="1" ht="18.95" customHeight="1" x14ac:dyDescent="0.25">
      <c r="A12" s="345" t="s">
        <v>434</v>
      </c>
      <c r="B12" s="588" t="s">
        <v>1472</v>
      </c>
      <c r="C12" s="589">
        <f t="shared" si="15"/>
        <v>342197</v>
      </c>
      <c r="D12" s="589"/>
      <c r="E12" s="589">
        <f t="shared" si="16"/>
        <v>106365</v>
      </c>
      <c r="F12" s="589">
        <f t="shared" si="17"/>
        <v>342197</v>
      </c>
      <c r="G12" s="589">
        <f>SUM(O12,W12,AE12,AM12,AU12,BC12,BK12,BS12,CA12,CI12,CQ12,CY12)</f>
        <v>0</v>
      </c>
      <c r="H12" s="589">
        <f>SUM(P12,X12,AF12,AN12,AV12,BD12,BL12,BT12,CB12,CJ12,CR12,CZ12)</f>
        <v>342197</v>
      </c>
      <c r="I12" s="566">
        <f t="shared" si="1"/>
        <v>0</v>
      </c>
      <c r="J12" s="589"/>
      <c r="K12" s="589">
        <v>47478</v>
      </c>
      <c r="L12" s="589"/>
      <c r="M12" s="589">
        <f>K12</f>
        <v>47478</v>
      </c>
      <c r="N12" s="589">
        <f>K12</f>
        <v>47478</v>
      </c>
      <c r="O12" s="589"/>
      <c r="P12" s="589">
        <f>N12</f>
        <v>47478</v>
      </c>
      <c r="Q12" s="591"/>
      <c r="R12" s="589"/>
      <c r="S12" s="589">
        <v>19404</v>
      </c>
      <c r="T12" s="589"/>
      <c r="U12" s="589">
        <f>S12</f>
        <v>19404</v>
      </c>
      <c r="V12" s="589">
        <f>S12</f>
        <v>19404</v>
      </c>
      <c r="W12" s="589"/>
      <c r="X12" s="589">
        <f t="shared" ref="X12:X17" si="30">V12</f>
        <v>19404</v>
      </c>
      <c r="Y12" s="590"/>
      <c r="Z12" s="589"/>
      <c r="AA12" s="589">
        <v>39483</v>
      </c>
      <c r="AB12" s="589"/>
      <c r="AC12" s="589">
        <f>AA12</f>
        <v>39483</v>
      </c>
      <c r="AD12" s="589">
        <f>AA12</f>
        <v>39483</v>
      </c>
      <c r="AE12" s="589"/>
      <c r="AF12" s="589">
        <f t="shared" si="18"/>
        <v>39483</v>
      </c>
      <c r="AG12" s="590"/>
      <c r="AH12" s="589"/>
      <c r="AI12" s="589">
        <v>46681</v>
      </c>
      <c r="AJ12" s="589"/>
      <c r="AK12" s="589"/>
      <c r="AL12" s="589">
        <f>AI12</f>
        <v>46681</v>
      </c>
      <c r="AM12" s="589"/>
      <c r="AN12" s="589">
        <f t="shared" si="19"/>
        <v>46681</v>
      </c>
      <c r="AO12" s="566">
        <f t="shared" si="6"/>
        <v>0</v>
      </c>
      <c r="AP12" s="589"/>
      <c r="AQ12" s="589">
        <v>28347</v>
      </c>
      <c r="AR12" s="589"/>
      <c r="AS12" s="589"/>
      <c r="AT12" s="589">
        <f>AQ12</f>
        <v>28347</v>
      </c>
      <c r="AU12" s="589"/>
      <c r="AV12" s="589">
        <f t="shared" si="20"/>
        <v>28347</v>
      </c>
      <c r="AW12" s="590"/>
      <c r="AX12" s="589"/>
      <c r="AY12" s="589">
        <f>0+0+0</f>
        <v>0</v>
      </c>
      <c r="AZ12" s="589"/>
      <c r="BA12" s="589"/>
      <c r="BB12" s="589">
        <f>AY12</f>
        <v>0</v>
      </c>
      <c r="BC12" s="589"/>
      <c r="BD12" s="589">
        <f t="shared" si="21"/>
        <v>0</v>
      </c>
      <c r="BE12" s="590"/>
      <c r="BF12" s="589"/>
      <c r="BG12" s="589">
        <v>45011</v>
      </c>
      <c r="BH12" s="589"/>
      <c r="BI12" s="589"/>
      <c r="BJ12" s="589">
        <f>BG12</f>
        <v>45011</v>
      </c>
      <c r="BK12" s="589">
        <f>IF($BK$14&gt;0,'CCTL nam 2020- 2021'!K23,0)</f>
        <v>0</v>
      </c>
      <c r="BL12" s="589">
        <f t="shared" si="22"/>
        <v>45011</v>
      </c>
      <c r="BM12" s="590"/>
      <c r="BN12" s="589"/>
      <c r="BO12" s="589">
        <v>39053</v>
      </c>
      <c r="BP12" s="589"/>
      <c r="BQ12" s="589"/>
      <c r="BR12" s="589">
        <f>BO12</f>
        <v>39053</v>
      </c>
      <c r="BS12" s="589"/>
      <c r="BT12" s="589">
        <f t="shared" si="23"/>
        <v>39053</v>
      </c>
      <c r="BU12" s="590"/>
      <c r="BV12" s="589"/>
      <c r="BW12" s="589">
        <v>9873</v>
      </c>
      <c r="BX12" s="589"/>
      <c r="BY12" s="589"/>
      <c r="BZ12" s="589">
        <f>BW12</f>
        <v>9873</v>
      </c>
      <c r="CA12" s="589"/>
      <c r="CB12" s="589">
        <f t="shared" si="24"/>
        <v>9873</v>
      </c>
      <c r="CC12" s="590"/>
      <c r="CD12" s="589"/>
      <c r="CE12" s="589">
        <v>36666</v>
      </c>
      <c r="CF12" s="589"/>
      <c r="CG12" s="589"/>
      <c r="CH12" s="589">
        <f>CE12</f>
        <v>36666</v>
      </c>
      <c r="CI12" s="589"/>
      <c r="CJ12" s="589">
        <f t="shared" si="25"/>
        <v>36666</v>
      </c>
      <c r="CK12" s="590"/>
      <c r="CL12" s="589"/>
      <c r="CM12" s="589">
        <v>0</v>
      </c>
      <c r="CN12" s="589"/>
      <c r="CO12" s="589"/>
      <c r="CP12" s="589">
        <f>CM12</f>
        <v>0</v>
      </c>
      <c r="CQ12" s="589"/>
      <c r="CR12" s="589">
        <f t="shared" si="26"/>
        <v>0</v>
      </c>
      <c r="CS12" s="590"/>
      <c r="CT12" s="589"/>
      <c r="CU12" s="589">
        <v>30201</v>
      </c>
      <c r="CV12" s="589"/>
      <c r="CW12" s="589"/>
      <c r="CX12" s="589">
        <f>CU12</f>
        <v>30201</v>
      </c>
      <c r="CY12" s="589"/>
      <c r="CZ12" s="589">
        <f t="shared" si="27"/>
        <v>30201</v>
      </c>
      <c r="DA12" s="590"/>
      <c r="DB12" s="589"/>
    </row>
    <row r="13" spans="1:106" s="592" customFormat="1" ht="18.95" customHeight="1" x14ac:dyDescent="0.25">
      <c r="A13" s="345" t="s">
        <v>435</v>
      </c>
      <c r="B13" s="588" t="s">
        <v>1507</v>
      </c>
      <c r="C13" s="589">
        <f t="shared" si="15"/>
        <v>0</v>
      </c>
      <c r="D13" s="589"/>
      <c r="E13" s="589">
        <f t="shared" si="16"/>
        <v>0</v>
      </c>
      <c r="F13" s="589">
        <f t="shared" si="17"/>
        <v>4442</v>
      </c>
      <c r="G13" s="589">
        <f>SUM(O13,W13,AE13,AM13,AU13,BC13,BK13,BS13,CA13,CI13,CQ13,CY13)</f>
        <v>0</v>
      </c>
      <c r="H13" s="589">
        <f>SUM(P13,X13,AF13,AN13,AV13,BD13,BL13,BT13,CB13,CJ13,CR13,CZ13)</f>
        <v>4442</v>
      </c>
      <c r="I13" s="566">
        <f t="shared" si="1"/>
        <v>4442</v>
      </c>
      <c r="J13" s="589"/>
      <c r="K13" s="589"/>
      <c r="L13" s="589"/>
      <c r="M13" s="589"/>
      <c r="N13" s="589">
        <f>IF($N$14&gt;0,'CCTL nam 2020- 2021'!E24,0)</f>
        <v>594</v>
      </c>
      <c r="O13" s="589"/>
      <c r="P13" s="589">
        <f>N13</f>
        <v>594</v>
      </c>
      <c r="Q13" s="591"/>
      <c r="R13" s="589"/>
      <c r="S13" s="589"/>
      <c r="T13" s="589"/>
      <c r="U13" s="589"/>
      <c r="V13" s="589">
        <f>IF($V$14&gt;0,'CCTL nam 2020- 2021'!F24,0)</f>
        <v>403</v>
      </c>
      <c r="W13" s="589"/>
      <c r="X13" s="589">
        <f t="shared" si="30"/>
        <v>403</v>
      </c>
      <c r="Y13" s="590"/>
      <c r="Z13" s="589"/>
      <c r="AA13" s="589"/>
      <c r="AB13" s="589"/>
      <c r="AC13" s="589"/>
      <c r="AD13" s="589">
        <f>IF($AD$14&gt;0,'CCTL nam 2020- 2021'!G24,0)</f>
        <v>586</v>
      </c>
      <c r="AE13" s="589"/>
      <c r="AF13" s="589">
        <f t="shared" si="18"/>
        <v>586</v>
      </c>
      <c r="AG13" s="590"/>
      <c r="AH13" s="589"/>
      <c r="AI13" s="589"/>
      <c r="AJ13" s="589"/>
      <c r="AK13" s="589"/>
      <c r="AL13" s="589">
        <f>IF($AL$14&gt;0,'CCTL nam 2020- 2021'!H24,0)</f>
        <v>309</v>
      </c>
      <c r="AM13" s="589"/>
      <c r="AN13" s="589">
        <f t="shared" si="19"/>
        <v>309</v>
      </c>
      <c r="AO13" s="566">
        <f t="shared" si="6"/>
        <v>309</v>
      </c>
      <c r="AP13" s="589"/>
      <c r="AQ13" s="589"/>
      <c r="AR13" s="589"/>
      <c r="AS13" s="589"/>
      <c r="AT13" s="589">
        <f>INT(IF($AT$14&gt;0,'CCTL nam 2020- 2021'!I24,0))</f>
        <v>411</v>
      </c>
      <c r="AU13" s="589"/>
      <c r="AV13" s="589">
        <f t="shared" si="20"/>
        <v>411</v>
      </c>
      <c r="AW13" s="590"/>
      <c r="AX13" s="589"/>
      <c r="AY13" s="589"/>
      <c r="AZ13" s="589"/>
      <c r="BA13" s="589"/>
      <c r="BB13" s="589">
        <f>IF($BB$14&gt;0,'CCTL nam 2020- 2021'!J24,0)</f>
        <v>0</v>
      </c>
      <c r="BC13" s="589"/>
      <c r="BD13" s="589">
        <f t="shared" si="21"/>
        <v>0</v>
      </c>
      <c r="BE13" s="590"/>
      <c r="BF13" s="589"/>
      <c r="BG13" s="589"/>
      <c r="BH13" s="589"/>
      <c r="BI13" s="589"/>
      <c r="BJ13" s="589">
        <f>IF($BJ$14&gt;0,'CCTL nam 2020- 2021'!K24,0)</f>
        <v>508</v>
      </c>
      <c r="BK13" s="589">
        <f>IF($BK$14&gt;0,'CCTL nam 2020- 2021'!K24,0)</f>
        <v>0</v>
      </c>
      <c r="BL13" s="589">
        <f t="shared" si="22"/>
        <v>508</v>
      </c>
      <c r="BM13" s="590"/>
      <c r="BN13" s="589"/>
      <c r="BO13" s="589"/>
      <c r="BP13" s="589"/>
      <c r="BQ13" s="589"/>
      <c r="BR13" s="589">
        <f>IF($BR$14&gt;0,'CCTL nam 2020- 2021'!L24,0)</f>
        <v>422</v>
      </c>
      <c r="BS13" s="589"/>
      <c r="BT13" s="589">
        <f t="shared" si="23"/>
        <v>422</v>
      </c>
      <c r="BU13" s="590"/>
      <c r="BV13" s="589"/>
      <c r="BW13" s="589">
        <v>0</v>
      </c>
      <c r="BX13" s="589"/>
      <c r="BY13" s="589"/>
      <c r="BZ13" s="589">
        <f>INT(IF($BZ$14&gt;0,'CCTL nam 2020- 2021'!M24,0))</f>
        <v>445</v>
      </c>
      <c r="CA13" s="589"/>
      <c r="CB13" s="589">
        <f t="shared" si="24"/>
        <v>445</v>
      </c>
      <c r="CC13" s="590"/>
      <c r="CD13" s="589"/>
      <c r="CE13" s="589"/>
      <c r="CF13" s="589"/>
      <c r="CG13" s="589"/>
      <c r="CH13" s="589">
        <f>IF($CH$14&gt;0,'CCTL nam 2020- 2021'!N24,0)</f>
        <v>396</v>
      </c>
      <c r="CI13" s="589"/>
      <c r="CJ13" s="589">
        <f t="shared" si="25"/>
        <v>396</v>
      </c>
      <c r="CK13" s="590"/>
      <c r="CL13" s="589"/>
      <c r="CM13" s="589"/>
      <c r="CN13" s="589"/>
      <c r="CO13" s="589"/>
      <c r="CP13" s="589">
        <f>IF($CP$14&gt;0,'CCTL nam 2020- 2021'!O24,0)</f>
        <v>0</v>
      </c>
      <c r="CQ13" s="589"/>
      <c r="CR13" s="589">
        <f t="shared" si="26"/>
        <v>0</v>
      </c>
      <c r="CS13" s="590"/>
      <c r="CT13" s="589"/>
      <c r="CU13" s="589"/>
      <c r="CV13" s="589"/>
      <c r="CW13" s="589"/>
      <c r="CX13" s="589">
        <f>INT(IF($CX$14&gt;0,'CCTL nam 2020- 2021'!P24,0))</f>
        <v>368</v>
      </c>
      <c r="CY13" s="589"/>
      <c r="CZ13" s="589">
        <f t="shared" si="27"/>
        <v>368</v>
      </c>
      <c r="DA13" s="590"/>
      <c r="DB13" s="589"/>
    </row>
    <row r="14" spans="1:106" s="592" customFormat="1" ht="18.95" customHeight="1" x14ac:dyDescent="0.25">
      <c r="A14" s="345" t="s">
        <v>436</v>
      </c>
      <c r="B14" s="588" t="s">
        <v>1508</v>
      </c>
      <c r="C14" s="589">
        <f t="shared" si="15"/>
        <v>0</v>
      </c>
      <c r="D14" s="589"/>
      <c r="E14" s="589">
        <f t="shared" si="16"/>
        <v>0</v>
      </c>
      <c r="F14" s="589">
        <f t="shared" si="17"/>
        <v>162190</v>
      </c>
      <c r="G14" s="589"/>
      <c r="H14" s="589">
        <f>SUM(P14,X14,AF14,AN14,AV14,BD14,BL14,BT14,CB14,CJ14,CR14,CZ14)</f>
        <v>162190</v>
      </c>
      <c r="I14" s="566"/>
      <c r="J14" s="589"/>
      <c r="K14" s="589"/>
      <c r="L14" s="589"/>
      <c r="M14" s="589"/>
      <c r="N14" s="589">
        <f>IF(('CCTL nam 2020- 2021'!E34)&gt;0,0,-('CCTL nam 2020- 2021'!E34))</f>
        <v>11727</v>
      </c>
      <c r="O14" s="589"/>
      <c r="P14" s="589">
        <f>N14</f>
        <v>11727</v>
      </c>
      <c r="Q14" s="591"/>
      <c r="R14" s="589"/>
      <c r="S14" s="589"/>
      <c r="T14" s="589"/>
      <c r="U14" s="589"/>
      <c r="V14" s="589">
        <f>IF(('CCTL nam 2020- 2021'!F34)&gt;0,0,-('CCTL nam 2020- 2021'!F34))</f>
        <v>18852</v>
      </c>
      <c r="W14" s="589"/>
      <c r="X14" s="589">
        <f t="shared" si="30"/>
        <v>18852</v>
      </c>
      <c r="Y14" s="590"/>
      <c r="Z14" s="589"/>
      <c r="AA14" s="589"/>
      <c r="AB14" s="589"/>
      <c r="AC14" s="589"/>
      <c r="AD14" s="589">
        <f>IF(('CCTL nam 2020- 2021'!G34)&gt;0,0,-('CCTL nam 2020- 2021'!G34))</f>
        <v>2192</v>
      </c>
      <c r="AE14" s="589"/>
      <c r="AF14" s="589">
        <f t="shared" si="18"/>
        <v>2192</v>
      </c>
      <c r="AG14" s="590"/>
      <c r="AH14" s="589"/>
      <c r="AI14" s="589"/>
      <c r="AJ14" s="589"/>
      <c r="AK14" s="589"/>
      <c r="AL14" s="589">
        <f>IF(('CCTL nam 2020- 2021'!H34)&gt;0,0,-('CCTL nam 2020- 2021'!H34))</f>
        <v>10869</v>
      </c>
      <c r="AM14" s="589"/>
      <c r="AN14" s="589">
        <f t="shared" si="19"/>
        <v>10869</v>
      </c>
      <c r="AO14" s="566"/>
      <c r="AP14" s="589"/>
      <c r="AQ14" s="589"/>
      <c r="AR14" s="589"/>
      <c r="AS14" s="589"/>
      <c r="AT14" s="589">
        <f>INT(IF(('CCTL nam 2020- 2021'!I34)&gt;0,0,-('CCTL nam 2020- 2021'!I34)))</f>
        <v>12644</v>
      </c>
      <c r="AU14" s="589"/>
      <c r="AV14" s="589">
        <f t="shared" si="20"/>
        <v>12644</v>
      </c>
      <c r="AW14" s="590"/>
      <c r="AX14" s="589"/>
      <c r="AY14" s="589"/>
      <c r="AZ14" s="589"/>
      <c r="BA14" s="589"/>
      <c r="BB14" s="589">
        <f>IF(('CCTL nam 2020- 2021'!J34)&gt;0,0,-('CCTL nam 2020- 2021'!J34))</f>
        <v>0</v>
      </c>
      <c r="BC14" s="589"/>
      <c r="BD14" s="589">
        <f t="shared" si="21"/>
        <v>0</v>
      </c>
      <c r="BE14" s="590"/>
      <c r="BF14" s="589"/>
      <c r="BG14" s="589"/>
      <c r="BH14" s="589"/>
      <c r="BI14" s="589"/>
      <c r="BJ14" s="589">
        <f>IF(('CCTL nam 2020- 2021'!K34)&gt;0,0,-('CCTL nam 2020- 2021'!K34))</f>
        <v>16105</v>
      </c>
      <c r="BK14" s="589"/>
      <c r="BL14" s="589">
        <f t="shared" si="22"/>
        <v>16105</v>
      </c>
      <c r="BM14" s="590"/>
      <c r="BN14" s="589"/>
      <c r="BO14" s="589"/>
      <c r="BP14" s="589"/>
      <c r="BQ14" s="589"/>
      <c r="BR14" s="589">
        <f>IF(('CCTL nam 2020- 2021'!L34)&gt;0,0,-('CCTL nam 2020- 2021'!L34))</f>
        <v>18852</v>
      </c>
      <c r="BS14" s="589"/>
      <c r="BT14" s="589">
        <f t="shared" si="23"/>
        <v>18852</v>
      </c>
      <c r="BU14" s="590"/>
      <c r="BV14" s="589"/>
      <c r="BW14" s="589"/>
      <c r="BX14" s="589"/>
      <c r="BY14" s="589"/>
      <c r="BZ14" s="589">
        <f>INT(IF(('CCTL nam 2020- 2021'!M34)&gt;0,0,-('CCTL nam 2020- 2021'!M34)))</f>
        <v>36308</v>
      </c>
      <c r="CA14" s="589"/>
      <c r="CB14" s="589">
        <f t="shared" si="24"/>
        <v>36308</v>
      </c>
      <c r="CC14" s="590"/>
      <c r="CD14" s="589"/>
      <c r="CE14" s="589"/>
      <c r="CF14" s="589"/>
      <c r="CG14" s="589"/>
      <c r="CH14" s="589">
        <f>IF(('CCTL nam 2020- 2021'!N34)&gt;0,0,-('CCTL nam 2020- 2021'!N34))</f>
        <v>17561</v>
      </c>
      <c r="CI14" s="589"/>
      <c r="CJ14" s="589">
        <f t="shared" si="25"/>
        <v>17561</v>
      </c>
      <c r="CK14" s="590"/>
      <c r="CL14" s="589"/>
      <c r="CM14" s="589"/>
      <c r="CN14" s="589"/>
      <c r="CO14" s="589"/>
      <c r="CP14" s="589">
        <f>IF(('CCTL nam 2020- 2021'!O34)&gt;0,0,-('CCTL nam 2020- 2021'!O34))</f>
        <v>0</v>
      </c>
      <c r="CQ14" s="589"/>
      <c r="CR14" s="589">
        <f t="shared" si="26"/>
        <v>0</v>
      </c>
      <c r="CS14" s="590"/>
      <c r="CT14" s="589"/>
      <c r="CU14" s="589"/>
      <c r="CV14" s="589"/>
      <c r="CW14" s="589"/>
      <c r="CX14" s="589">
        <f>INT(IF(('CCTL nam 2020- 2021'!P34)&gt;0,0,-('CCTL nam 2020- 2021'!P34)))</f>
        <v>17080</v>
      </c>
      <c r="CY14" s="589"/>
      <c r="CZ14" s="589">
        <f t="shared" si="27"/>
        <v>17080</v>
      </c>
      <c r="DA14" s="590"/>
      <c r="DB14" s="589"/>
    </row>
    <row r="15" spans="1:106" s="1205" customFormat="1" ht="18.95" customHeight="1" x14ac:dyDescent="0.2">
      <c r="A15" s="1204">
        <v>4</v>
      </c>
      <c r="B15" s="1185" t="s">
        <v>648</v>
      </c>
      <c r="C15" s="1183">
        <f t="shared" si="15"/>
        <v>685</v>
      </c>
      <c r="D15" s="1183"/>
      <c r="E15" s="1183">
        <f t="shared" si="16"/>
        <v>685</v>
      </c>
      <c r="F15" s="1183">
        <f t="shared" si="17"/>
        <v>4705</v>
      </c>
      <c r="G15" s="1183">
        <f t="shared" si="17"/>
        <v>0</v>
      </c>
      <c r="H15" s="1183">
        <f t="shared" si="17"/>
        <v>4705</v>
      </c>
      <c r="I15" s="1184">
        <f>F15-C15</f>
        <v>4020</v>
      </c>
      <c r="J15" s="1183"/>
      <c r="K15" s="1183">
        <v>0</v>
      </c>
      <c r="L15" s="1183"/>
      <c r="M15" s="1183">
        <f>K15</f>
        <v>0</v>
      </c>
      <c r="N15" s="1183">
        <f>IF('Thu NSH'!V39&gt;37000,0,-('Thu NSH'!V39-37000)/2)</f>
        <v>0</v>
      </c>
      <c r="O15" s="1183"/>
      <c r="P15" s="1183">
        <f>N15</f>
        <v>0</v>
      </c>
      <c r="Q15" s="1184">
        <f>N15-K15</f>
        <v>0</v>
      </c>
      <c r="R15" s="1183"/>
      <c r="S15" s="1183">
        <v>0</v>
      </c>
      <c r="T15" s="1183"/>
      <c r="U15" s="1183"/>
      <c r="V15" s="1183">
        <f>IF('Thu NSH'!AH39&gt;49600,0,-('Thu NSH'!AH39-49600)/2)</f>
        <v>1825</v>
      </c>
      <c r="W15" s="1183"/>
      <c r="X15" s="1183">
        <f t="shared" si="30"/>
        <v>1825</v>
      </c>
      <c r="Y15" s="1184">
        <f>V15-S15</f>
        <v>1825</v>
      </c>
      <c r="Z15" s="1183"/>
      <c r="AA15" s="1183">
        <v>0</v>
      </c>
      <c r="AB15" s="1183"/>
      <c r="AC15" s="1183"/>
      <c r="AD15" s="1183">
        <f>IF('Thu NSH'!AT39&gt;24610,0,-('Thu NSH'!AT39-24610)/2)</f>
        <v>0</v>
      </c>
      <c r="AE15" s="1183"/>
      <c r="AF15" s="1183">
        <f t="shared" si="18"/>
        <v>0</v>
      </c>
      <c r="AG15" s="1184">
        <f>AD15-AA15</f>
        <v>0</v>
      </c>
      <c r="AH15" s="1183"/>
      <c r="AI15" s="1183">
        <v>685</v>
      </c>
      <c r="AJ15" s="1183"/>
      <c r="AK15" s="1183">
        <f>AI15</f>
        <v>685</v>
      </c>
      <c r="AL15" s="1183">
        <f>IF('Thu NSH'!BF39&gt;52140,0,-('Thu NSH'!BF39-52140)/2)</f>
        <v>2880</v>
      </c>
      <c r="AM15" s="1183"/>
      <c r="AN15" s="1183">
        <f t="shared" si="19"/>
        <v>2880</v>
      </c>
      <c r="AO15" s="1184">
        <f>AL15-AI15</f>
        <v>2195</v>
      </c>
      <c r="AP15" s="1183"/>
      <c r="AQ15" s="1183">
        <v>0</v>
      </c>
      <c r="AR15" s="1183"/>
      <c r="AS15" s="1183"/>
      <c r="AT15" s="1183">
        <f>IF('Thu NSH'!BR39&gt;69330,0,-('Thu NSH'!BR39-69330)/2)</f>
        <v>0</v>
      </c>
      <c r="AU15" s="1183"/>
      <c r="AV15" s="1183">
        <f t="shared" si="20"/>
        <v>0</v>
      </c>
      <c r="AW15" s="1184">
        <f>AT15-AQ15</f>
        <v>0</v>
      </c>
      <c r="AX15" s="1183"/>
      <c r="AY15" s="1183">
        <v>0</v>
      </c>
      <c r="AZ15" s="1183"/>
      <c r="BA15" s="1183"/>
      <c r="BB15" s="1183">
        <f>IF('Thu NSH'!CD39&gt;324940,0,-('Thu NSH'!CD39-324940)/2)</f>
        <v>0</v>
      </c>
      <c r="BC15" s="1183"/>
      <c r="BD15" s="1183">
        <f t="shared" si="21"/>
        <v>0</v>
      </c>
      <c r="BE15" s="1184">
        <f>BB15-AY15</f>
        <v>0</v>
      </c>
      <c r="BF15" s="1183"/>
      <c r="BG15" s="1183">
        <v>0</v>
      </c>
      <c r="BH15" s="1183"/>
      <c r="BI15" s="1183"/>
      <c r="BJ15" s="1183">
        <f>IF('Thu NSH'!CP39&gt;73980,0,-('Thu NSH'!CP39-73980)/2)</f>
        <v>0</v>
      </c>
      <c r="BK15" s="1183"/>
      <c r="BL15" s="1183">
        <f t="shared" si="22"/>
        <v>0</v>
      </c>
      <c r="BM15" s="1184">
        <f>BJ15-BG15</f>
        <v>0</v>
      </c>
      <c r="BN15" s="1183"/>
      <c r="BO15" s="1183">
        <v>0</v>
      </c>
      <c r="BP15" s="1183"/>
      <c r="BQ15" s="1183"/>
      <c r="BR15" s="1183">
        <f>IF('Thu NSH'!DB39&gt;52710,0,-('Thu NSH'!DB39-52710)/2)</f>
        <v>0</v>
      </c>
      <c r="BS15" s="1183"/>
      <c r="BT15" s="1183">
        <f t="shared" si="23"/>
        <v>0</v>
      </c>
      <c r="BU15" s="1184">
        <f>BR15-BO15</f>
        <v>0</v>
      </c>
      <c r="BV15" s="1183"/>
      <c r="BW15" s="1183">
        <v>0</v>
      </c>
      <c r="BX15" s="1183"/>
      <c r="BY15" s="1183"/>
      <c r="BZ15" s="1183">
        <f>IF('Thu NSH'!DN39&gt;94220,0,-('Thu NSH'!DN39-94220)/2)</f>
        <v>0</v>
      </c>
      <c r="CA15" s="1183"/>
      <c r="CB15" s="1183">
        <f t="shared" si="24"/>
        <v>0</v>
      </c>
      <c r="CC15" s="1184">
        <f>BZ15-BW15</f>
        <v>0</v>
      </c>
      <c r="CD15" s="1183"/>
      <c r="CE15" s="1183">
        <v>0</v>
      </c>
      <c r="CF15" s="1183"/>
      <c r="CG15" s="1183"/>
      <c r="CH15" s="1183">
        <f>IF('Thu NSH'!DZ39&gt;60420,0,-('Thu NSH'!DZ39-60420)/2)</f>
        <v>0</v>
      </c>
      <c r="CI15" s="1183"/>
      <c r="CJ15" s="1183">
        <f t="shared" si="25"/>
        <v>0</v>
      </c>
      <c r="CK15" s="1184">
        <f>CH15-CE15</f>
        <v>0</v>
      </c>
      <c r="CL15" s="1183"/>
      <c r="CM15" s="1183">
        <f>0</f>
        <v>0</v>
      </c>
      <c r="CN15" s="1183"/>
      <c r="CO15" s="1183"/>
      <c r="CP15" s="1183">
        <f>IF('Thu NSH'!EL39&gt;219130,0,-('Thu NSH'!EL39-219130)/2)</f>
        <v>0</v>
      </c>
      <c r="CQ15" s="1183"/>
      <c r="CR15" s="1183">
        <f t="shared" si="26"/>
        <v>0</v>
      </c>
      <c r="CS15" s="1184">
        <f>CP15-CM15</f>
        <v>0</v>
      </c>
      <c r="CT15" s="1183"/>
      <c r="CU15" s="1183">
        <v>0</v>
      </c>
      <c r="CV15" s="1183"/>
      <c r="CW15" s="1183"/>
      <c r="CX15" s="1183">
        <f>IF('Thu NSH'!EX39&gt;58010,0,-('Thu NSH'!EX39-58010)/2)</f>
        <v>0</v>
      </c>
      <c r="CY15" s="1183"/>
      <c r="CZ15" s="1183">
        <f t="shared" si="27"/>
        <v>0</v>
      </c>
      <c r="DA15" s="1184">
        <f>CX15-CU15</f>
        <v>0</v>
      </c>
      <c r="DB15" s="1183"/>
    </row>
    <row r="16" spans="1:106" s="335" customFormat="1" ht="18.95" customHeight="1" x14ac:dyDescent="0.2">
      <c r="A16" s="343">
        <v>5</v>
      </c>
      <c r="B16" s="1185" t="s">
        <v>373</v>
      </c>
      <c r="C16" s="1183">
        <f t="shared" si="15"/>
        <v>114645</v>
      </c>
      <c r="D16" s="1183"/>
      <c r="E16" s="1183">
        <f t="shared" si="16"/>
        <v>114645</v>
      </c>
      <c r="F16" s="1183">
        <f t="shared" si="17"/>
        <v>105468</v>
      </c>
      <c r="G16" s="1183">
        <f t="shared" si="17"/>
        <v>0</v>
      </c>
      <c r="H16" s="1183">
        <f t="shared" si="17"/>
        <v>105468</v>
      </c>
      <c r="I16" s="1184">
        <f>F16-C16</f>
        <v>-9177</v>
      </c>
      <c r="J16" s="1183"/>
      <c r="K16" s="1183">
        <v>15665</v>
      </c>
      <c r="L16" s="1183"/>
      <c r="M16" s="1183">
        <f>K16</f>
        <v>15665</v>
      </c>
      <c r="N16" s="1183">
        <f>INT('Chính sách chế độ 2020-2021'!AQ19)-6091</f>
        <v>10406</v>
      </c>
      <c r="O16" s="1183"/>
      <c r="P16" s="1183">
        <f>N16</f>
        <v>10406</v>
      </c>
      <c r="Q16" s="1184">
        <f>N16-K16</f>
        <v>-5259</v>
      </c>
      <c r="R16" s="1183"/>
      <c r="S16" s="1183">
        <v>3056</v>
      </c>
      <c r="T16" s="1183"/>
      <c r="U16" s="1183">
        <f>S16</f>
        <v>3056</v>
      </c>
      <c r="V16" s="1183">
        <f>INT('Chính sách chế độ 2020-2021'!BL19)-897</f>
        <v>5191</v>
      </c>
      <c r="W16" s="1183"/>
      <c r="X16" s="1183">
        <f t="shared" si="30"/>
        <v>5191</v>
      </c>
      <c r="Y16" s="1184">
        <f>V16-S16</f>
        <v>2135</v>
      </c>
      <c r="Z16" s="1183"/>
      <c r="AA16" s="1183">
        <v>5240</v>
      </c>
      <c r="AB16" s="1183"/>
      <c r="AC16" s="1183">
        <f>AA16</f>
        <v>5240</v>
      </c>
      <c r="AD16" s="1183">
        <f>INT('Chính sách chế độ 2020-2021'!CG19)-4379</f>
        <v>0</v>
      </c>
      <c r="AE16" s="1183"/>
      <c r="AF16" s="1183">
        <f t="shared" si="18"/>
        <v>0</v>
      </c>
      <c r="AG16" s="1184">
        <f>AD16-AA16</f>
        <v>-5240</v>
      </c>
      <c r="AH16" s="1183"/>
      <c r="AI16" s="1183">
        <v>15466</v>
      </c>
      <c r="AJ16" s="1183"/>
      <c r="AK16" s="1183">
        <f>AI16</f>
        <v>15466</v>
      </c>
      <c r="AL16" s="1183">
        <f>INT('Chính sách chế độ 2020-2021'!DB19)-1339</f>
        <v>3999</v>
      </c>
      <c r="AM16" s="1183"/>
      <c r="AN16" s="1183">
        <f t="shared" si="19"/>
        <v>3999</v>
      </c>
      <c r="AO16" s="1184">
        <f>AL16-AI16</f>
        <v>-11467</v>
      </c>
      <c r="AP16" s="1183"/>
      <c r="AQ16" s="1183">
        <v>9326</v>
      </c>
      <c r="AR16" s="1183"/>
      <c r="AS16" s="1183">
        <f>AQ16</f>
        <v>9326</v>
      </c>
      <c r="AT16" s="1183">
        <f>INT('Chính sách chế độ 2020-2021'!DW19)</f>
        <v>13595</v>
      </c>
      <c r="AU16" s="1183"/>
      <c r="AV16" s="1183">
        <f t="shared" si="20"/>
        <v>13595</v>
      </c>
      <c r="AW16" s="1184">
        <f>AT16-AQ16</f>
        <v>4269</v>
      </c>
      <c r="AX16" s="1183"/>
      <c r="AY16" s="1183">
        <v>0</v>
      </c>
      <c r="AZ16" s="1183"/>
      <c r="BA16" s="1183">
        <f>AY16</f>
        <v>0</v>
      </c>
      <c r="BB16" s="1183">
        <f>INT('Chính sách chế độ 2020-2021'!ER19)-11904</f>
        <v>0</v>
      </c>
      <c r="BC16" s="1183"/>
      <c r="BD16" s="1183">
        <f t="shared" si="21"/>
        <v>0</v>
      </c>
      <c r="BE16" s="1184">
        <f>BB16-AY16</f>
        <v>0</v>
      </c>
      <c r="BF16" s="1183"/>
      <c r="BG16" s="1183">
        <v>15790</v>
      </c>
      <c r="BH16" s="1183"/>
      <c r="BI16" s="1183">
        <f>BG16</f>
        <v>15790</v>
      </c>
      <c r="BJ16" s="1183">
        <f>INT('Chính sách chế độ 2020-2021'!FM19)</f>
        <v>18949</v>
      </c>
      <c r="BK16" s="1183"/>
      <c r="BL16" s="1183">
        <f t="shared" si="22"/>
        <v>18949</v>
      </c>
      <c r="BM16" s="1184">
        <f>BJ16-BG16</f>
        <v>3159</v>
      </c>
      <c r="BN16" s="1183"/>
      <c r="BO16" s="1183">
        <v>8868</v>
      </c>
      <c r="BP16" s="1183"/>
      <c r="BQ16" s="1183">
        <f>BO16</f>
        <v>8868</v>
      </c>
      <c r="BR16" s="1183">
        <f>INT('Chính sách chế độ 2020-2021'!GH19)</f>
        <v>9881</v>
      </c>
      <c r="BS16" s="1183"/>
      <c r="BT16" s="1183">
        <f t="shared" si="23"/>
        <v>9881</v>
      </c>
      <c r="BU16" s="1184">
        <f>BR16-BO16</f>
        <v>1013</v>
      </c>
      <c r="BV16" s="1183"/>
      <c r="BW16" s="1183">
        <v>15662</v>
      </c>
      <c r="BX16" s="1183"/>
      <c r="BY16" s="1183">
        <f>BW16</f>
        <v>15662</v>
      </c>
      <c r="BZ16" s="1183">
        <f>INT('Chính sách chế độ 2020-2021'!HC19)</f>
        <v>16598</v>
      </c>
      <c r="CA16" s="1183"/>
      <c r="CB16" s="1183">
        <f t="shared" si="24"/>
        <v>16598</v>
      </c>
      <c r="CC16" s="1184">
        <f>BZ16-BW16</f>
        <v>936</v>
      </c>
      <c r="CD16" s="1183"/>
      <c r="CE16" s="1183">
        <v>11046</v>
      </c>
      <c r="CF16" s="1183"/>
      <c r="CG16" s="1183">
        <f>CE16</f>
        <v>11046</v>
      </c>
      <c r="CH16" s="1183">
        <f>INT('Chính sách chế độ 2020-2021'!HX19)-229</f>
        <v>13311</v>
      </c>
      <c r="CI16" s="1183"/>
      <c r="CJ16" s="1183">
        <f t="shared" si="25"/>
        <v>13311</v>
      </c>
      <c r="CK16" s="1184">
        <f>CH16-CE16</f>
        <v>2265</v>
      </c>
      <c r="CL16" s="1183"/>
      <c r="CM16" s="1183">
        <f>0</f>
        <v>0</v>
      </c>
      <c r="CN16" s="1183"/>
      <c r="CO16" s="1183">
        <f>CM16</f>
        <v>0</v>
      </c>
      <c r="CP16" s="1183">
        <f>INT('Chính sách chế độ 2020-2021'!IS19)-10956</f>
        <v>0</v>
      </c>
      <c r="CQ16" s="1183"/>
      <c r="CR16" s="1183">
        <f t="shared" si="26"/>
        <v>0</v>
      </c>
      <c r="CS16" s="1184">
        <f>CP16-CM16</f>
        <v>0</v>
      </c>
      <c r="CT16" s="1183"/>
      <c r="CU16" s="1183">
        <v>14526</v>
      </c>
      <c r="CV16" s="1183"/>
      <c r="CW16" s="1183">
        <f>CU16</f>
        <v>14526</v>
      </c>
      <c r="CX16" s="1183">
        <f>INT('Chính sách chế độ 2020-2021'!JN19)-1548</f>
        <v>13538</v>
      </c>
      <c r="CY16" s="1183"/>
      <c r="CZ16" s="1183">
        <f t="shared" si="27"/>
        <v>13538</v>
      </c>
      <c r="DA16" s="1184">
        <f>CX16-CU16</f>
        <v>-988</v>
      </c>
      <c r="DB16" s="1183"/>
    </row>
    <row r="17" spans="1:106" s="335" customFormat="1" ht="18.95" customHeight="1" x14ac:dyDescent="0.2">
      <c r="A17" s="343">
        <v>6</v>
      </c>
      <c r="B17" s="1185" t="s">
        <v>1214</v>
      </c>
      <c r="C17" s="1183">
        <f t="shared" si="15"/>
        <v>9704</v>
      </c>
      <c r="D17" s="1183"/>
      <c r="E17" s="1183">
        <f t="shared" si="16"/>
        <v>0</v>
      </c>
      <c r="F17" s="1183">
        <f t="shared" si="17"/>
        <v>9704</v>
      </c>
      <c r="G17" s="1183"/>
      <c r="H17" s="1183">
        <f t="shared" si="17"/>
        <v>9704</v>
      </c>
      <c r="I17" s="1184"/>
      <c r="J17" s="1183"/>
      <c r="K17" s="1183">
        <v>1012</v>
      </c>
      <c r="L17" s="1183"/>
      <c r="M17" s="1183"/>
      <c r="N17" s="1183">
        <f>1012</f>
        <v>1012</v>
      </c>
      <c r="O17" s="1183"/>
      <c r="P17" s="1183">
        <f t="shared" ref="P17:P25" si="31">N17</f>
        <v>1012</v>
      </c>
      <c r="Q17" s="1184"/>
      <c r="R17" s="1183"/>
      <c r="S17" s="1183">
        <v>628</v>
      </c>
      <c r="T17" s="1183"/>
      <c r="U17" s="1183"/>
      <c r="V17" s="1183">
        <f>S17</f>
        <v>628</v>
      </c>
      <c r="W17" s="1183"/>
      <c r="X17" s="1183">
        <f t="shared" si="30"/>
        <v>628</v>
      </c>
      <c r="Y17" s="1184"/>
      <c r="Z17" s="1183"/>
      <c r="AA17" s="1183">
        <v>806</v>
      </c>
      <c r="AB17" s="1183"/>
      <c r="AC17" s="1183"/>
      <c r="AD17" s="1183">
        <f>AA17</f>
        <v>806</v>
      </c>
      <c r="AE17" s="1183"/>
      <c r="AF17" s="1183">
        <f t="shared" si="18"/>
        <v>806</v>
      </c>
      <c r="AG17" s="1184"/>
      <c r="AH17" s="1183"/>
      <c r="AI17" s="1183">
        <v>1096</v>
      </c>
      <c r="AJ17" s="1183"/>
      <c r="AK17" s="1183"/>
      <c r="AL17" s="1183">
        <f>AI17</f>
        <v>1096</v>
      </c>
      <c r="AM17" s="1183"/>
      <c r="AN17" s="1183">
        <f t="shared" si="19"/>
        <v>1096</v>
      </c>
      <c r="AO17" s="1184"/>
      <c r="AP17" s="1183"/>
      <c r="AQ17" s="1183">
        <v>1174</v>
      </c>
      <c r="AR17" s="1183"/>
      <c r="AS17" s="1183"/>
      <c r="AT17" s="1183">
        <f>AQ17</f>
        <v>1174</v>
      </c>
      <c r="AU17" s="1183"/>
      <c r="AV17" s="1183">
        <f t="shared" si="20"/>
        <v>1174</v>
      </c>
      <c r="AW17" s="1184"/>
      <c r="AX17" s="1183"/>
      <c r="AY17" s="1183"/>
      <c r="AZ17" s="1183"/>
      <c r="BA17" s="1183"/>
      <c r="BB17" s="1183"/>
      <c r="BC17" s="1183"/>
      <c r="BD17" s="1183">
        <f t="shared" si="21"/>
        <v>0</v>
      </c>
      <c r="BE17" s="1184"/>
      <c r="BF17" s="1183"/>
      <c r="BG17" s="1183">
        <v>1644</v>
      </c>
      <c r="BH17" s="1183"/>
      <c r="BI17" s="1183"/>
      <c r="BJ17" s="1183">
        <f>BG17</f>
        <v>1644</v>
      </c>
      <c r="BK17" s="1183"/>
      <c r="BL17" s="1183">
        <f t="shared" si="22"/>
        <v>1644</v>
      </c>
      <c r="BM17" s="1184"/>
      <c r="BN17" s="1183"/>
      <c r="BO17" s="1183">
        <v>1160</v>
      </c>
      <c r="BP17" s="1183"/>
      <c r="BQ17" s="1183"/>
      <c r="BR17" s="1183">
        <f>BO17</f>
        <v>1160</v>
      </c>
      <c r="BS17" s="1183"/>
      <c r="BT17" s="1183">
        <f t="shared" si="23"/>
        <v>1160</v>
      </c>
      <c r="BU17" s="1184"/>
      <c r="BV17" s="1183"/>
      <c r="BW17" s="1183"/>
      <c r="BX17" s="1183"/>
      <c r="BY17" s="1183"/>
      <c r="BZ17" s="1183"/>
      <c r="CA17" s="1183"/>
      <c r="CB17" s="1183">
        <f t="shared" si="24"/>
        <v>0</v>
      </c>
      <c r="CC17" s="1184"/>
      <c r="CD17" s="1183"/>
      <c r="CE17" s="1183">
        <v>1088</v>
      </c>
      <c r="CF17" s="1183"/>
      <c r="CG17" s="1183"/>
      <c r="CH17" s="1183">
        <f>CE17</f>
        <v>1088</v>
      </c>
      <c r="CI17" s="1183"/>
      <c r="CJ17" s="1183">
        <f t="shared" si="25"/>
        <v>1088</v>
      </c>
      <c r="CK17" s="1184"/>
      <c r="CL17" s="1183"/>
      <c r="CM17" s="1183">
        <v>0</v>
      </c>
      <c r="CN17" s="1183"/>
      <c r="CO17" s="1183"/>
      <c r="CP17" s="1183">
        <f>IF($CP$14=0,0,CM17)</f>
        <v>0</v>
      </c>
      <c r="CQ17" s="1183"/>
      <c r="CR17" s="1183">
        <f t="shared" si="26"/>
        <v>0</v>
      </c>
      <c r="CS17" s="1184"/>
      <c r="CT17" s="1183"/>
      <c r="CU17" s="1183">
        <v>1096</v>
      </c>
      <c r="CV17" s="1183"/>
      <c r="CW17" s="1183"/>
      <c r="CX17" s="1183">
        <f>CU17</f>
        <v>1096</v>
      </c>
      <c r="CY17" s="1183"/>
      <c r="CZ17" s="1183">
        <f t="shared" si="27"/>
        <v>1096</v>
      </c>
      <c r="DA17" s="1184"/>
      <c r="DB17" s="1183"/>
    </row>
    <row r="18" spans="1:106" s="335" customFormat="1" ht="18.95" customHeight="1" x14ac:dyDescent="0.2">
      <c r="A18" s="343">
        <v>7</v>
      </c>
      <c r="B18" s="1185" t="s">
        <v>1217</v>
      </c>
      <c r="C18" s="1183">
        <f t="shared" si="15"/>
        <v>3600</v>
      </c>
      <c r="D18" s="1183"/>
      <c r="E18" s="1183">
        <f t="shared" si="16"/>
        <v>0</v>
      </c>
      <c r="F18" s="1183">
        <f t="shared" si="17"/>
        <v>3600</v>
      </c>
      <c r="G18" s="1183"/>
      <c r="H18" s="1183">
        <f t="shared" si="17"/>
        <v>3600</v>
      </c>
      <c r="I18" s="1184"/>
      <c r="J18" s="1183"/>
      <c r="K18" s="1183">
        <v>400</v>
      </c>
      <c r="L18" s="1183"/>
      <c r="M18" s="1183"/>
      <c r="N18" s="1183">
        <v>400</v>
      </c>
      <c r="O18" s="1183"/>
      <c r="P18" s="1183">
        <f t="shared" si="31"/>
        <v>400</v>
      </c>
      <c r="Q18" s="1184"/>
      <c r="R18" s="1183"/>
      <c r="S18" s="1183">
        <v>400</v>
      </c>
      <c r="T18" s="1183"/>
      <c r="U18" s="1183"/>
      <c r="V18" s="1183">
        <v>400</v>
      </c>
      <c r="W18" s="1183"/>
      <c r="X18" s="1183">
        <f t="shared" ref="X18:X25" si="32">V18</f>
        <v>400</v>
      </c>
      <c r="Y18" s="1184"/>
      <c r="Z18" s="1183"/>
      <c r="AA18" s="1183">
        <v>400</v>
      </c>
      <c r="AB18" s="1183"/>
      <c r="AC18" s="1183"/>
      <c r="AD18" s="1183">
        <v>400</v>
      </c>
      <c r="AE18" s="1183"/>
      <c r="AF18" s="1183">
        <f t="shared" ref="AF18:AF24" si="33">AD18</f>
        <v>400</v>
      </c>
      <c r="AG18" s="1184"/>
      <c r="AH18" s="1183"/>
      <c r="AI18" s="1183">
        <v>400</v>
      </c>
      <c r="AJ18" s="1183"/>
      <c r="AK18" s="1183"/>
      <c r="AL18" s="1183">
        <v>400</v>
      </c>
      <c r="AM18" s="1183"/>
      <c r="AN18" s="1183">
        <f t="shared" ref="AN18:AN24" si="34">AL18</f>
        <v>400</v>
      </c>
      <c r="AO18" s="1184"/>
      <c r="AP18" s="1183"/>
      <c r="AQ18" s="1183">
        <v>400</v>
      </c>
      <c r="AR18" s="1183"/>
      <c r="AS18" s="1183"/>
      <c r="AT18" s="1183">
        <v>400</v>
      </c>
      <c r="AU18" s="1183"/>
      <c r="AV18" s="1183">
        <f t="shared" ref="AV18:AV24" si="35">AT18</f>
        <v>400</v>
      </c>
      <c r="AW18" s="1184"/>
      <c r="AX18" s="1183"/>
      <c r="AY18" s="1183"/>
      <c r="AZ18" s="1183"/>
      <c r="BA18" s="1183"/>
      <c r="BB18" s="1183">
        <v>0</v>
      </c>
      <c r="BC18" s="1183"/>
      <c r="BD18" s="1183">
        <f t="shared" ref="BD18:BD24" si="36">BB18</f>
        <v>0</v>
      </c>
      <c r="BE18" s="1184"/>
      <c r="BF18" s="1183"/>
      <c r="BG18" s="1183"/>
      <c r="BH18" s="1183"/>
      <c r="BI18" s="1183"/>
      <c r="BJ18" s="1183">
        <v>0</v>
      </c>
      <c r="BK18" s="1183"/>
      <c r="BL18" s="1183">
        <f t="shared" ref="BL18:BL24" si="37">BJ18</f>
        <v>0</v>
      </c>
      <c r="BM18" s="1184"/>
      <c r="BN18" s="1183"/>
      <c r="BO18" s="1183">
        <v>400</v>
      </c>
      <c r="BP18" s="1183"/>
      <c r="BQ18" s="1183"/>
      <c r="BR18" s="1183">
        <v>400</v>
      </c>
      <c r="BS18" s="1183"/>
      <c r="BT18" s="1183">
        <f t="shared" ref="BT18:BT24" si="38">BR18</f>
        <v>400</v>
      </c>
      <c r="BU18" s="1184"/>
      <c r="BV18" s="1183"/>
      <c r="BW18" s="1183">
        <v>400</v>
      </c>
      <c r="BX18" s="1183"/>
      <c r="BY18" s="1183"/>
      <c r="BZ18" s="1183">
        <v>400</v>
      </c>
      <c r="CA18" s="1183"/>
      <c r="CB18" s="1183">
        <f t="shared" ref="CB18:CB24" si="39">BZ18</f>
        <v>400</v>
      </c>
      <c r="CC18" s="1184"/>
      <c r="CD18" s="1183"/>
      <c r="CE18" s="1183">
        <v>400</v>
      </c>
      <c r="CF18" s="1183"/>
      <c r="CG18" s="1183"/>
      <c r="CH18" s="1183">
        <v>400</v>
      </c>
      <c r="CI18" s="1183"/>
      <c r="CJ18" s="1183">
        <f t="shared" ref="CJ18:CJ24" si="40">CH18</f>
        <v>400</v>
      </c>
      <c r="CK18" s="1184"/>
      <c r="CL18" s="1183"/>
      <c r="CM18" s="1183"/>
      <c r="CN18" s="1183"/>
      <c r="CO18" s="1183"/>
      <c r="CP18" s="1183">
        <v>0</v>
      </c>
      <c r="CQ18" s="1183"/>
      <c r="CR18" s="1183">
        <f t="shared" ref="CR18:CR24" si="41">CP18</f>
        <v>0</v>
      </c>
      <c r="CS18" s="1184"/>
      <c r="CT18" s="1183"/>
      <c r="CU18" s="1183">
        <v>400</v>
      </c>
      <c r="CV18" s="1183"/>
      <c r="CW18" s="1183"/>
      <c r="CX18" s="1183">
        <v>400</v>
      </c>
      <c r="CY18" s="1183"/>
      <c r="CZ18" s="1183">
        <f t="shared" ref="CZ18:CZ24" si="42">CX18</f>
        <v>400</v>
      </c>
      <c r="DA18" s="1184"/>
      <c r="DB18" s="1183"/>
    </row>
    <row r="19" spans="1:106" s="335" customFormat="1" ht="18.95" customHeight="1" x14ac:dyDescent="0.2">
      <c r="A19" s="343">
        <v>8</v>
      </c>
      <c r="B19" s="1185" t="s">
        <v>1220</v>
      </c>
      <c r="C19" s="1183">
        <f t="shared" si="15"/>
        <v>8880</v>
      </c>
      <c r="D19" s="1183"/>
      <c r="E19" s="1183">
        <f t="shared" si="16"/>
        <v>760</v>
      </c>
      <c r="F19" s="1183">
        <f t="shared" si="17"/>
        <v>8860</v>
      </c>
      <c r="G19" s="1183"/>
      <c r="H19" s="1183">
        <f t="shared" si="17"/>
        <v>8860</v>
      </c>
      <c r="I19" s="1184"/>
      <c r="J19" s="1183"/>
      <c r="K19" s="1183">
        <v>720</v>
      </c>
      <c r="L19" s="1183"/>
      <c r="M19" s="1183"/>
      <c r="N19" s="1183">
        <f>500+20*10</f>
        <v>700</v>
      </c>
      <c r="O19" s="1183"/>
      <c r="P19" s="1183">
        <f t="shared" si="31"/>
        <v>700</v>
      </c>
      <c r="Q19" s="1184"/>
      <c r="R19" s="1183"/>
      <c r="S19" s="1183">
        <v>640</v>
      </c>
      <c r="T19" s="1183"/>
      <c r="U19" s="1183"/>
      <c r="V19" s="1183">
        <f>500+7*20</f>
        <v>640</v>
      </c>
      <c r="W19" s="1183"/>
      <c r="X19" s="1183">
        <f t="shared" si="32"/>
        <v>640</v>
      </c>
      <c r="Y19" s="1184"/>
      <c r="Z19" s="1183"/>
      <c r="AA19" s="1183">
        <v>680</v>
      </c>
      <c r="AB19" s="1183"/>
      <c r="AC19" s="1183"/>
      <c r="AD19" s="1183">
        <f>500+9*20</f>
        <v>680</v>
      </c>
      <c r="AE19" s="1183"/>
      <c r="AF19" s="1183">
        <f t="shared" si="33"/>
        <v>680</v>
      </c>
      <c r="AG19" s="1184"/>
      <c r="AH19" s="1183"/>
      <c r="AI19" s="1183">
        <v>740</v>
      </c>
      <c r="AJ19" s="1183"/>
      <c r="AK19" s="1183"/>
      <c r="AL19" s="1183">
        <f>500+12*20</f>
        <v>740</v>
      </c>
      <c r="AM19" s="1183"/>
      <c r="AN19" s="1183">
        <f t="shared" si="34"/>
        <v>740</v>
      </c>
      <c r="AO19" s="1184"/>
      <c r="AP19" s="1183"/>
      <c r="AQ19" s="1183">
        <v>760</v>
      </c>
      <c r="AR19" s="1183"/>
      <c r="AS19" s="1183"/>
      <c r="AT19" s="1183">
        <f>500+13*20</f>
        <v>760</v>
      </c>
      <c r="AU19" s="1183"/>
      <c r="AV19" s="1183">
        <f t="shared" si="35"/>
        <v>760</v>
      </c>
      <c r="AW19" s="1184"/>
      <c r="AX19" s="1183"/>
      <c r="AY19" s="1183">
        <v>800</v>
      </c>
      <c r="AZ19" s="1183"/>
      <c r="BA19" s="1183"/>
      <c r="BB19" s="1183">
        <f>500+15*20</f>
        <v>800</v>
      </c>
      <c r="BC19" s="1183"/>
      <c r="BD19" s="1183">
        <f t="shared" si="36"/>
        <v>800</v>
      </c>
      <c r="BE19" s="1184"/>
      <c r="BF19" s="1183"/>
      <c r="BG19" s="1183">
        <v>860</v>
      </c>
      <c r="BH19" s="1183"/>
      <c r="BI19" s="1183"/>
      <c r="BJ19" s="1183">
        <f>500+18*20</f>
        <v>860</v>
      </c>
      <c r="BK19" s="1183"/>
      <c r="BL19" s="1183">
        <f t="shared" si="37"/>
        <v>860</v>
      </c>
      <c r="BM19" s="1184"/>
      <c r="BN19" s="1183"/>
      <c r="BO19" s="1183">
        <v>760</v>
      </c>
      <c r="BP19" s="1183"/>
      <c r="BQ19" s="1183">
        <f>BO19</f>
        <v>760</v>
      </c>
      <c r="BR19" s="1183">
        <f>500+13*20</f>
        <v>760</v>
      </c>
      <c r="BS19" s="1183"/>
      <c r="BT19" s="1183">
        <f t="shared" si="38"/>
        <v>760</v>
      </c>
      <c r="BU19" s="1184"/>
      <c r="BV19" s="1183"/>
      <c r="BW19" s="1183">
        <v>760</v>
      </c>
      <c r="BX19" s="1183"/>
      <c r="BY19" s="1183"/>
      <c r="BZ19" s="1183">
        <f>500+13*20</f>
        <v>760</v>
      </c>
      <c r="CA19" s="1183"/>
      <c r="CB19" s="1183">
        <f t="shared" si="39"/>
        <v>760</v>
      </c>
      <c r="CC19" s="1184"/>
      <c r="CD19" s="1183"/>
      <c r="CE19" s="1183">
        <v>740</v>
      </c>
      <c r="CF19" s="1183"/>
      <c r="CG19" s="1183"/>
      <c r="CH19" s="1183">
        <f>500+12*20</f>
        <v>740</v>
      </c>
      <c r="CI19" s="1183"/>
      <c r="CJ19" s="1183">
        <f t="shared" si="40"/>
        <v>740</v>
      </c>
      <c r="CK19" s="1184"/>
      <c r="CL19" s="1183"/>
      <c r="CM19" s="1183">
        <v>680</v>
      </c>
      <c r="CN19" s="1183"/>
      <c r="CO19" s="1183"/>
      <c r="CP19" s="1183">
        <f>500+9*20</f>
        <v>680</v>
      </c>
      <c r="CQ19" s="1183"/>
      <c r="CR19" s="1183">
        <f t="shared" si="41"/>
        <v>680</v>
      </c>
      <c r="CS19" s="1184"/>
      <c r="CT19" s="1183"/>
      <c r="CU19" s="1183">
        <v>740</v>
      </c>
      <c r="CV19" s="1183"/>
      <c r="CW19" s="1183"/>
      <c r="CX19" s="1183">
        <f>500+12*20</f>
        <v>740</v>
      </c>
      <c r="CY19" s="1183"/>
      <c r="CZ19" s="1183">
        <f t="shared" si="42"/>
        <v>740</v>
      </c>
      <c r="DA19" s="1184"/>
      <c r="DB19" s="1183"/>
    </row>
    <row r="20" spans="1:106" s="335" customFormat="1" ht="18.95" customHeight="1" x14ac:dyDescent="0.2">
      <c r="A20" s="343">
        <v>9</v>
      </c>
      <c r="B20" s="1185" t="s">
        <v>1221</v>
      </c>
      <c r="C20" s="1183">
        <f t="shared" si="15"/>
        <v>2750</v>
      </c>
      <c r="D20" s="1183"/>
      <c r="E20" s="1183">
        <f t="shared" si="16"/>
        <v>0</v>
      </c>
      <c r="F20" s="1183">
        <f t="shared" si="17"/>
        <v>0</v>
      </c>
      <c r="G20" s="1183"/>
      <c r="H20" s="1183">
        <f t="shared" si="17"/>
        <v>0</v>
      </c>
      <c r="I20" s="1184"/>
      <c r="J20" s="1183"/>
      <c r="K20" s="1183">
        <v>250</v>
      </c>
      <c r="L20" s="1183"/>
      <c r="M20" s="1183"/>
      <c r="N20" s="1183"/>
      <c r="O20" s="1183"/>
      <c r="P20" s="1183">
        <f t="shared" si="31"/>
        <v>0</v>
      </c>
      <c r="Q20" s="1184"/>
      <c r="R20" s="1183"/>
      <c r="S20" s="1183">
        <v>125</v>
      </c>
      <c r="T20" s="1183"/>
      <c r="U20" s="1183"/>
      <c r="V20" s="1183"/>
      <c r="W20" s="1183"/>
      <c r="X20" s="1183">
        <f t="shared" si="32"/>
        <v>0</v>
      </c>
      <c r="Y20" s="1184"/>
      <c r="Z20" s="1183"/>
      <c r="AA20" s="1183">
        <v>250</v>
      </c>
      <c r="AB20" s="1183"/>
      <c r="AC20" s="1183"/>
      <c r="AD20" s="1183"/>
      <c r="AE20" s="1183"/>
      <c r="AF20" s="1183">
        <f t="shared" si="33"/>
        <v>0</v>
      </c>
      <c r="AG20" s="1184"/>
      <c r="AH20" s="1183"/>
      <c r="AI20" s="1183">
        <v>250</v>
      </c>
      <c r="AJ20" s="1183"/>
      <c r="AK20" s="1183"/>
      <c r="AL20" s="1183"/>
      <c r="AM20" s="1183"/>
      <c r="AN20" s="1183">
        <f t="shared" si="34"/>
        <v>0</v>
      </c>
      <c r="AO20" s="1184"/>
      <c r="AP20" s="1183"/>
      <c r="AQ20" s="1183">
        <v>312.5</v>
      </c>
      <c r="AR20" s="1183"/>
      <c r="AS20" s="1183"/>
      <c r="AT20" s="1183"/>
      <c r="AU20" s="1183"/>
      <c r="AV20" s="1183">
        <f t="shared" si="35"/>
        <v>0</v>
      </c>
      <c r="AW20" s="1184"/>
      <c r="AX20" s="1183"/>
      <c r="AY20" s="1183">
        <v>125</v>
      </c>
      <c r="AZ20" s="1183"/>
      <c r="BA20" s="1183"/>
      <c r="BB20" s="1183"/>
      <c r="BC20" s="1183"/>
      <c r="BD20" s="1183">
        <f t="shared" si="36"/>
        <v>0</v>
      </c>
      <c r="BE20" s="1184"/>
      <c r="BF20" s="1183"/>
      <c r="BG20" s="1183">
        <v>375</v>
      </c>
      <c r="BH20" s="1183"/>
      <c r="BI20" s="1183"/>
      <c r="BJ20" s="1183"/>
      <c r="BK20" s="1183"/>
      <c r="BL20" s="1183">
        <f t="shared" si="37"/>
        <v>0</v>
      </c>
      <c r="BM20" s="1184"/>
      <c r="BN20" s="1183"/>
      <c r="BO20" s="1183">
        <v>500</v>
      </c>
      <c r="BP20" s="1183"/>
      <c r="BQ20" s="1183"/>
      <c r="BR20" s="1183"/>
      <c r="BS20" s="1183"/>
      <c r="BT20" s="1183">
        <f t="shared" si="38"/>
        <v>0</v>
      </c>
      <c r="BU20" s="1184"/>
      <c r="BV20" s="1183"/>
      <c r="BW20" s="1183">
        <v>187.5</v>
      </c>
      <c r="BX20" s="1183"/>
      <c r="BY20" s="1183"/>
      <c r="BZ20" s="1183"/>
      <c r="CA20" s="1183"/>
      <c r="CB20" s="1183">
        <f t="shared" si="39"/>
        <v>0</v>
      </c>
      <c r="CC20" s="1184"/>
      <c r="CD20" s="1183"/>
      <c r="CE20" s="1183">
        <v>187.5</v>
      </c>
      <c r="CF20" s="1183"/>
      <c r="CG20" s="1183"/>
      <c r="CH20" s="1183"/>
      <c r="CI20" s="1183"/>
      <c r="CJ20" s="1183">
        <f t="shared" si="40"/>
        <v>0</v>
      </c>
      <c r="CK20" s="1184"/>
      <c r="CL20" s="1183"/>
      <c r="CM20" s="1183"/>
      <c r="CN20" s="1183"/>
      <c r="CO20" s="1183"/>
      <c r="CP20" s="1183">
        <f>INT(0)</f>
        <v>0</v>
      </c>
      <c r="CQ20" s="1183"/>
      <c r="CR20" s="1183">
        <f t="shared" si="41"/>
        <v>0</v>
      </c>
      <c r="CS20" s="1184"/>
      <c r="CT20" s="1183"/>
      <c r="CU20" s="1183">
        <v>187.5</v>
      </c>
      <c r="CV20" s="1183"/>
      <c r="CW20" s="1183"/>
      <c r="CX20" s="1183"/>
      <c r="CY20" s="1183"/>
      <c r="CZ20" s="1183">
        <f t="shared" si="42"/>
        <v>0</v>
      </c>
      <c r="DA20" s="1184"/>
      <c r="DB20" s="1183"/>
    </row>
    <row r="21" spans="1:106" s="335" customFormat="1" ht="18.95" customHeight="1" x14ac:dyDescent="0.2">
      <c r="A21" s="343">
        <v>10</v>
      </c>
      <c r="B21" s="1185" t="s">
        <v>647</v>
      </c>
      <c r="C21" s="1183">
        <f t="shared" si="15"/>
        <v>317798</v>
      </c>
      <c r="D21" s="1183"/>
      <c r="E21" s="1183">
        <f t="shared" si="16"/>
        <v>317798</v>
      </c>
      <c r="F21" s="1183">
        <f t="shared" si="17"/>
        <v>317798</v>
      </c>
      <c r="G21" s="1183">
        <f t="shared" si="17"/>
        <v>0</v>
      </c>
      <c r="H21" s="1183">
        <f t="shared" si="17"/>
        <v>317798</v>
      </c>
      <c r="I21" s="1184">
        <f>F21-C21</f>
        <v>0</v>
      </c>
      <c r="J21" s="1183">
        <f>F21/C21%</f>
        <v>100</v>
      </c>
      <c r="K21" s="1183">
        <v>18800</v>
      </c>
      <c r="L21" s="1183"/>
      <c r="M21" s="1183">
        <f>K21</f>
        <v>18800</v>
      </c>
      <c r="N21" s="1183">
        <f>K21</f>
        <v>18800</v>
      </c>
      <c r="O21" s="1183"/>
      <c r="P21" s="1183">
        <f t="shared" si="31"/>
        <v>18800</v>
      </c>
      <c r="Q21" s="1184">
        <f>N21-K21</f>
        <v>0</v>
      </c>
      <c r="R21" s="1183">
        <f>N21/K21%</f>
        <v>100</v>
      </c>
      <c r="S21" s="1183">
        <v>13300</v>
      </c>
      <c r="T21" s="1183"/>
      <c r="U21" s="1183">
        <f>S21</f>
        <v>13300</v>
      </c>
      <c r="V21" s="1183">
        <f>S21</f>
        <v>13300</v>
      </c>
      <c r="W21" s="1183"/>
      <c r="X21" s="1183">
        <f t="shared" si="32"/>
        <v>13300</v>
      </c>
      <c r="Y21" s="1184">
        <f>V21-S21</f>
        <v>0</v>
      </c>
      <c r="Z21" s="1183">
        <f>V21/S21%</f>
        <v>100</v>
      </c>
      <c r="AA21" s="1183">
        <v>34100</v>
      </c>
      <c r="AB21" s="1183"/>
      <c r="AC21" s="1183">
        <f>AA21</f>
        <v>34100</v>
      </c>
      <c r="AD21" s="1183">
        <f>AA21</f>
        <v>34100</v>
      </c>
      <c r="AE21" s="1183"/>
      <c r="AF21" s="1183">
        <f t="shared" si="33"/>
        <v>34100</v>
      </c>
      <c r="AG21" s="1184">
        <f>AD21-AA21</f>
        <v>0</v>
      </c>
      <c r="AH21" s="1183">
        <f>AD21/AA21%</f>
        <v>100</v>
      </c>
      <c r="AI21" s="1183">
        <v>45900</v>
      </c>
      <c r="AJ21" s="1183"/>
      <c r="AK21" s="1183">
        <f>AI21</f>
        <v>45900</v>
      </c>
      <c r="AL21" s="1183">
        <f>AI21</f>
        <v>45900</v>
      </c>
      <c r="AM21" s="1183"/>
      <c r="AN21" s="1183">
        <f t="shared" si="34"/>
        <v>45900</v>
      </c>
      <c r="AO21" s="1184">
        <f>AL21-AI21</f>
        <v>0</v>
      </c>
      <c r="AP21" s="1183">
        <f>AL21/AI21%</f>
        <v>100</v>
      </c>
      <c r="AQ21" s="1183">
        <v>32298</v>
      </c>
      <c r="AR21" s="1183"/>
      <c r="AS21" s="1183">
        <f>AQ21</f>
        <v>32298</v>
      </c>
      <c r="AT21" s="1183">
        <f>AQ21</f>
        <v>32298</v>
      </c>
      <c r="AU21" s="1183"/>
      <c r="AV21" s="1183">
        <f t="shared" si="35"/>
        <v>32298</v>
      </c>
      <c r="AW21" s="1184">
        <f>AT21-AQ21</f>
        <v>0</v>
      </c>
      <c r="AX21" s="1183">
        <f>AT21/AQ21%</f>
        <v>100</v>
      </c>
      <c r="AY21" s="1183">
        <v>8000</v>
      </c>
      <c r="AZ21" s="1183"/>
      <c r="BA21" s="1183">
        <f>AY21</f>
        <v>8000</v>
      </c>
      <c r="BB21" s="1183">
        <f>AY21</f>
        <v>8000</v>
      </c>
      <c r="BC21" s="1183"/>
      <c r="BD21" s="1183">
        <f t="shared" si="36"/>
        <v>8000</v>
      </c>
      <c r="BE21" s="1184">
        <f>BB21-AY21</f>
        <v>0</v>
      </c>
      <c r="BF21" s="1183">
        <f>BB21/AY21%</f>
        <v>100</v>
      </c>
      <c r="BG21" s="1183">
        <v>47400</v>
      </c>
      <c r="BH21" s="1183"/>
      <c r="BI21" s="1183">
        <f>BG21</f>
        <v>47400</v>
      </c>
      <c r="BJ21" s="1183">
        <f>BG21</f>
        <v>47400</v>
      </c>
      <c r="BK21" s="1183"/>
      <c r="BL21" s="1183">
        <f t="shared" si="37"/>
        <v>47400</v>
      </c>
      <c r="BM21" s="1184">
        <f>BJ21-BG21</f>
        <v>0</v>
      </c>
      <c r="BN21" s="1183">
        <f>BJ21/BG21%</f>
        <v>100</v>
      </c>
      <c r="BO21" s="1183">
        <v>61600</v>
      </c>
      <c r="BP21" s="1183"/>
      <c r="BQ21" s="1183">
        <f>BO21</f>
        <v>61600</v>
      </c>
      <c r="BR21" s="1183">
        <f>BO21</f>
        <v>61600</v>
      </c>
      <c r="BS21" s="1183"/>
      <c r="BT21" s="1183">
        <f t="shared" si="38"/>
        <v>61600</v>
      </c>
      <c r="BU21" s="1184">
        <f>BR21-BO21</f>
        <v>0</v>
      </c>
      <c r="BV21" s="1183">
        <f>BR21/BO21%</f>
        <v>100</v>
      </c>
      <c r="BW21" s="1183">
        <v>15900</v>
      </c>
      <c r="BX21" s="1183"/>
      <c r="BY21" s="1183">
        <f>BW21</f>
        <v>15900</v>
      </c>
      <c r="BZ21" s="1183">
        <f>BW21</f>
        <v>15900</v>
      </c>
      <c r="CA21" s="1183"/>
      <c r="CB21" s="1183">
        <f t="shared" si="39"/>
        <v>15900</v>
      </c>
      <c r="CC21" s="1184">
        <f>BZ21-BW21</f>
        <v>0</v>
      </c>
      <c r="CD21" s="1183">
        <f>BZ21/BW21%</f>
        <v>100</v>
      </c>
      <c r="CE21" s="1183">
        <v>18300</v>
      </c>
      <c r="CF21" s="1183"/>
      <c r="CG21" s="1183">
        <f>CE21</f>
        <v>18300</v>
      </c>
      <c r="CH21" s="1183">
        <f>CE21</f>
        <v>18300</v>
      </c>
      <c r="CI21" s="1183"/>
      <c r="CJ21" s="1183">
        <f t="shared" si="40"/>
        <v>18300</v>
      </c>
      <c r="CK21" s="1184">
        <f>CH21-CE21</f>
        <v>0</v>
      </c>
      <c r="CL21" s="1183">
        <f>CH21/CE21%</f>
        <v>100</v>
      </c>
      <c r="CM21" s="1183">
        <v>4500</v>
      </c>
      <c r="CN21" s="1183"/>
      <c r="CO21" s="1183">
        <f>CM21</f>
        <v>4500</v>
      </c>
      <c r="CP21" s="1183">
        <f>CM21</f>
        <v>4500</v>
      </c>
      <c r="CQ21" s="1183"/>
      <c r="CR21" s="1183">
        <f t="shared" si="41"/>
        <v>4500</v>
      </c>
      <c r="CS21" s="1184">
        <f>CP21-CM21</f>
        <v>0</v>
      </c>
      <c r="CT21" s="1183">
        <f>CP21/CM21%</f>
        <v>100</v>
      </c>
      <c r="CU21" s="1183">
        <v>17700</v>
      </c>
      <c r="CV21" s="1183"/>
      <c r="CW21" s="1183">
        <f>CU21</f>
        <v>17700</v>
      </c>
      <c r="CX21" s="1183">
        <f>CU21</f>
        <v>17700</v>
      </c>
      <c r="CY21" s="1183"/>
      <c r="CZ21" s="1183">
        <f t="shared" si="42"/>
        <v>17700</v>
      </c>
      <c r="DA21" s="1184">
        <f>CX21-CU21</f>
        <v>0</v>
      </c>
      <c r="DB21" s="1183">
        <f>CX21/CU21%</f>
        <v>100</v>
      </c>
    </row>
    <row r="22" spans="1:106" s="335" customFormat="1" ht="18.95" customHeight="1" x14ac:dyDescent="0.2">
      <c r="A22" s="343">
        <v>11</v>
      </c>
      <c r="B22" s="1185" t="s">
        <v>933</v>
      </c>
      <c r="C22" s="1183">
        <f t="shared" si="15"/>
        <v>38000</v>
      </c>
      <c r="D22" s="1183"/>
      <c r="E22" s="1183">
        <f t="shared" si="16"/>
        <v>38000</v>
      </c>
      <c r="F22" s="1183">
        <f t="shared" si="17"/>
        <v>76750</v>
      </c>
      <c r="G22" s="1183"/>
      <c r="H22" s="1183">
        <f t="shared" si="17"/>
        <v>76750</v>
      </c>
      <c r="I22" s="1184"/>
      <c r="J22" s="1183"/>
      <c r="K22" s="1183"/>
      <c r="L22" s="1183"/>
      <c r="M22" s="1183">
        <f>K22</f>
        <v>0</v>
      </c>
      <c r="N22" s="1183"/>
      <c r="O22" s="1183"/>
      <c r="P22" s="1183">
        <f t="shared" si="31"/>
        <v>0</v>
      </c>
      <c r="Q22" s="1184"/>
      <c r="R22" s="1183"/>
      <c r="S22" s="1183">
        <f>12750-8500</f>
        <v>4250</v>
      </c>
      <c r="T22" s="1183"/>
      <c r="U22" s="1183">
        <f>S22</f>
        <v>4250</v>
      </c>
      <c r="V22" s="1183">
        <f>12750-8500</f>
        <v>4250</v>
      </c>
      <c r="W22" s="1183"/>
      <c r="X22" s="1183">
        <f t="shared" si="32"/>
        <v>4250</v>
      </c>
      <c r="Y22" s="1184"/>
      <c r="Z22" s="1183"/>
      <c r="AA22" s="1183"/>
      <c r="AB22" s="1183"/>
      <c r="AC22" s="1183">
        <f>AA22</f>
        <v>0</v>
      </c>
      <c r="AD22" s="1183"/>
      <c r="AE22" s="1183"/>
      <c r="AF22" s="1183">
        <f t="shared" si="33"/>
        <v>0</v>
      </c>
      <c r="AG22" s="1184"/>
      <c r="AH22" s="1183"/>
      <c r="AI22" s="1183"/>
      <c r="AJ22" s="1183"/>
      <c r="AK22" s="1183">
        <f>AI22</f>
        <v>0</v>
      </c>
      <c r="AL22" s="1183"/>
      <c r="AM22" s="1183"/>
      <c r="AN22" s="1183">
        <f t="shared" si="34"/>
        <v>0</v>
      </c>
      <c r="AO22" s="1184"/>
      <c r="AP22" s="1183"/>
      <c r="AQ22" s="1183"/>
      <c r="AR22" s="1183"/>
      <c r="AS22" s="1183">
        <f>AQ22</f>
        <v>0</v>
      </c>
      <c r="AT22" s="1183"/>
      <c r="AU22" s="1183"/>
      <c r="AV22" s="1183">
        <f t="shared" si="35"/>
        <v>0</v>
      </c>
      <c r="AW22" s="1184"/>
      <c r="AX22" s="1183"/>
      <c r="AY22" s="1183"/>
      <c r="AZ22" s="1183"/>
      <c r="BA22" s="1183">
        <f>AY22</f>
        <v>0</v>
      </c>
      <c r="BB22" s="1183">
        <f>46500-12750</f>
        <v>33750</v>
      </c>
      <c r="BC22" s="1183"/>
      <c r="BD22" s="1183">
        <f t="shared" si="36"/>
        <v>33750</v>
      </c>
      <c r="BE22" s="1184"/>
      <c r="BF22" s="1183"/>
      <c r="BG22" s="1183"/>
      <c r="BH22" s="1183"/>
      <c r="BI22" s="1183">
        <f>BG22</f>
        <v>0</v>
      </c>
      <c r="BJ22" s="1183"/>
      <c r="BK22" s="1183"/>
      <c r="BL22" s="1183">
        <f t="shared" si="37"/>
        <v>0</v>
      </c>
      <c r="BM22" s="1184"/>
      <c r="BN22" s="1183"/>
      <c r="BO22" s="1183"/>
      <c r="BP22" s="1183"/>
      <c r="BQ22" s="1183">
        <f>BO22</f>
        <v>0</v>
      </c>
      <c r="BR22" s="1183"/>
      <c r="BS22" s="1183"/>
      <c r="BT22" s="1183">
        <f t="shared" si="38"/>
        <v>0</v>
      </c>
      <c r="BU22" s="1184"/>
      <c r="BV22" s="1183"/>
      <c r="BW22" s="1183"/>
      <c r="BX22" s="1183"/>
      <c r="BY22" s="1183">
        <f>BW22</f>
        <v>0</v>
      </c>
      <c r="BZ22" s="1183"/>
      <c r="CA22" s="1183"/>
      <c r="CB22" s="1183">
        <f t="shared" si="39"/>
        <v>0</v>
      </c>
      <c r="CC22" s="1184"/>
      <c r="CD22" s="1183"/>
      <c r="CE22" s="1183"/>
      <c r="CF22" s="1183"/>
      <c r="CG22" s="1183">
        <f>CE22</f>
        <v>0</v>
      </c>
      <c r="CH22" s="1183">
        <f>5000</f>
        <v>5000</v>
      </c>
      <c r="CI22" s="1183"/>
      <c r="CJ22" s="1183">
        <f t="shared" si="40"/>
        <v>5000</v>
      </c>
      <c r="CK22" s="1184"/>
      <c r="CL22" s="1183"/>
      <c r="CM22" s="1183">
        <v>33750</v>
      </c>
      <c r="CN22" s="1183"/>
      <c r="CO22" s="1183">
        <f>CM22</f>
        <v>33750</v>
      </c>
      <c r="CP22" s="1183">
        <f>46500-12750</f>
        <v>33750</v>
      </c>
      <c r="CQ22" s="1183"/>
      <c r="CR22" s="1183">
        <f t="shared" si="41"/>
        <v>33750</v>
      </c>
      <c r="CS22" s="1184"/>
      <c r="CT22" s="1183"/>
      <c r="CU22" s="1183"/>
      <c r="CV22" s="1183"/>
      <c r="CW22" s="1183">
        <f>CU22</f>
        <v>0</v>
      </c>
      <c r="CX22" s="1183"/>
      <c r="CY22" s="1183"/>
      <c r="CZ22" s="1183">
        <f t="shared" si="42"/>
        <v>0</v>
      </c>
      <c r="DA22" s="1184"/>
      <c r="DB22" s="1183"/>
    </row>
    <row r="23" spans="1:106" s="335" customFormat="1" ht="18.95" customHeight="1" x14ac:dyDescent="0.2">
      <c r="A23" s="343"/>
      <c r="B23" s="1185"/>
      <c r="C23" s="1183">
        <f t="shared" si="15"/>
        <v>0</v>
      </c>
      <c r="D23" s="1183"/>
      <c r="E23" s="1183">
        <f t="shared" si="16"/>
        <v>0</v>
      </c>
      <c r="F23" s="1183">
        <f t="shared" si="17"/>
        <v>0</v>
      </c>
      <c r="G23" s="1183"/>
      <c r="H23" s="1183">
        <f t="shared" si="17"/>
        <v>0</v>
      </c>
      <c r="I23" s="1184"/>
      <c r="J23" s="1183"/>
      <c r="K23" s="1183"/>
      <c r="L23" s="1183"/>
      <c r="M23" s="1183">
        <f>K23</f>
        <v>0</v>
      </c>
      <c r="N23" s="1183"/>
      <c r="O23" s="1183"/>
      <c r="P23" s="1183">
        <f t="shared" si="31"/>
        <v>0</v>
      </c>
      <c r="Q23" s="1184"/>
      <c r="R23" s="1183"/>
      <c r="S23" s="1183"/>
      <c r="T23" s="1183"/>
      <c r="U23" s="1183">
        <f>S23</f>
        <v>0</v>
      </c>
      <c r="V23" s="1183"/>
      <c r="W23" s="1183"/>
      <c r="X23" s="1183">
        <f t="shared" si="32"/>
        <v>0</v>
      </c>
      <c r="Y23" s="1184"/>
      <c r="Z23" s="1183"/>
      <c r="AA23" s="1183"/>
      <c r="AB23" s="1183"/>
      <c r="AC23" s="1183">
        <f>AA23</f>
        <v>0</v>
      </c>
      <c r="AD23" s="1183"/>
      <c r="AE23" s="1183"/>
      <c r="AF23" s="1183">
        <f t="shared" si="33"/>
        <v>0</v>
      </c>
      <c r="AG23" s="1184"/>
      <c r="AH23" s="1183"/>
      <c r="AI23" s="1183"/>
      <c r="AJ23" s="1183"/>
      <c r="AK23" s="1183">
        <f>AI23</f>
        <v>0</v>
      </c>
      <c r="AL23" s="1183"/>
      <c r="AM23" s="1183"/>
      <c r="AN23" s="1183">
        <f t="shared" si="34"/>
        <v>0</v>
      </c>
      <c r="AO23" s="1184"/>
      <c r="AP23" s="1183"/>
      <c r="AQ23" s="1183"/>
      <c r="AR23" s="1183"/>
      <c r="AS23" s="1183">
        <f>AQ23</f>
        <v>0</v>
      </c>
      <c r="AT23" s="1183"/>
      <c r="AU23" s="1183"/>
      <c r="AV23" s="1183">
        <f t="shared" si="35"/>
        <v>0</v>
      </c>
      <c r="AW23" s="1184"/>
      <c r="AX23" s="1183"/>
      <c r="AY23" s="1183"/>
      <c r="AZ23" s="1183"/>
      <c r="BA23" s="1183">
        <f>AY23</f>
        <v>0</v>
      </c>
      <c r="BB23" s="1183"/>
      <c r="BC23" s="1183"/>
      <c r="BD23" s="1183">
        <f t="shared" si="36"/>
        <v>0</v>
      </c>
      <c r="BE23" s="1184"/>
      <c r="BF23" s="1183"/>
      <c r="BG23" s="1183"/>
      <c r="BH23" s="1183"/>
      <c r="BI23" s="1183">
        <f>BG23</f>
        <v>0</v>
      </c>
      <c r="BJ23" s="1183"/>
      <c r="BK23" s="1183"/>
      <c r="BL23" s="1183">
        <f t="shared" si="37"/>
        <v>0</v>
      </c>
      <c r="BM23" s="1184"/>
      <c r="BN23" s="1183"/>
      <c r="BO23" s="1183"/>
      <c r="BP23" s="1183"/>
      <c r="BQ23" s="1183">
        <f>BO23</f>
        <v>0</v>
      </c>
      <c r="BR23" s="1183"/>
      <c r="BS23" s="1183"/>
      <c r="BT23" s="1183">
        <f t="shared" si="38"/>
        <v>0</v>
      </c>
      <c r="BU23" s="1184"/>
      <c r="BV23" s="1183"/>
      <c r="BW23" s="1183"/>
      <c r="BX23" s="1183"/>
      <c r="BY23" s="1183">
        <f>BW23</f>
        <v>0</v>
      </c>
      <c r="BZ23" s="1183"/>
      <c r="CA23" s="1183"/>
      <c r="CB23" s="1183">
        <f t="shared" si="39"/>
        <v>0</v>
      </c>
      <c r="CC23" s="1184"/>
      <c r="CD23" s="1183"/>
      <c r="CE23" s="1183"/>
      <c r="CF23" s="1183"/>
      <c r="CG23" s="1183">
        <f>CE23</f>
        <v>0</v>
      </c>
      <c r="CH23" s="1183"/>
      <c r="CI23" s="1183"/>
      <c r="CJ23" s="1183">
        <f t="shared" si="40"/>
        <v>0</v>
      </c>
      <c r="CK23" s="1184"/>
      <c r="CL23" s="1183"/>
      <c r="CM23" s="1183"/>
      <c r="CN23" s="1183"/>
      <c r="CO23" s="1183">
        <f>CM23</f>
        <v>0</v>
      </c>
      <c r="CP23" s="1183"/>
      <c r="CQ23" s="1183"/>
      <c r="CR23" s="1183">
        <f t="shared" si="41"/>
        <v>0</v>
      </c>
      <c r="CS23" s="1184"/>
      <c r="CT23" s="1183"/>
      <c r="CU23" s="1183"/>
      <c r="CV23" s="1183"/>
      <c r="CW23" s="1183">
        <f>CU23</f>
        <v>0</v>
      </c>
      <c r="CX23" s="1183"/>
      <c r="CY23" s="1183"/>
      <c r="CZ23" s="1183">
        <f t="shared" si="42"/>
        <v>0</v>
      </c>
      <c r="DA23" s="1184"/>
      <c r="DB23" s="1183"/>
    </row>
    <row r="24" spans="1:106" s="335" customFormat="1" ht="25.5" x14ac:dyDescent="0.2">
      <c r="A24" s="343">
        <v>12</v>
      </c>
      <c r="B24" s="1201" t="s">
        <v>1488</v>
      </c>
      <c r="C24" s="1183">
        <f t="shared" si="15"/>
        <v>0</v>
      </c>
      <c r="D24" s="1183"/>
      <c r="E24" s="1183">
        <f t="shared" si="16"/>
        <v>0</v>
      </c>
      <c r="F24" s="1183">
        <f t="shared" si="17"/>
        <v>12300</v>
      </c>
      <c r="G24" s="1183"/>
      <c r="H24" s="1183">
        <f t="shared" si="17"/>
        <v>12300</v>
      </c>
      <c r="I24" s="1184"/>
      <c r="J24" s="1183"/>
      <c r="K24" s="1183"/>
      <c r="L24" s="1183"/>
      <c r="M24" s="1183"/>
      <c r="N24" s="1183">
        <f>INT(N49)</f>
        <v>5000</v>
      </c>
      <c r="O24" s="1183"/>
      <c r="P24" s="1183">
        <f t="shared" si="31"/>
        <v>5000</v>
      </c>
      <c r="Q24" s="1184"/>
      <c r="R24" s="1183"/>
      <c r="S24" s="1183"/>
      <c r="T24" s="1183"/>
      <c r="U24" s="1183"/>
      <c r="V24" s="1183">
        <f>INT(V49)</f>
        <v>0</v>
      </c>
      <c r="W24" s="1183"/>
      <c r="X24" s="1183">
        <f t="shared" si="32"/>
        <v>0</v>
      </c>
      <c r="Y24" s="1184"/>
      <c r="Z24" s="1183"/>
      <c r="AA24" s="1183"/>
      <c r="AB24" s="1183"/>
      <c r="AC24" s="1183"/>
      <c r="AD24" s="1183">
        <f>INT(AD49)</f>
        <v>1300</v>
      </c>
      <c r="AE24" s="1183"/>
      <c r="AF24" s="1183">
        <f t="shared" si="33"/>
        <v>1300</v>
      </c>
      <c r="AG24" s="1184"/>
      <c r="AH24" s="1183"/>
      <c r="AI24" s="1183"/>
      <c r="AJ24" s="1183"/>
      <c r="AK24" s="1183"/>
      <c r="AL24" s="1183">
        <f>INT(AL49)</f>
        <v>6000</v>
      </c>
      <c r="AM24" s="1183"/>
      <c r="AN24" s="1183">
        <f t="shared" si="34"/>
        <v>6000</v>
      </c>
      <c r="AO24" s="1184"/>
      <c r="AP24" s="1183"/>
      <c r="AQ24" s="1183"/>
      <c r="AR24" s="1183"/>
      <c r="AS24" s="1183"/>
      <c r="AT24" s="1183">
        <f>INT(AT49)</f>
        <v>0</v>
      </c>
      <c r="AU24" s="1183"/>
      <c r="AV24" s="1183">
        <f t="shared" si="35"/>
        <v>0</v>
      </c>
      <c r="AW24" s="1184"/>
      <c r="AX24" s="1183"/>
      <c r="AY24" s="1183"/>
      <c r="AZ24" s="1183"/>
      <c r="BA24" s="1183"/>
      <c r="BB24" s="1183">
        <f>INT(BB49)</f>
        <v>0</v>
      </c>
      <c r="BC24" s="1183"/>
      <c r="BD24" s="1183">
        <f t="shared" si="36"/>
        <v>0</v>
      </c>
      <c r="BE24" s="1184"/>
      <c r="BF24" s="1183"/>
      <c r="BG24" s="1183"/>
      <c r="BH24" s="1183"/>
      <c r="BI24" s="1183"/>
      <c r="BJ24" s="1183">
        <f>INT(BJ49)</f>
        <v>0</v>
      </c>
      <c r="BK24" s="1183"/>
      <c r="BL24" s="1183">
        <f t="shared" si="37"/>
        <v>0</v>
      </c>
      <c r="BM24" s="1184"/>
      <c r="BN24" s="1183"/>
      <c r="BO24" s="1183"/>
      <c r="BP24" s="1183"/>
      <c r="BQ24" s="1183"/>
      <c r="BR24" s="1183">
        <f>INT(BR49)</f>
        <v>0</v>
      </c>
      <c r="BS24" s="1183"/>
      <c r="BT24" s="1183">
        <f t="shared" si="38"/>
        <v>0</v>
      </c>
      <c r="BU24" s="1184"/>
      <c r="BV24" s="1183"/>
      <c r="BW24" s="1183"/>
      <c r="BX24" s="1183"/>
      <c r="BY24" s="1183"/>
      <c r="BZ24" s="1183">
        <f>INT(BZ49)</f>
        <v>0</v>
      </c>
      <c r="CA24" s="1183"/>
      <c r="CB24" s="1183">
        <f t="shared" si="39"/>
        <v>0</v>
      </c>
      <c r="CC24" s="1184"/>
      <c r="CD24" s="1183"/>
      <c r="CE24" s="1183"/>
      <c r="CF24" s="1183"/>
      <c r="CG24" s="1183"/>
      <c r="CH24" s="1183">
        <f>INT(CH49)</f>
        <v>0</v>
      </c>
      <c r="CI24" s="1183"/>
      <c r="CJ24" s="1183">
        <f t="shared" si="40"/>
        <v>0</v>
      </c>
      <c r="CK24" s="1184"/>
      <c r="CL24" s="1183"/>
      <c r="CM24" s="1183"/>
      <c r="CN24" s="1183"/>
      <c r="CO24" s="1183"/>
      <c r="CP24" s="1183">
        <f>INT(CP49)</f>
        <v>0</v>
      </c>
      <c r="CQ24" s="1183"/>
      <c r="CR24" s="1183">
        <f t="shared" si="41"/>
        <v>0</v>
      </c>
      <c r="CS24" s="1184"/>
      <c r="CT24" s="1183"/>
      <c r="CU24" s="1183"/>
      <c r="CV24" s="1183"/>
      <c r="CW24" s="1183"/>
      <c r="CX24" s="1183">
        <f>INT(CX49)</f>
        <v>0</v>
      </c>
      <c r="CY24" s="1183"/>
      <c r="CZ24" s="1183">
        <f t="shared" si="42"/>
        <v>0</v>
      </c>
      <c r="DA24" s="1184"/>
      <c r="DB24" s="1183"/>
    </row>
    <row r="25" spans="1:106" s="335" customFormat="1" ht="18.95" customHeight="1" x14ac:dyDescent="0.2">
      <c r="A25" s="343">
        <v>13</v>
      </c>
      <c r="B25" s="1185" t="s">
        <v>1473</v>
      </c>
      <c r="C25" s="1183">
        <f t="shared" si="15"/>
        <v>247749</v>
      </c>
      <c r="D25" s="1183"/>
      <c r="E25" s="1183">
        <f t="shared" si="16"/>
        <v>247749</v>
      </c>
      <c r="F25" s="1183">
        <f t="shared" si="17"/>
        <v>538114</v>
      </c>
      <c r="G25" s="1183">
        <f t="shared" si="17"/>
        <v>0</v>
      </c>
      <c r="H25" s="1183">
        <f t="shared" si="17"/>
        <v>538114</v>
      </c>
      <c r="I25" s="1184">
        <f>F25-C25</f>
        <v>290365</v>
      </c>
      <c r="J25" s="1183"/>
      <c r="K25" s="1183">
        <v>5742</v>
      </c>
      <c r="L25" s="1183"/>
      <c r="M25" s="1183">
        <f>K25</f>
        <v>5742</v>
      </c>
      <c r="N25" s="1183">
        <f>'Chính sách chế độ 2020-2021'!AP19+'CCTL nam 2020- 2021'!E9</f>
        <v>5467</v>
      </c>
      <c r="O25" s="1183"/>
      <c r="P25" s="1183">
        <f t="shared" si="31"/>
        <v>5467</v>
      </c>
      <c r="Q25" s="1184">
        <f>N25-K25</f>
        <v>-275</v>
      </c>
      <c r="R25" s="1183"/>
      <c r="S25" s="1183">
        <v>1613</v>
      </c>
      <c r="T25" s="1183"/>
      <c r="U25" s="1183">
        <f>S25</f>
        <v>1613</v>
      </c>
      <c r="V25" s="1183">
        <f>'Chính sách chế độ 2020-2021'!BK19+'CCTL nam 2020- 2021'!F9</f>
        <v>0</v>
      </c>
      <c r="W25" s="1183"/>
      <c r="X25" s="1183">
        <f t="shared" si="32"/>
        <v>0</v>
      </c>
      <c r="Y25" s="1184">
        <f>V25-S25</f>
        <v>-1613</v>
      </c>
      <c r="Z25" s="1183"/>
      <c r="AA25" s="1183">
        <v>4555</v>
      </c>
      <c r="AB25" s="1183"/>
      <c r="AC25" s="1183">
        <f>AA25</f>
        <v>4555</v>
      </c>
      <c r="AD25" s="1183">
        <f>'Chính sách chế độ 2020-2021'!CF19+'CCTL nam 2020- 2021'!G9</f>
        <v>8754</v>
      </c>
      <c r="AE25" s="1183"/>
      <c r="AF25" s="1183">
        <f t="shared" si="18"/>
        <v>8754</v>
      </c>
      <c r="AG25" s="1184">
        <f>AD25-AA25</f>
        <v>4199</v>
      </c>
      <c r="AH25" s="1183"/>
      <c r="AI25" s="1183">
        <v>0</v>
      </c>
      <c r="AJ25" s="1183"/>
      <c r="AK25" s="1183">
        <f>AI25</f>
        <v>0</v>
      </c>
      <c r="AL25" s="1183">
        <f>'Chính sách chế độ 2020-2021'!DA19+'CCTL nam 2020- 2021'!H9</f>
        <v>7763</v>
      </c>
      <c r="AM25" s="1183"/>
      <c r="AN25" s="1183">
        <f t="shared" si="19"/>
        <v>7763</v>
      </c>
      <c r="AO25" s="1184">
        <f>AL25-AI25</f>
        <v>7763</v>
      </c>
      <c r="AP25" s="1183"/>
      <c r="AQ25" s="1183">
        <v>17146</v>
      </c>
      <c r="AR25" s="1183"/>
      <c r="AS25" s="1183">
        <f>AQ25</f>
        <v>17146</v>
      </c>
      <c r="AT25" s="1183">
        <f>'Chính sách chế độ 2020-2021'!DV19+'CCTL nam 2020- 2021'!I9</f>
        <v>0</v>
      </c>
      <c r="AU25" s="1183"/>
      <c r="AV25" s="1183">
        <f t="shared" si="20"/>
        <v>0</v>
      </c>
      <c r="AW25" s="1184">
        <f>AT25-AQ25</f>
        <v>-17146</v>
      </c>
      <c r="AX25" s="1183"/>
      <c r="AY25" s="1183">
        <v>94721</v>
      </c>
      <c r="AZ25" s="1183"/>
      <c r="BA25" s="1183">
        <f>AY25</f>
        <v>94721</v>
      </c>
      <c r="BB25" s="1183">
        <f>'Chính sách chế độ 2020-2021'!EQ19+'CCTL nam 2020- 2021'!J9</f>
        <v>390133</v>
      </c>
      <c r="BC25" s="1183"/>
      <c r="BD25" s="1183">
        <f t="shared" si="21"/>
        <v>390133</v>
      </c>
      <c r="BE25" s="1184">
        <f>BB25-AY25</f>
        <v>295412</v>
      </c>
      <c r="BF25" s="1183"/>
      <c r="BG25" s="1183">
        <v>5195</v>
      </c>
      <c r="BH25" s="1183"/>
      <c r="BI25" s="1183">
        <f>BG25</f>
        <v>5195</v>
      </c>
      <c r="BJ25" s="1183">
        <f>'Chính sách chế độ 2020-2021'!FL19+'CCTL nam 2020- 2021'!K9</f>
        <v>0</v>
      </c>
      <c r="BK25" s="1183"/>
      <c r="BL25" s="1183">
        <f t="shared" si="22"/>
        <v>0</v>
      </c>
      <c r="BM25" s="1184">
        <f>BJ25-BG25</f>
        <v>-5195</v>
      </c>
      <c r="BN25" s="1183"/>
      <c r="BO25" s="1183">
        <v>4147</v>
      </c>
      <c r="BP25" s="1183"/>
      <c r="BQ25" s="1183">
        <f>BO25</f>
        <v>4147</v>
      </c>
      <c r="BR25" s="1183">
        <f>'Chính sách chế độ 2020-2021'!GG19+'CCTL nam 2020- 2021'!L9</f>
        <v>0</v>
      </c>
      <c r="BS25" s="1183"/>
      <c r="BT25" s="1183">
        <f t="shared" si="23"/>
        <v>0</v>
      </c>
      <c r="BU25" s="1184">
        <f>BR25-BO25</f>
        <v>-4147</v>
      </c>
      <c r="BV25" s="1183"/>
      <c r="BW25" s="1183">
        <v>36735</v>
      </c>
      <c r="BX25" s="1183"/>
      <c r="BY25" s="1183">
        <f>BW25</f>
        <v>36735</v>
      </c>
      <c r="BZ25" s="1183">
        <f>'Chính sách chế độ 2020-2021'!HB19+'CCTL nam 2020- 2021'!M9</f>
        <v>3178</v>
      </c>
      <c r="CA25" s="1183"/>
      <c r="CB25" s="1183">
        <f t="shared" si="24"/>
        <v>3178</v>
      </c>
      <c r="CC25" s="1184">
        <f>BZ25-BW25</f>
        <v>-33557</v>
      </c>
      <c r="CD25" s="1183"/>
      <c r="CE25" s="1183">
        <v>1995</v>
      </c>
      <c r="CF25" s="1183"/>
      <c r="CG25" s="1183">
        <f>CE25</f>
        <v>1995</v>
      </c>
      <c r="CH25" s="1183">
        <f>'Chính sách chế độ 2020-2021'!HW19+'CCTL nam 2020- 2021'!N9</f>
        <v>1112</v>
      </c>
      <c r="CI25" s="1183"/>
      <c r="CJ25" s="1183">
        <f t="shared" si="25"/>
        <v>1112</v>
      </c>
      <c r="CK25" s="1184">
        <f>CH25-CE25</f>
        <v>-883</v>
      </c>
      <c r="CL25" s="1183"/>
      <c r="CM25" s="1183">
        <v>67712</v>
      </c>
      <c r="CN25" s="1183"/>
      <c r="CO25" s="1183">
        <f>CM25</f>
        <v>67712</v>
      </c>
      <c r="CP25" s="1183">
        <f>'Chính sách chế độ 2020-2021'!IR19+'CCTL nam 2020- 2021'!O9</f>
        <v>119826</v>
      </c>
      <c r="CQ25" s="1183"/>
      <c r="CR25" s="1183">
        <f t="shared" si="26"/>
        <v>119826</v>
      </c>
      <c r="CS25" s="1184">
        <f>CP25-CM25</f>
        <v>52114</v>
      </c>
      <c r="CT25" s="1183"/>
      <c r="CU25" s="1183">
        <v>8188</v>
      </c>
      <c r="CV25" s="1183"/>
      <c r="CW25" s="1183">
        <f>CU25</f>
        <v>8188</v>
      </c>
      <c r="CX25" s="1183">
        <f>'Chính sách chế độ 2020-2021'!JM19+'CCTL nam 2020- 2021'!P9</f>
        <v>1881</v>
      </c>
      <c r="CY25" s="1183"/>
      <c r="CZ25" s="1183">
        <f t="shared" si="27"/>
        <v>1881</v>
      </c>
      <c r="DA25" s="1184">
        <f>CX25-CU25</f>
        <v>-6307</v>
      </c>
      <c r="DB25" s="1183"/>
    </row>
    <row r="26" spans="1:106" s="342" customFormat="1" ht="18.95" customHeight="1" x14ac:dyDescent="0.2">
      <c r="A26" s="340" t="s">
        <v>421</v>
      </c>
      <c r="B26" s="341" t="s">
        <v>1577</v>
      </c>
      <c r="C26" s="564">
        <f>SUM(C27,C31,C35,C36)</f>
        <v>7059294</v>
      </c>
      <c r="D26" s="564">
        <f>D31</f>
        <v>0</v>
      </c>
      <c r="E26" s="564">
        <f>SUM(E27,E31,E35,E36)</f>
        <v>6682108.5</v>
      </c>
      <c r="F26" s="564">
        <f>SUM(F27,F31,F35,F36)</f>
        <v>7428289</v>
      </c>
      <c r="G26" s="564">
        <f>G31</f>
        <v>100941</v>
      </c>
      <c r="H26" s="564">
        <f>SUM(H27,H31,H35,H36)</f>
        <v>7428289</v>
      </c>
      <c r="I26" s="563">
        <f>F26-C26</f>
        <v>368995</v>
      </c>
      <c r="J26" s="564">
        <f t="shared" ref="J26:J35" si="43">F26/C26%</f>
        <v>105.22708078173257</v>
      </c>
      <c r="K26" s="564">
        <f>SUM(K27,K31,K35,K36)</f>
        <v>495278</v>
      </c>
      <c r="L26" s="564"/>
      <c r="M26" s="564">
        <f>SUM(M27,M31,M35,M36)</f>
        <v>490731</v>
      </c>
      <c r="N26" s="564">
        <f>SUM(N27,N31,N35,N36)</f>
        <v>510465</v>
      </c>
      <c r="O26" s="564"/>
      <c r="P26" s="564">
        <f>SUM(P27,P31,P35,P36)</f>
        <v>510465</v>
      </c>
      <c r="Q26" s="563">
        <f>N26-K26</f>
        <v>15187</v>
      </c>
      <c r="R26" s="564">
        <f t="shared" ref="R26:R35" si="44">N26/K26%</f>
        <v>103.06635869148236</v>
      </c>
      <c r="S26" s="564">
        <f>SUM(S27,S31,S35,S36)</f>
        <v>460081</v>
      </c>
      <c r="T26" s="564">
        <f>SUM(T31)</f>
        <v>0</v>
      </c>
      <c r="U26" s="564">
        <f>SUM(U27,U31,U35,U36)</f>
        <v>447818</v>
      </c>
      <c r="V26" s="564">
        <f>SUM(V27,V31,V35,V36)</f>
        <v>452258</v>
      </c>
      <c r="W26" s="564"/>
      <c r="X26" s="564">
        <f>SUM(X27,X31,X35,X36)</f>
        <v>452258</v>
      </c>
      <c r="Y26" s="563">
        <f>V26-S26</f>
        <v>-7823</v>
      </c>
      <c r="Z26" s="564">
        <f t="shared" ref="Z26:Z35" si="45">V26/S26%</f>
        <v>98.299647236030168</v>
      </c>
      <c r="AA26" s="564">
        <f>SUM(AA27,AA31,AA35,AA36)</f>
        <v>435248</v>
      </c>
      <c r="AB26" s="564"/>
      <c r="AC26" s="564">
        <f>SUM(AC27,AC31,AC35,AC36)</f>
        <v>459037.5</v>
      </c>
      <c r="AD26" s="564">
        <f>SUM(AD27,AD31,AD35,AD36)</f>
        <v>444390</v>
      </c>
      <c r="AE26" s="564"/>
      <c r="AF26" s="564">
        <f>SUM(AF27,AF31,AF35,AF36)</f>
        <v>444390</v>
      </c>
      <c r="AG26" s="563">
        <f>AD26-AA26</f>
        <v>9142</v>
      </c>
      <c r="AH26" s="564">
        <f t="shared" ref="AH26:AH35" si="46">AD26/AA26%</f>
        <v>102.10041171929568</v>
      </c>
      <c r="AI26" s="564">
        <f>SUM(AI27,AI31,AI35,AI36)</f>
        <v>444525</v>
      </c>
      <c r="AJ26" s="564">
        <f>SUM(AJ31)</f>
        <v>0</v>
      </c>
      <c r="AK26" s="564">
        <f>SUM(AK27,AK31,AK35,AK36)</f>
        <v>396938</v>
      </c>
      <c r="AL26" s="564">
        <f>SUM(AL27,AL31,AL35,AL36)</f>
        <v>453504</v>
      </c>
      <c r="AM26" s="564"/>
      <c r="AN26" s="564">
        <f>SUM(AN27,AN31,AN35,AN36)</f>
        <v>453504</v>
      </c>
      <c r="AO26" s="563">
        <f>AL26-AI26</f>
        <v>8979</v>
      </c>
      <c r="AP26" s="564">
        <f t="shared" ref="AP26:AP35" si="47">AL26/AI26%</f>
        <v>102.01990889151341</v>
      </c>
      <c r="AQ26" s="564">
        <f>SUM(AQ27,AQ31,AQ35,AQ36)</f>
        <v>567836.5</v>
      </c>
      <c r="AR26" s="564">
        <f>SUM(AR31)</f>
        <v>0</v>
      </c>
      <c r="AS26" s="564">
        <f>SUM(AS27,AS31,AS35,AS36)</f>
        <v>521873</v>
      </c>
      <c r="AT26" s="564">
        <f>SUM(AT27,AT31,AT35,AT36)</f>
        <v>565232</v>
      </c>
      <c r="AU26" s="564"/>
      <c r="AV26" s="564">
        <f>SUM(AV27,AV31,AV35,AV36)</f>
        <v>565232</v>
      </c>
      <c r="AW26" s="563">
        <f>AT26-AQ26</f>
        <v>-2604.5</v>
      </c>
      <c r="AX26" s="564">
        <f t="shared" ref="AX26:AX35" si="48">AT26/AQ26%</f>
        <v>99.541329238257845</v>
      </c>
      <c r="AY26" s="564">
        <f>SUM(AY27,AY31,AY35,AY36)</f>
        <v>1001173</v>
      </c>
      <c r="AZ26" s="564"/>
      <c r="BA26" s="564">
        <f>SUM(BA27,BA31,BA35,BA36)</f>
        <v>967718</v>
      </c>
      <c r="BB26" s="564">
        <f>SUM(BB27,BB31,BB35,BB36)</f>
        <v>1287780</v>
      </c>
      <c r="BC26" s="564"/>
      <c r="BD26" s="564">
        <f>SUM(BD27,BD31,BD35,BD36)</f>
        <v>1287780</v>
      </c>
      <c r="BE26" s="563">
        <f>BB26-AY26</f>
        <v>286607</v>
      </c>
      <c r="BF26" s="564">
        <f t="shared" ref="BF26:BF35" si="49">BB26/AY26%</f>
        <v>128.62712038778514</v>
      </c>
      <c r="BG26" s="564">
        <f>SUM(BG27,BG31,BG35,BG36)</f>
        <v>697597</v>
      </c>
      <c r="BH26" s="564">
        <f>SUM(BH31)</f>
        <v>0</v>
      </c>
      <c r="BI26" s="564">
        <f>SUM(BI27,BI31,BI35,BI36)</f>
        <v>649037</v>
      </c>
      <c r="BJ26" s="564">
        <f>SUM(BJ27,BJ31,BJ35,BJ36)</f>
        <v>701919</v>
      </c>
      <c r="BK26" s="564"/>
      <c r="BL26" s="564">
        <f>SUM(BL27,BL31,BL35,BL36)</f>
        <v>701919</v>
      </c>
      <c r="BM26" s="563">
        <f>BJ26-BG26</f>
        <v>4322</v>
      </c>
      <c r="BN26" s="564">
        <f t="shared" ref="BN26:BN35" si="50">BJ26/BG26%</f>
        <v>100.61955541666606</v>
      </c>
      <c r="BO26" s="564">
        <f>SUM(BO27,BO31,BO35,BO36)</f>
        <v>634927</v>
      </c>
      <c r="BP26" s="564">
        <f>SUM(BP31)</f>
        <v>0</v>
      </c>
      <c r="BQ26" s="564">
        <f>SUM(BQ27,BQ31,BQ35,BQ36)</f>
        <v>571036.5</v>
      </c>
      <c r="BR26" s="564">
        <f>SUM(BR27,BR31,BR35,BR36)</f>
        <v>641617</v>
      </c>
      <c r="BS26" s="564"/>
      <c r="BT26" s="564">
        <f>SUM(BT27,BT31,BT35,BT36)</f>
        <v>641617</v>
      </c>
      <c r="BU26" s="563">
        <f>BR26-BO26</f>
        <v>6690</v>
      </c>
      <c r="BV26" s="564">
        <f t="shared" ref="BV26:BV35" si="51">BR26/BO26%</f>
        <v>101.05366443701401</v>
      </c>
      <c r="BW26" s="564">
        <f>SUM(BW27,BW31,BW35,BW36)</f>
        <v>624056.5</v>
      </c>
      <c r="BX26" s="564"/>
      <c r="BY26" s="564">
        <f>SUM(BY27,BY31,BY35,BY36)</f>
        <v>570912</v>
      </c>
      <c r="BZ26" s="564">
        <f>SUM(BZ27,BZ31,BZ35,BZ36)</f>
        <v>576951</v>
      </c>
      <c r="CA26" s="564"/>
      <c r="CB26" s="564">
        <f>SUM(CB27,CB31,CB35,CB36)</f>
        <v>576951</v>
      </c>
      <c r="CC26" s="563">
        <f>BZ26-BW26</f>
        <v>-47105.5</v>
      </c>
      <c r="CD26" s="564">
        <f t="shared" ref="CD26:CD35" si="52">BZ26/BW26%</f>
        <v>92.451725124247574</v>
      </c>
      <c r="CE26" s="564">
        <f>SUM(CE27,CE31,CE35,CE36)</f>
        <v>502271.5</v>
      </c>
      <c r="CF26" s="564">
        <f>SUM(CF31)</f>
        <v>0</v>
      </c>
      <c r="CG26" s="564">
        <f>SUM(CG27,CG31,CG35,CG36)</f>
        <v>450231</v>
      </c>
      <c r="CH26" s="564">
        <f>SUM(CH27,CH31,CH35,CH36)</f>
        <v>512933</v>
      </c>
      <c r="CI26" s="564"/>
      <c r="CJ26" s="564">
        <f>SUM(CJ27,CJ31,CJ35,CJ36)</f>
        <v>512933</v>
      </c>
      <c r="CK26" s="563">
        <f>CH26-CE26</f>
        <v>10661.5</v>
      </c>
      <c r="CL26" s="564">
        <f t="shared" ref="CL26:CL35" si="53">CH26/CE26%</f>
        <v>102.12265677029256</v>
      </c>
      <c r="CM26" s="564">
        <f>SUM(CM27,CM31,CM35,CM36)</f>
        <v>725981</v>
      </c>
      <c r="CN26" s="564">
        <f>SUM(CN31)</f>
        <v>0</v>
      </c>
      <c r="CO26" s="564">
        <f>SUM(CO27,CO31,CO35,CO36)</f>
        <v>724731.5</v>
      </c>
      <c r="CP26" s="564">
        <f>SUM(CP27,CP31,CP35,CP36)</f>
        <v>791375</v>
      </c>
      <c r="CQ26" s="564"/>
      <c r="CR26" s="564">
        <f>SUM(CR27,CR31,CR35,CR36)</f>
        <v>791375</v>
      </c>
      <c r="CS26" s="563">
        <f>CP26-CM26</f>
        <v>65394</v>
      </c>
      <c r="CT26" s="564">
        <f t="shared" ref="CT26:CT35" si="54">CP26/CM26%</f>
        <v>109.00767375454728</v>
      </c>
      <c r="CU26" s="564">
        <f>SUM(CU27,CU31,CU35,CU36)</f>
        <v>470319.5</v>
      </c>
      <c r="CV26" s="564">
        <f>SUM(CV31)</f>
        <v>0</v>
      </c>
      <c r="CW26" s="564">
        <f>SUM(CW27,CW31,CW35,CW36)</f>
        <v>432045</v>
      </c>
      <c r="CX26" s="564">
        <f>SUM(CX27,CX31,CX35,CX36)</f>
        <v>489865</v>
      </c>
      <c r="CY26" s="564"/>
      <c r="CZ26" s="564">
        <f>SUM(CZ27,CZ31,CZ35,CZ36)</f>
        <v>489865</v>
      </c>
      <c r="DA26" s="563">
        <f>CX26-CU26</f>
        <v>19545.5</v>
      </c>
      <c r="DB26" s="564">
        <f t="shared" ref="DB26:DB35" si="55">CX26/CU26%</f>
        <v>104.15579196695013</v>
      </c>
    </row>
    <row r="27" spans="1:106" s="342" customFormat="1" ht="18.95" customHeight="1" x14ac:dyDescent="0.2">
      <c r="A27" s="340">
        <v>1</v>
      </c>
      <c r="B27" s="341" t="s">
        <v>227</v>
      </c>
      <c r="C27" s="564">
        <f>+C28+C30</f>
        <v>1005246</v>
      </c>
      <c r="D27" s="564"/>
      <c r="E27" s="564">
        <f>SUM(E28:E30)</f>
        <v>1255246</v>
      </c>
      <c r="F27" s="564">
        <f>SUM(F28:F30)</f>
        <v>1155246</v>
      </c>
      <c r="G27" s="564"/>
      <c r="H27" s="564">
        <f>+H28+H30</f>
        <v>1155246</v>
      </c>
      <c r="I27" s="563">
        <f t="shared" ref="I27:I33" si="56">F27-C27</f>
        <v>150000</v>
      </c>
      <c r="J27" s="564">
        <f t="shared" si="43"/>
        <v>114.921720653452</v>
      </c>
      <c r="K27" s="564">
        <f>+K28+K30</f>
        <v>40606</v>
      </c>
      <c r="L27" s="564"/>
      <c r="M27" s="564">
        <f>+M28+M30</f>
        <v>52606</v>
      </c>
      <c r="N27" s="564">
        <f>+N28+N30</f>
        <v>52606</v>
      </c>
      <c r="O27" s="564"/>
      <c r="P27" s="564">
        <f>SUM(P28:P30)</f>
        <v>52606</v>
      </c>
      <c r="Q27" s="563">
        <f t="shared" ref="Q27:Q33" si="57">N27-K27</f>
        <v>12000</v>
      </c>
      <c r="R27" s="564">
        <f t="shared" si="44"/>
        <v>129.55228291385509</v>
      </c>
      <c r="S27" s="564">
        <f>+S28+S30</f>
        <v>177233</v>
      </c>
      <c r="T27" s="564"/>
      <c r="U27" s="564">
        <f>+U28+U30</f>
        <v>187233</v>
      </c>
      <c r="V27" s="564">
        <f>+V28+V30</f>
        <v>177233</v>
      </c>
      <c r="W27" s="564"/>
      <c r="X27" s="564">
        <f>SUM(X28:X30)</f>
        <v>177233</v>
      </c>
      <c r="Y27" s="563">
        <f t="shared" ref="Y27:Y33" si="58">V27-S27</f>
        <v>0</v>
      </c>
      <c r="Z27" s="564">
        <f t="shared" si="45"/>
        <v>100</v>
      </c>
      <c r="AA27" s="564">
        <f>+AA28+AA30</f>
        <v>36557</v>
      </c>
      <c r="AB27" s="564"/>
      <c r="AC27" s="564">
        <f>+AC28+AC30</f>
        <v>56557</v>
      </c>
      <c r="AD27" s="564">
        <f>+AD28+AD30</f>
        <v>41557</v>
      </c>
      <c r="AE27" s="564"/>
      <c r="AF27" s="564">
        <f>SUM(AF28:AF30)</f>
        <v>41557</v>
      </c>
      <c r="AG27" s="563">
        <f t="shared" ref="AG27:AG33" si="59">AD27-AA27</f>
        <v>5000</v>
      </c>
      <c r="AH27" s="564">
        <f t="shared" si="46"/>
        <v>113.67727111086796</v>
      </c>
      <c r="AI27" s="564">
        <f>+AI28+AI30</f>
        <v>48751</v>
      </c>
      <c r="AJ27" s="564"/>
      <c r="AK27" s="564">
        <f>+AK28+AK30</f>
        <v>53751</v>
      </c>
      <c r="AL27" s="564">
        <f>+AL28+AL30</f>
        <v>48751</v>
      </c>
      <c r="AM27" s="564"/>
      <c r="AN27" s="564">
        <f>SUM(AN28:AN30)</f>
        <v>48751</v>
      </c>
      <c r="AO27" s="563">
        <f t="shared" ref="AO27:AO33" si="60">AL27-AI27</f>
        <v>0</v>
      </c>
      <c r="AP27" s="564">
        <f t="shared" si="47"/>
        <v>100</v>
      </c>
      <c r="AQ27" s="564">
        <f>+AQ28+AQ30</f>
        <v>56302</v>
      </c>
      <c r="AR27" s="564"/>
      <c r="AS27" s="564">
        <f>+AS28+AS30</f>
        <v>56302</v>
      </c>
      <c r="AT27" s="564">
        <f>+AT28+AT30</f>
        <v>61302</v>
      </c>
      <c r="AU27" s="564"/>
      <c r="AV27" s="564">
        <f>SUM(AV28:AV30)</f>
        <v>61302</v>
      </c>
      <c r="AW27" s="563">
        <f t="shared" ref="AW27:AW33" si="61">AT27-AQ27</f>
        <v>5000</v>
      </c>
      <c r="AX27" s="564">
        <f t="shared" si="48"/>
        <v>108.88067919434479</v>
      </c>
      <c r="AY27" s="564">
        <f>+AY28+AY30</f>
        <v>168534</v>
      </c>
      <c r="AZ27" s="564"/>
      <c r="BA27" s="564">
        <f>+BA28+BA30</f>
        <v>276534</v>
      </c>
      <c r="BB27" s="564">
        <f>+BB28+BB30</f>
        <v>216534</v>
      </c>
      <c r="BC27" s="564"/>
      <c r="BD27" s="564">
        <f>SUM(BD28:BD30)</f>
        <v>216534</v>
      </c>
      <c r="BE27" s="563">
        <f t="shared" ref="BE27:BE33" si="62">BB27-AY27</f>
        <v>48000</v>
      </c>
      <c r="BF27" s="564">
        <f t="shared" si="49"/>
        <v>128.48089999643989</v>
      </c>
      <c r="BG27" s="564">
        <f>+BG28+BG30</f>
        <v>74662</v>
      </c>
      <c r="BH27" s="564"/>
      <c r="BI27" s="564">
        <f>+BI28+BI30</f>
        <v>79662</v>
      </c>
      <c r="BJ27" s="564">
        <f>+BJ28+BJ30</f>
        <v>74662</v>
      </c>
      <c r="BK27" s="564"/>
      <c r="BL27" s="564">
        <f>SUM(BL28:BL30)</f>
        <v>74662</v>
      </c>
      <c r="BM27" s="563">
        <f t="shared" ref="BM27:BM33" si="63">BJ27-BG27</f>
        <v>0</v>
      </c>
      <c r="BN27" s="564">
        <f t="shared" si="50"/>
        <v>100</v>
      </c>
      <c r="BO27" s="564">
        <f>+BO28+BO30</f>
        <v>86250</v>
      </c>
      <c r="BP27" s="564"/>
      <c r="BQ27" s="564">
        <f>+BQ28+BQ30</f>
        <v>91250</v>
      </c>
      <c r="BR27" s="564">
        <f>+BR28+BR30</f>
        <v>96250</v>
      </c>
      <c r="BS27" s="564"/>
      <c r="BT27" s="564">
        <f>SUM(BT28:BT30)</f>
        <v>96250</v>
      </c>
      <c r="BU27" s="563">
        <f t="shared" ref="BU27:BU33" si="64">BR27-BO27</f>
        <v>10000</v>
      </c>
      <c r="BV27" s="564">
        <f t="shared" si="51"/>
        <v>111.59420289855072</v>
      </c>
      <c r="BW27" s="564">
        <f>+BW28+BW30</f>
        <v>50177</v>
      </c>
      <c r="BX27" s="564"/>
      <c r="BY27" s="564">
        <f>+BY28+BY30</f>
        <v>75177</v>
      </c>
      <c r="BZ27" s="564">
        <f>+BZ28+BZ30</f>
        <v>60177</v>
      </c>
      <c r="CA27" s="564"/>
      <c r="CB27" s="564">
        <f>SUM(CB28:CB30)</f>
        <v>60177</v>
      </c>
      <c r="CC27" s="563">
        <f t="shared" ref="CC27:CC33" si="65">BZ27-BW27</f>
        <v>10000</v>
      </c>
      <c r="CD27" s="564">
        <f t="shared" si="52"/>
        <v>119.92944974789246</v>
      </c>
      <c r="CE27" s="564">
        <f>+CE28+CE30</f>
        <v>48432</v>
      </c>
      <c r="CF27" s="564"/>
      <c r="CG27" s="564">
        <f>+CG28+CG30</f>
        <v>60432</v>
      </c>
      <c r="CH27" s="564">
        <f>+CH28+CH30</f>
        <v>53432</v>
      </c>
      <c r="CI27" s="564"/>
      <c r="CJ27" s="564">
        <f>SUM(CJ28:CJ30)</f>
        <v>53432</v>
      </c>
      <c r="CK27" s="563">
        <f t="shared" ref="CK27:CK33" si="66">CH27-CE27</f>
        <v>5000</v>
      </c>
      <c r="CL27" s="564">
        <f t="shared" si="53"/>
        <v>110.32375289065081</v>
      </c>
      <c r="CM27" s="564">
        <f>+CM28+CM30</f>
        <v>171569</v>
      </c>
      <c r="CN27" s="564"/>
      <c r="CO27" s="564">
        <f>+CO28+CO30</f>
        <v>214569</v>
      </c>
      <c r="CP27" s="564">
        <f>+CP28+CP30</f>
        <v>211569</v>
      </c>
      <c r="CQ27" s="564"/>
      <c r="CR27" s="564">
        <f>SUM(CR28:CR30)</f>
        <v>211569</v>
      </c>
      <c r="CS27" s="563">
        <f t="shared" ref="CS27:CS33" si="67">CP27-CM27</f>
        <v>40000</v>
      </c>
      <c r="CT27" s="564">
        <f t="shared" si="54"/>
        <v>123.31423508908952</v>
      </c>
      <c r="CU27" s="564">
        <f>+CU28+CU30</f>
        <v>46173</v>
      </c>
      <c r="CV27" s="564"/>
      <c r="CW27" s="564">
        <f>+CW28+CW30</f>
        <v>51173</v>
      </c>
      <c r="CX27" s="564">
        <f>+CX28+CX30</f>
        <v>61173</v>
      </c>
      <c r="CY27" s="564"/>
      <c r="CZ27" s="564">
        <f>SUM(CZ28:CZ30)</f>
        <v>61173</v>
      </c>
      <c r="DA27" s="563">
        <f t="shared" ref="DA27:DA33" si="68">CX27-CU27</f>
        <v>15000</v>
      </c>
      <c r="DB27" s="564">
        <f t="shared" si="55"/>
        <v>132.48651809499057</v>
      </c>
    </row>
    <row r="28" spans="1:106" s="325" customFormat="1" ht="18.95" customHeight="1" x14ac:dyDescent="0.2">
      <c r="A28" s="343" t="s">
        <v>564</v>
      </c>
      <c r="B28" s="344" t="s">
        <v>683</v>
      </c>
      <c r="C28" s="565">
        <f>+K28+S28+AA28+AI28+AQ28+AY28+BG28+BO28+BW28+CE28+CM28+CU28</f>
        <v>505246</v>
      </c>
      <c r="D28" s="565"/>
      <c r="E28" s="565">
        <f>+M28+U28+AC28+AK28+AS28+BA28+BI28+BQ28+BY28+CG28+CO28+CW28</f>
        <v>505246</v>
      </c>
      <c r="F28" s="565">
        <f t="shared" ref="F28:H36" si="69">SUM(N28,V28,AD28,AL28,AT28,BB28,BJ28,BR28,BZ28,CH28,CP28,CX28)</f>
        <v>505246</v>
      </c>
      <c r="G28" s="565"/>
      <c r="H28" s="565">
        <f t="shared" si="69"/>
        <v>505246</v>
      </c>
      <c r="I28" s="566">
        <f t="shared" si="56"/>
        <v>0</v>
      </c>
      <c r="J28" s="565">
        <f t="shared" si="43"/>
        <v>100</v>
      </c>
      <c r="K28" s="565">
        <v>27606</v>
      </c>
      <c r="L28" s="565"/>
      <c r="M28" s="565">
        <f>K28</f>
        <v>27606</v>
      </c>
      <c r="N28" s="565">
        <f>INT(K28+IF(('Thu NSH'!V43)*$C$40&lt;0,0,('Thu NSH'!V43)*$C$40))</f>
        <v>27606</v>
      </c>
      <c r="O28" s="565"/>
      <c r="P28" s="565">
        <f>N28</f>
        <v>27606</v>
      </c>
      <c r="Q28" s="566">
        <f t="shared" si="57"/>
        <v>0</v>
      </c>
      <c r="R28" s="565">
        <f t="shared" si="44"/>
        <v>100</v>
      </c>
      <c r="S28" s="565">
        <v>27233</v>
      </c>
      <c r="T28" s="565"/>
      <c r="U28" s="565">
        <f>S28</f>
        <v>27233</v>
      </c>
      <c r="V28" s="565">
        <f>INT(S28+IF(('Thu NSH'!AH43)*$C$40&lt;0,0,('Thu NSH'!AH43)*$C$40))</f>
        <v>27233</v>
      </c>
      <c r="W28" s="565"/>
      <c r="X28" s="565">
        <f>V28</f>
        <v>27233</v>
      </c>
      <c r="Y28" s="566">
        <f t="shared" si="58"/>
        <v>0</v>
      </c>
      <c r="Z28" s="565">
        <f t="shared" si="45"/>
        <v>100</v>
      </c>
      <c r="AA28" s="565">
        <v>26557</v>
      </c>
      <c r="AB28" s="565"/>
      <c r="AC28" s="565">
        <f>AA28</f>
        <v>26557</v>
      </c>
      <c r="AD28" s="565">
        <f>INT(AA28+IF(('Thu NSH'!AT43)*$C$40&lt;0,0,('Thu NSH'!AT43)*$C$40))</f>
        <v>26557</v>
      </c>
      <c r="AE28" s="565"/>
      <c r="AF28" s="565">
        <f>AD28</f>
        <v>26557</v>
      </c>
      <c r="AG28" s="566">
        <f t="shared" si="59"/>
        <v>0</v>
      </c>
      <c r="AH28" s="565">
        <f t="shared" si="46"/>
        <v>100</v>
      </c>
      <c r="AI28" s="565">
        <v>28751</v>
      </c>
      <c r="AJ28" s="565"/>
      <c r="AK28" s="565">
        <f>AI28</f>
        <v>28751</v>
      </c>
      <c r="AL28" s="565">
        <f>INT(AI28+IF(('Thu NSH'!BF43)*$C$40&lt;0,0,('Thu NSH'!BF43)*$C$40))</f>
        <v>28751</v>
      </c>
      <c r="AM28" s="565"/>
      <c r="AN28" s="565">
        <f>AL28</f>
        <v>28751</v>
      </c>
      <c r="AO28" s="566">
        <f t="shared" si="60"/>
        <v>0</v>
      </c>
      <c r="AP28" s="565">
        <f t="shared" si="47"/>
        <v>100</v>
      </c>
      <c r="AQ28" s="565">
        <v>36302</v>
      </c>
      <c r="AR28" s="565"/>
      <c r="AS28" s="565">
        <f>AQ28</f>
        <v>36302</v>
      </c>
      <c r="AT28" s="565">
        <f>INT(AQ28+IF(('Thu NSH'!BR43)*$C$40&lt;0,0,('Thu NSH'!BR43)*$C$40))</f>
        <v>36302</v>
      </c>
      <c r="AU28" s="565"/>
      <c r="AV28" s="565">
        <f>AT28</f>
        <v>36302</v>
      </c>
      <c r="AW28" s="566">
        <f t="shared" si="61"/>
        <v>0</v>
      </c>
      <c r="AX28" s="565">
        <f t="shared" si="48"/>
        <v>100</v>
      </c>
      <c r="AY28" s="565">
        <v>116534</v>
      </c>
      <c r="AZ28" s="565"/>
      <c r="BA28" s="565">
        <f>AY28</f>
        <v>116534</v>
      </c>
      <c r="BB28" s="565">
        <f>INT(AY28+IF(('Thu NSH'!CD43)*$C$40&lt;0,0,('Thu NSH'!CD43)*$C$40))</f>
        <v>116534</v>
      </c>
      <c r="BC28" s="565"/>
      <c r="BD28" s="565">
        <f>BB28</f>
        <v>116534</v>
      </c>
      <c r="BE28" s="566">
        <f t="shared" si="62"/>
        <v>0</v>
      </c>
      <c r="BF28" s="565">
        <f t="shared" si="49"/>
        <v>100</v>
      </c>
      <c r="BG28" s="565">
        <v>39662</v>
      </c>
      <c r="BH28" s="565"/>
      <c r="BI28" s="565">
        <f>BG28</f>
        <v>39662</v>
      </c>
      <c r="BJ28" s="565">
        <f>INT(BG28+IF(('Thu NSH'!CP43)*$C$40&lt;0,0,('Thu NSH'!CP43)*$C$40))</f>
        <v>39662</v>
      </c>
      <c r="BK28" s="565"/>
      <c r="BL28" s="565">
        <f>BJ28</f>
        <v>39662</v>
      </c>
      <c r="BM28" s="566">
        <f t="shared" si="63"/>
        <v>0</v>
      </c>
      <c r="BN28" s="565">
        <f t="shared" si="50"/>
        <v>100</v>
      </c>
      <c r="BO28" s="565">
        <v>36250</v>
      </c>
      <c r="BP28" s="565"/>
      <c r="BQ28" s="565">
        <f>BO28</f>
        <v>36250</v>
      </c>
      <c r="BR28" s="565">
        <f>INT(BO28+IF(('Thu NSH'!DB43)*$C$40&lt;0,0,('Thu NSH'!DB43)*$C$40))</f>
        <v>36250</v>
      </c>
      <c r="BS28" s="565"/>
      <c r="BT28" s="565">
        <f>+BR28</f>
        <v>36250</v>
      </c>
      <c r="BU28" s="566">
        <f t="shared" si="64"/>
        <v>0</v>
      </c>
      <c r="BV28" s="565">
        <f t="shared" si="51"/>
        <v>100</v>
      </c>
      <c r="BW28" s="565">
        <v>35177</v>
      </c>
      <c r="BX28" s="565"/>
      <c r="BY28" s="565">
        <f>BW28</f>
        <v>35177</v>
      </c>
      <c r="BZ28" s="565">
        <f>INT(BW28+IF(('Thu NSH'!DN43)*$C$40&lt;0,0,('Thu NSH'!DN43)*$C$40))</f>
        <v>35177</v>
      </c>
      <c r="CA28" s="565"/>
      <c r="CB28" s="565">
        <f>BZ28</f>
        <v>35177</v>
      </c>
      <c r="CC28" s="566">
        <f t="shared" si="65"/>
        <v>0</v>
      </c>
      <c r="CD28" s="565">
        <f t="shared" si="52"/>
        <v>100</v>
      </c>
      <c r="CE28" s="565">
        <v>33432</v>
      </c>
      <c r="CF28" s="565"/>
      <c r="CG28" s="565">
        <f>CE28</f>
        <v>33432</v>
      </c>
      <c r="CH28" s="565">
        <f>INT(CE28+IF(('Thu NSH'!DZ43)*$C$40&lt;0,0,('Thu NSH'!DZ43)*$C$40))</f>
        <v>33432</v>
      </c>
      <c r="CI28" s="565"/>
      <c r="CJ28" s="565">
        <f>CH28</f>
        <v>33432</v>
      </c>
      <c r="CK28" s="566">
        <f t="shared" si="66"/>
        <v>0</v>
      </c>
      <c r="CL28" s="565">
        <f t="shared" si="53"/>
        <v>100</v>
      </c>
      <c r="CM28" s="565">
        <v>71569</v>
      </c>
      <c r="CN28" s="565"/>
      <c r="CO28" s="565">
        <f>CM28</f>
        <v>71569</v>
      </c>
      <c r="CP28" s="565">
        <f>INT(CM28+IF(('Thu NSH'!EL43)*$C$40&lt;0,0,('Thu NSH'!EL43)*$C$40))</f>
        <v>71569</v>
      </c>
      <c r="CQ28" s="565"/>
      <c r="CR28" s="565">
        <f>CP28</f>
        <v>71569</v>
      </c>
      <c r="CS28" s="566">
        <f t="shared" si="67"/>
        <v>0</v>
      </c>
      <c r="CT28" s="565">
        <f t="shared" si="54"/>
        <v>99.999999999999986</v>
      </c>
      <c r="CU28" s="565">
        <v>26173</v>
      </c>
      <c r="CV28" s="565"/>
      <c r="CW28" s="565">
        <f>CU28</f>
        <v>26173</v>
      </c>
      <c r="CX28" s="565">
        <f>INT(CU28+IF(('Thu NSH'!EX43)*$C$40&lt;0,0,('Thu NSH'!EX43)*$C$40))</f>
        <v>26173</v>
      </c>
      <c r="CY28" s="565"/>
      <c r="CZ28" s="565">
        <f>CX28</f>
        <v>26173</v>
      </c>
      <c r="DA28" s="566">
        <f t="shared" si="68"/>
        <v>0</v>
      </c>
      <c r="DB28" s="565">
        <f t="shared" si="55"/>
        <v>100</v>
      </c>
    </row>
    <row r="29" spans="1:106" s="1188" customFormat="1" ht="25.5" x14ac:dyDescent="0.25">
      <c r="A29" s="1187"/>
      <c r="B29" s="1186" t="s">
        <v>1471</v>
      </c>
      <c r="C29" s="589"/>
      <c r="D29" s="589"/>
      <c r="E29" s="589"/>
      <c r="F29" s="589"/>
      <c r="G29" s="589"/>
      <c r="H29" s="589"/>
      <c r="I29" s="590"/>
      <c r="J29" s="589"/>
      <c r="K29" s="589"/>
      <c r="L29" s="589"/>
      <c r="M29" s="589"/>
      <c r="N29" s="589"/>
      <c r="O29" s="589"/>
      <c r="P29" s="589"/>
      <c r="Q29" s="590"/>
      <c r="R29" s="589"/>
      <c r="S29" s="589"/>
      <c r="T29" s="589"/>
      <c r="U29" s="589"/>
      <c r="V29" s="589"/>
      <c r="W29" s="589"/>
      <c r="X29" s="589"/>
      <c r="Y29" s="590"/>
      <c r="Z29" s="589"/>
      <c r="AA29" s="589"/>
      <c r="AB29" s="589"/>
      <c r="AC29" s="589"/>
      <c r="AD29" s="589"/>
      <c r="AE29" s="589"/>
      <c r="AF29" s="589"/>
      <c r="AG29" s="590"/>
      <c r="AH29" s="589"/>
      <c r="AI29" s="589"/>
      <c r="AJ29" s="589"/>
      <c r="AK29" s="589"/>
      <c r="AL29" s="589"/>
      <c r="AM29" s="589"/>
      <c r="AN29" s="589"/>
      <c r="AO29" s="590"/>
      <c r="AP29" s="589"/>
      <c r="AQ29" s="589"/>
      <c r="AR29" s="589"/>
      <c r="AS29" s="589"/>
      <c r="AT29" s="589"/>
      <c r="AU29" s="589"/>
      <c r="AV29" s="589"/>
      <c r="AW29" s="590"/>
      <c r="AX29" s="589"/>
      <c r="AY29" s="589"/>
      <c r="AZ29" s="589"/>
      <c r="BA29" s="589"/>
      <c r="BB29" s="589"/>
      <c r="BC29" s="589"/>
      <c r="BD29" s="589"/>
      <c r="BE29" s="590"/>
      <c r="BF29" s="589"/>
      <c r="BG29" s="589"/>
      <c r="BH29" s="589"/>
      <c r="BI29" s="589"/>
      <c r="BJ29" s="589"/>
      <c r="BK29" s="589"/>
      <c r="BL29" s="589"/>
      <c r="BM29" s="590"/>
      <c r="BN29" s="589"/>
      <c r="BO29" s="589"/>
      <c r="BP29" s="589"/>
      <c r="BQ29" s="589"/>
      <c r="BR29" s="589"/>
      <c r="BS29" s="589"/>
      <c r="BT29" s="589"/>
      <c r="BU29" s="590"/>
      <c r="BV29" s="589"/>
      <c r="BW29" s="589"/>
      <c r="BX29" s="589"/>
      <c r="BY29" s="589"/>
      <c r="BZ29" s="589"/>
      <c r="CA29" s="589"/>
      <c r="CB29" s="589"/>
      <c r="CC29" s="590"/>
      <c r="CD29" s="589"/>
      <c r="CE29" s="589"/>
      <c r="CF29" s="589"/>
      <c r="CG29" s="589"/>
      <c r="CH29" s="589"/>
      <c r="CI29" s="589"/>
      <c r="CJ29" s="589"/>
      <c r="CK29" s="590"/>
      <c r="CL29" s="589"/>
      <c r="CM29" s="589"/>
      <c r="CN29" s="589"/>
      <c r="CO29" s="589"/>
      <c r="CP29" s="589"/>
      <c r="CQ29" s="589"/>
      <c r="CR29" s="589"/>
      <c r="CS29" s="590"/>
      <c r="CT29" s="589"/>
      <c r="CU29" s="589"/>
      <c r="CV29" s="589"/>
      <c r="CW29" s="589"/>
      <c r="CX29" s="589"/>
      <c r="CY29" s="589"/>
      <c r="CZ29" s="589"/>
      <c r="DA29" s="590"/>
      <c r="DB29" s="589"/>
    </row>
    <row r="30" spans="1:106" s="325" customFormat="1" ht="18.95" customHeight="1" x14ac:dyDescent="0.2">
      <c r="A30" s="343" t="s">
        <v>564</v>
      </c>
      <c r="B30" s="344" t="s">
        <v>381</v>
      </c>
      <c r="C30" s="565">
        <f>+K30+S30+AA30+AI30+AQ30+AY30+BG30+BO30+BW30+CE30+CM30+CU30</f>
        <v>500000</v>
      </c>
      <c r="D30" s="565"/>
      <c r="E30" s="565">
        <f>+M30+U30+AC30+AK30+AS30+BA30+BI30+BQ30+BY30+CG30+CO30+CW30</f>
        <v>750000</v>
      </c>
      <c r="F30" s="565">
        <f t="shared" si="69"/>
        <v>650000</v>
      </c>
      <c r="G30" s="567"/>
      <c r="H30" s="565">
        <f>SUM(P30,X30,AF30,AN30,AV30,BD30,BL30,BT30,CB30,CJ30,CR30,CZ30)</f>
        <v>650000</v>
      </c>
      <c r="I30" s="566">
        <f t="shared" si="56"/>
        <v>150000</v>
      </c>
      <c r="J30" s="565">
        <f t="shared" si="43"/>
        <v>130</v>
      </c>
      <c r="K30" s="565">
        <v>13000</v>
      </c>
      <c r="L30" s="565"/>
      <c r="M30" s="565">
        <f>'Thu NSH'!T28</f>
        <v>25000</v>
      </c>
      <c r="N30" s="565">
        <f>'Thu NSH'!V28</f>
        <v>25000</v>
      </c>
      <c r="O30" s="567"/>
      <c r="P30" s="565">
        <f>N30</f>
        <v>25000</v>
      </c>
      <c r="Q30" s="566">
        <f t="shared" si="57"/>
        <v>12000</v>
      </c>
      <c r="R30" s="565">
        <f t="shared" si="44"/>
        <v>192.30769230769232</v>
      </c>
      <c r="S30" s="565">
        <v>150000</v>
      </c>
      <c r="T30" s="565"/>
      <c r="U30" s="565">
        <f>'Thu NSH'!AF28</f>
        <v>160000</v>
      </c>
      <c r="V30" s="565">
        <f>'Thu NSH'!AH28</f>
        <v>150000</v>
      </c>
      <c r="W30" s="567"/>
      <c r="X30" s="565">
        <f>V30</f>
        <v>150000</v>
      </c>
      <c r="Y30" s="566">
        <f>V30-S30</f>
        <v>0</v>
      </c>
      <c r="Z30" s="565">
        <f t="shared" si="45"/>
        <v>100</v>
      </c>
      <c r="AA30" s="565">
        <v>10000</v>
      </c>
      <c r="AB30" s="565"/>
      <c r="AC30" s="565">
        <f>'Thu NSH'!AR28</f>
        <v>30000</v>
      </c>
      <c r="AD30" s="565">
        <f>'Thu NSH'!AT28</f>
        <v>15000</v>
      </c>
      <c r="AE30" s="567"/>
      <c r="AF30" s="565">
        <f>AD30</f>
        <v>15000</v>
      </c>
      <c r="AG30" s="566">
        <f t="shared" si="59"/>
        <v>5000</v>
      </c>
      <c r="AH30" s="565">
        <f t="shared" si="46"/>
        <v>150</v>
      </c>
      <c r="AI30" s="565">
        <v>20000</v>
      </c>
      <c r="AJ30" s="565"/>
      <c r="AK30" s="565">
        <f>'Thu NSH'!BD28</f>
        <v>25000</v>
      </c>
      <c r="AL30" s="565">
        <f>'Thu NSH'!BF28</f>
        <v>20000</v>
      </c>
      <c r="AM30" s="567"/>
      <c r="AN30" s="565">
        <f>AL30</f>
        <v>20000</v>
      </c>
      <c r="AO30" s="566">
        <f t="shared" si="60"/>
        <v>0</v>
      </c>
      <c r="AP30" s="565">
        <f t="shared" si="47"/>
        <v>100</v>
      </c>
      <c r="AQ30" s="565">
        <v>20000</v>
      </c>
      <c r="AR30" s="565"/>
      <c r="AS30" s="565">
        <f>'Thu NSH'!BP28</f>
        <v>20000</v>
      </c>
      <c r="AT30" s="565">
        <f>'Thu NSH'!BR28</f>
        <v>25000</v>
      </c>
      <c r="AU30" s="567"/>
      <c r="AV30" s="565">
        <f>AT30</f>
        <v>25000</v>
      </c>
      <c r="AW30" s="566">
        <f t="shared" si="61"/>
        <v>5000</v>
      </c>
      <c r="AX30" s="565">
        <f t="shared" si="48"/>
        <v>125</v>
      </c>
      <c r="AY30" s="565">
        <v>52000</v>
      </c>
      <c r="AZ30" s="565"/>
      <c r="BA30" s="565">
        <f>'Thu NSH'!CB28</f>
        <v>160000</v>
      </c>
      <c r="BB30" s="565">
        <f>'Thu NSH'!CD28</f>
        <v>100000</v>
      </c>
      <c r="BC30" s="567"/>
      <c r="BD30" s="565">
        <f>BB30</f>
        <v>100000</v>
      </c>
      <c r="BE30" s="566">
        <f t="shared" si="62"/>
        <v>48000</v>
      </c>
      <c r="BF30" s="565">
        <f t="shared" si="49"/>
        <v>192.30769230769232</v>
      </c>
      <c r="BG30" s="565">
        <v>35000</v>
      </c>
      <c r="BH30" s="565"/>
      <c r="BI30" s="565">
        <f>'Thu NSH'!CN28</f>
        <v>40000</v>
      </c>
      <c r="BJ30" s="565">
        <f>'Thu NSH'!CP28</f>
        <v>35000</v>
      </c>
      <c r="BK30" s="567"/>
      <c r="BL30" s="565">
        <f>BJ30</f>
        <v>35000</v>
      </c>
      <c r="BM30" s="566">
        <f t="shared" si="63"/>
        <v>0</v>
      </c>
      <c r="BN30" s="565">
        <f t="shared" si="50"/>
        <v>100</v>
      </c>
      <c r="BO30" s="565">
        <v>50000</v>
      </c>
      <c r="BP30" s="565"/>
      <c r="BQ30" s="565">
        <f>'Thu NSH'!CZ28</f>
        <v>55000</v>
      </c>
      <c r="BR30" s="565">
        <f>'Thu NSH'!DB28</f>
        <v>60000</v>
      </c>
      <c r="BS30" s="567"/>
      <c r="BT30" s="565">
        <f>BR30</f>
        <v>60000</v>
      </c>
      <c r="BU30" s="566">
        <f t="shared" si="64"/>
        <v>10000</v>
      </c>
      <c r="BV30" s="565">
        <f t="shared" si="51"/>
        <v>120</v>
      </c>
      <c r="BW30" s="565">
        <v>15000</v>
      </c>
      <c r="BX30" s="565"/>
      <c r="BY30" s="565">
        <f>'Thu NSH'!DL28</f>
        <v>40000</v>
      </c>
      <c r="BZ30" s="565">
        <f>'Thu NSH'!DN28</f>
        <v>25000</v>
      </c>
      <c r="CA30" s="567"/>
      <c r="CB30" s="565">
        <f>BZ30</f>
        <v>25000</v>
      </c>
      <c r="CC30" s="566">
        <f t="shared" si="65"/>
        <v>10000</v>
      </c>
      <c r="CD30" s="565">
        <f t="shared" si="52"/>
        <v>166.66666666666666</v>
      </c>
      <c r="CE30" s="565">
        <v>15000</v>
      </c>
      <c r="CF30" s="565"/>
      <c r="CG30" s="565">
        <f>'Thu NSH'!DX28</f>
        <v>27000</v>
      </c>
      <c r="CH30" s="565">
        <f>'Thu NSH'!DZ28</f>
        <v>20000</v>
      </c>
      <c r="CI30" s="567"/>
      <c r="CJ30" s="565">
        <f>CH30</f>
        <v>20000</v>
      </c>
      <c r="CK30" s="566">
        <f t="shared" si="66"/>
        <v>5000</v>
      </c>
      <c r="CL30" s="565">
        <f t="shared" si="53"/>
        <v>133.33333333333334</v>
      </c>
      <c r="CM30" s="565">
        <v>100000</v>
      </c>
      <c r="CN30" s="565"/>
      <c r="CO30" s="565">
        <f>'Thu NSH'!EJ28</f>
        <v>143000</v>
      </c>
      <c r="CP30" s="565">
        <f>'Thu NSH'!EL28</f>
        <v>140000</v>
      </c>
      <c r="CQ30" s="567"/>
      <c r="CR30" s="565">
        <f>CP30</f>
        <v>140000</v>
      </c>
      <c r="CS30" s="566">
        <f t="shared" si="67"/>
        <v>40000</v>
      </c>
      <c r="CT30" s="565">
        <f t="shared" si="54"/>
        <v>140</v>
      </c>
      <c r="CU30" s="565">
        <v>20000</v>
      </c>
      <c r="CV30" s="565"/>
      <c r="CW30" s="565">
        <f>'Thu NSH'!EV28</f>
        <v>25000</v>
      </c>
      <c r="CX30" s="565">
        <f>'Thu NSH'!EX28</f>
        <v>35000</v>
      </c>
      <c r="CY30" s="567"/>
      <c r="CZ30" s="565">
        <f>CX30</f>
        <v>35000</v>
      </c>
      <c r="DA30" s="566">
        <f t="shared" si="68"/>
        <v>15000</v>
      </c>
      <c r="DB30" s="565">
        <f t="shared" si="55"/>
        <v>175</v>
      </c>
    </row>
    <row r="31" spans="1:106" s="342" customFormat="1" ht="18.95" customHeight="1" x14ac:dyDescent="0.2">
      <c r="A31" s="340">
        <v>2</v>
      </c>
      <c r="B31" s="341" t="s">
        <v>362</v>
      </c>
      <c r="C31" s="564">
        <f>SUM(C32:C34)</f>
        <v>5562137</v>
      </c>
      <c r="D31" s="564">
        <f>SUM(L31,T31,AB31,AJ31,AR31,AZ31,BH31,BP31,BX31,CF31,CN31,CV31)</f>
        <v>0</v>
      </c>
      <c r="E31" s="564">
        <f>SUM(E32:E34)</f>
        <v>4930803.6500000004</v>
      </c>
      <c r="F31" s="564">
        <f>SUM(F32:F34)</f>
        <v>5486812</v>
      </c>
      <c r="G31" s="564">
        <f t="shared" si="69"/>
        <v>100941</v>
      </c>
      <c r="H31" s="564">
        <f>SUM(H32:H34)</f>
        <v>5486812</v>
      </c>
      <c r="I31" s="563">
        <f>F31-C31</f>
        <v>-75325</v>
      </c>
      <c r="J31" s="564">
        <f t="shared" si="43"/>
        <v>98.64575432068645</v>
      </c>
      <c r="K31" s="564">
        <f>SUM(K32:K34)</f>
        <v>446694</v>
      </c>
      <c r="L31" s="564"/>
      <c r="M31" s="564">
        <f>SUM(M32:M34)</f>
        <v>430147</v>
      </c>
      <c r="N31" s="564">
        <f>N7-N27-N35-N36</f>
        <v>449881</v>
      </c>
      <c r="O31" s="564">
        <f>'Nhu cầu TLCS năm 2020'!C7</f>
        <v>8156</v>
      </c>
      <c r="P31" s="564">
        <f>P7-P27-P35-P36</f>
        <v>449881</v>
      </c>
      <c r="Q31" s="563">
        <f>N31-K31</f>
        <v>3187</v>
      </c>
      <c r="R31" s="564">
        <f t="shared" si="44"/>
        <v>100.71346380296131</v>
      </c>
      <c r="S31" s="564">
        <f>SUM(S32:S34)</f>
        <v>277439</v>
      </c>
      <c r="T31" s="564"/>
      <c r="U31" s="564">
        <f>SUM(U32:U34)</f>
        <v>255176</v>
      </c>
      <c r="V31" s="564">
        <f>V7-V27-V35-V36</f>
        <v>269616</v>
      </c>
      <c r="W31" s="564">
        <f>'Nhu cầu TLCS năm 2020'!C8</f>
        <v>4605</v>
      </c>
      <c r="X31" s="564">
        <f>X7-X27-X35-X36</f>
        <v>269616</v>
      </c>
      <c r="Y31" s="563">
        <f t="shared" si="58"/>
        <v>-7823</v>
      </c>
      <c r="Z31" s="564">
        <f t="shared" si="45"/>
        <v>97.180281070793939</v>
      </c>
      <c r="AA31" s="564">
        <f>SUM(AA32:AA34)</f>
        <v>391895</v>
      </c>
      <c r="AB31" s="564"/>
      <c r="AC31" s="564">
        <f>SUM(AC32:AC34)</f>
        <v>391536.65</v>
      </c>
      <c r="AD31" s="564">
        <f>SUM(AD32:AD34)</f>
        <v>396037</v>
      </c>
      <c r="AE31" s="564">
        <f>'Nhu cầu TLCS năm 2020'!C9</f>
        <v>7642</v>
      </c>
      <c r="AF31" s="564">
        <f>AF7-AF27-AF35-AF36</f>
        <v>396037</v>
      </c>
      <c r="AG31" s="563">
        <f t="shared" si="59"/>
        <v>4142</v>
      </c>
      <c r="AH31" s="564">
        <f t="shared" si="46"/>
        <v>101.05691575549574</v>
      </c>
      <c r="AI31" s="564">
        <f>SUM(AI32:AI34)</f>
        <v>389484</v>
      </c>
      <c r="AJ31" s="564"/>
      <c r="AK31" s="564">
        <f>SUM(AK32:AK34)</f>
        <v>336897</v>
      </c>
      <c r="AL31" s="564">
        <f>SUM(AL32:AL34)</f>
        <v>398543</v>
      </c>
      <c r="AM31" s="564">
        <f>'Nhu cầu TLCS năm 2020'!C10</f>
        <v>7958</v>
      </c>
      <c r="AN31" s="564">
        <f>AN7-AN27-AN35-AN36</f>
        <v>398543</v>
      </c>
      <c r="AO31" s="563">
        <f t="shared" si="60"/>
        <v>9059</v>
      </c>
      <c r="AP31" s="564">
        <f t="shared" si="47"/>
        <v>102.32589785459736</v>
      </c>
      <c r="AQ31" s="564">
        <f>SUM(AQ32:AQ34)</f>
        <v>502125.5</v>
      </c>
      <c r="AR31" s="564"/>
      <c r="AS31" s="564">
        <f>SUM(AS32:AS34)</f>
        <v>456162</v>
      </c>
      <c r="AT31" s="564">
        <f>SUM(AT32:AT34)</f>
        <v>494521</v>
      </c>
      <c r="AU31" s="564">
        <f>'Nhu cầu TLCS năm 2020'!C11</f>
        <v>9320</v>
      </c>
      <c r="AV31" s="564">
        <f>AV7-AV27-AV35-AV36</f>
        <v>494521</v>
      </c>
      <c r="AW31" s="563">
        <f t="shared" si="61"/>
        <v>-7604.5</v>
      </c>
      <c r="AX31" s="564">
        <f t="shared" si="48"/>
        <v>98.485537978055291</v>
      </c>
      <c r="AY31" s="564">
        <f>SUM(AY32:AY34)</f>
        <v>471691</v>
      </c>
      <c r="AZ31" s="564"/>
      <c r="BA31" s="564">
        <f>SUM(BA32:BA34)</f>
        <v>330236</v>
      </c>
      <c r="BB31" s="564">
        <f>SUM(BB32:BB34)</f>
        <v>526289</v>
      </c>
      <c r="BC31" s="564">
        <f>'Nhu cầu TLCS năm 2020'!C12</f>
        <v>9728</v>
      </c>
      <c r="BD31" s="564">
        <f>BD7-BD27-BD35-BD36</f>
        <v>526289</v>
      </c>
      <c r="BE31" s="563">
        <f t="shared" si="62"/>
        <v>54598</v>
      </c>
      <c r="BF31" s="564">
        <f t="shared" si="49"/>
        <v>111.5749505502543</v>
      </c>
      <c r="BG31" s="564">
        <f>SUM(BG32:BG34)</f>
        <v>612098</v>
      </c>
      <c r="BH31" s="564"/>
      <c r="BI31" s="564">
        <f>SUM(BI32:BI34)</f>
        <v>558538</v>
      </c>
      <c r="BJ31" s="564">
        <f>SUM(BJ32:BJ34)</f>
        <v>616420</v>
      </c>
      <c r="BK31" s="564">
        <f>'Nhu cầu TLCS năm 2020'!C13</f>
        <v>11672</v>
      </c>
      <c r="BL31" s="564">
        <f>BL7-BL27-BL35-BL36</f>
        <v>616420</v>
      </c>
      <c r="BM31" s="563">
        <f t="shared" si="63"/>
        <v>4322</v>
      </c>
      <c r="BN31" s="564">
        <f t="shared" si="50"/>
        <v>100.70609608265345</v>
      </c>
      <c r="BO31" s="564">
        <f>SUM(BO32:BO34)</f>
        <v>539275</v>
      </c>
      <c r="BP31" s="564"/>
      <c r="BQ31" s="564">
        <f>SUM(BQ32:BQ34)</f>
        <v>470384.5</v>
      </c>
      <c r="BR31" s="564">
        <f>SUM(BR32:BR34)</f>
        <v>535965</v>
      </c>
      <c r="BS31" s="564">
        <f>'Nhu cầu TLCS năm 2020'!C14</f>
        <v>9799</v>
      </c>
      <c r="BT31" s="564">
        <f>BT7-BT27-BT35-BT36</f>
        <v>535965</v>
      </c>
      <c r="BU31" s="563">
        <f>BR31-BO31</f>
        <v>-3310</v>
      </c>
      <c r="BV31" s="564">
        <f t="shared" si="51"/>
        <v>99.386212971118638</v>
      </c>
      <c r="BW31" s="564">
        <f>SUM(BW32:BW34)</f>
        <v>562926.5</v>
      </c>
      <c r="BX31" s="564"/>
      <c r="BY31" s="564">
        <f>SUM(BY32:BY34)</f>
        <v>484782</v>
      </c>
      <c r="BZ31" s="564">
        <f>SUM(BZ32:BZ34)</f>
        <v>505821</v>
      </c>
      <c r="CA31" s="564">
        <f>'Nhu cầu TLCS năm 2020'!C15</f>
        <v>9406</v>
      </c>
      <c r="CB31" s="564">
        <f>CB7-CB27-CB35-CB36</f>
        <v>505821</v>
      </c>
      <c r="CC31" s="563">
        <f t="shared" si="65"/>
        <v>-57105.5</v>
      </c>
      <c r="CD31" s="564">
        <f t="shared" si="52"/>
        <v>89.855602818485181</v>
      </c>
      <c r="CE31" s="564">
        <f>SUM(CE32:CE34)</f>
        <v>445744.5</v>
      </c>
      <c r="CF31" s="564"/>
      <c r="CG31" s="564">
        <f>SUM(CG32:CG34)</f>
        <v>381704</v>
      </c>
      <c r="CH31" s="564">
        <f>SUM(CH32:CH34)</f>
        <v>451406</v>
      </c>
      <c r="CI31" s="564">
        <f>'Nhu cầu TLCS năm 2020'!C16</f>
        <v>8713</v>
      </c>
      <c r="CJ31" s="564">
        <f>CJ7-CJ27-CJ35-CJ36</f>
        <v>451406</v>
      </c>
      <c r="CK31" s="563">
        <f t="shared" si="66"/>
        <v>5661.5</v>
      </c>
      <c r="CL31" s="564">
        <f t="shared" si="53"/>
        <v>101.27012223370116</v>
      </c>
      <c r="CM31" s="564">
        <f>SUM(CM32:CM34)</f>
        <v>506257</v>
      </c>
      <c r="CN31" s="564"/>
      <c r="CO31" s="564">
        <f>SUM(CO32:CO34)</f>
        <v>462007.5</v>
      </c>
      <c r="CP31" s="564">
        <f>SUM(CP32:CP34)</f>
        <v>421260</v>
      </c>
      <c r="CQ31" s="564">
        <f>'Nhu cầu TLCS năm 2020'!C17</f>
        <v>6136</v>
      </c>
      <c r="CR31" s="564">
        <f>CR7-CR27-CR35-CR36</f>
        <v>421260</v>
      </c>
      <c r="CS31" s="563">
        <f>CP31-CM31</f>
        <v>-84997</v>
      </c>
      <c r="CT31" s="564">
        <f t="shared" si="54"/>
        <v>83.210701284130394</v>
      </c>
      <c r="CU31" s="564">
        <f>SUM(CU32:CU34)</f>
        <v>416507.5</v>
      </c>
      <c r="CV31" s="564"/>
      <c r="CW31" s="564">
        <f>SUM(CW32:CW34)</f>
        <v>373233</v>
      </c>
      <c r="CX31" s="564">
        <f>SUM(CX32:CX34)</f>
        <v>421053</v>
      </c>
      <c r="CY31" s="564">
        <f>'Nhu cầu TLCS năm 2020'!C18</f>
        <v>7806</v>
      </c>
      <c r="CZ31" s="564">
        <f>CZ7-CZ27-CZ35-CZ36</f>
        <v>421053</v>
      </c>
      <c r="DA31" s="563">
        <f t="shared" si="68"/>
        <v>4545.5</v>
      </c>
      <c r="DB31" s="564">
        <f t="shared" si="55"/>
        <v>101.09133689069225</v>
      </c>
    </row>
    <row r="32" spans="1:106" s="347" customFormat="1" ht="18.95" customHeight="1" x14ac:dyDescent="0.2">
      <c r="A32" s="345" t="s">
        <v>564</v>
      </c>
      <c r="B32" s="346" t="s">
        <v>363</v>
      </c>
      <c r="C32" s="565">
        <f t="shared" ref="C32:E34" si="70">+K32+S32+AA32+AI32+AQ32+AY32+BG32+BO32+BW32+CE32+CM32+CU32</f>
        <v>2910462</v>
      </c>
      <c r="D32" s="565">
        <f t="shared" si="70"/>
        <v>0</v>
      </c>
      <c r="E32" s="565">
        <f t="shared" si="70"/>
        <v>2910462</v>
      </c>
      <c r="F32" s="565">
        <f>SUM(N32,V32,AD32,AL32,AT32,BB32,BJ32,BR32,BZ32,CH32,CP32,CX32)</f>
        <v>2910462</v>
      </c>
      <c r="G32" s="565">
        <f t="shared" si="69"/>
        <v>1570</v>
      </c>
      <c r="H32" s="565">
        <f>SUM(P32,X32,AF32,AN32,AV32,BD32,BL32,BT32,CB32,CJ32,CR32,CZ32)</f>
        <v>2912032</v>
      </c>
      <c r="I32" s="566">
        <f>F32-C32</f>
        <v>0</v>
      </c>
      <c r="J32" s="565">
        <f t="shared" si="43"/>
        <v>100</v>
      </c>
      <c r="K32" s="565">
        <v>248862</v>
      </c>
      <c r="L32" s="565">
        <f>ROUND(L31*75%,-1)</f>
        <v>0</v>
      </c>
      <c r="M32" s="565">
        <f>L32+K32</f>
        <v>248862</v>
      </c>
      <c r="N32" s="565">
        <f>INT(K32+IF(('Thu NSH'!V43)*$C$38&lt;0,0,('Thu NSH'!V43)*$C$38))</f>
        <v>248862</v>
      </c>
      <c r="O32" s="565">
        <f>INT('Nhu cầu TLCS năm 2020'!F7*$C$50)</f>
        <v>374</v>
      </c>
      <c r="P32" s="565">
        <f>N32+O32</f>
        <v>249236</v>
      </c>
      <c r="Q32" s="566">
        <f t="shared" si="57"/>
        <v>0</v>
      </c>
      <c r="R32" s="565">
        <f t="shared" si="44"/>
        <v>100</v>
      </c>
      <c r="S32" s="565">
        <v>129396</v>
      </c>
      <c r="T32" s="565"/>
      <c r="U32" s="565">
        <f>T32+S32</f>
        <v>129396</v>
      </c>
      <c r="V32" s="565">
        <f>INT(S32+IF(('Thu NSH'!AH43)*$C$38&lt;0,0,('Thu NSH'!AH43)*$C$38))</f>
        <v>129396</v>
      </c>
      <c r="W32" s="565">
        <f>INT('Nhu cầu TLCS năm 2020'!F8*$C$50)</f>
        <v>8</v>
      </c>
      <c r="X32" s="565">
        <f>V32+W32</f>
        <v>129404</v>
      </c>
      <c r="Y32" s="566">
        <f t="shared" si="58"/>
        <v>0</v>
      </c>
      <c r="Z32" s="565">
        <f t="shared" si="45"/>
        <v>100</v>
      </c>
      <c r="AA32" s="565">
        <v>208620</v>
      </c>
      <c r="AB32" s="565">
        <f>ROUND(AB31*75%,-1)</f>
        <v>0</v>
      </c>
      <c r="AC32" s="565">
        <f>AB32+AA32</f>
        <v>208620</v>
      </c>
      <c r="AD32" s="565">
        <f>INT(AA32+IF(('Thu NSH'!AT43)*$C$38&lt;0,0,('Thu NSH'!AT43)*$C$38))</f>
        <v>208620</v>
      </c>
      <c r="AE32" s="565">
        <f>INT('Nhu cầu TLCS năm 2020'!F9*$C$50)</f>
        <v>39</v>
      </c>
      <c r="AF32" s="565">
        <f>AD32+AE32</f>
        <v>208659</v>
      </c>
      <c r="AG32" s="566">
        <f t="shared" si="59"/>
        <v>0</v>
      </c>
      <c r="AH32" s="565">
        <f t="shared" si="46"/>
        <v>100.00000000000001</v>
      </c>
      <c r="AI32" s="565">
        <v>190080</v>
      </c>
      <c r="AJ32" s="565">
        <f>ROUND(AJ31*75%,-1)</f>
        <v>0</v>
      </c>
      <c r="AK32" s="565">
        <f>AJ32+AI32</f>
        <v>190080</v>
      </c>
      <c r="AL32" s="565">
        <f>INT(AI32+IF(('Thu NSH'!BF43)*$C$38&lt;0,0,('Thu NSH'!BF43)*$C$38))</f>
        <v>190080</v>
      </c>
      <c r="AM32" s="565">
        <f>INT('Nhu cầu TLCS năm 2020'!F10*$C$50)</f>
        <v>37</v>
      </c>
      <c r="AN32" s="565">
        <f>AL32+AM32</f>
        <v>190117</v>
      </c>
      <c r="AO32" s="566">
        <f t="shared" si="60"/>
        <v>0</v>
      </c>
      <c r="AP32" s="565">
        <f t="shared" si="47"/>
        <v>100</v>
      </c>
      <c r="AQ32" s="565">
        <v>279054</v>
      </c>
      <c r="AR32" s="565">
        <f>ROUND(AR31*75%,-1)</f>
        <v>0</v>
      </c>
      <c r="AS32" s="565">
        <f>AR32+AQ32</f>
        <v>279054</v>
      </c>
      <c r="AT32" s="565">
        <f>INT(AQ32+IF(('Thu NSH'!BR43)*$C$38&lt;0,0,('Thu NSH'!BR43)*$C$38))</f>
        <v>279054</v>
      </c>
      <c r="AU32" s="565">
        <f>INT('Nhu cầu TLCS năm 2020'!F11*$C$50)</f>
        <v>6</v>
      </c>
      <c r="AV32" s="565">
        <f>AT32+AU32</f>
        <v>279060</v>
      </c>
      <c r="AW32" s="566">
        <f t="shared" si="61"/>
        <v>0</v>
      </c>
      <c r="AX32" s="565">
        <f t="shared" si="48"/>
        <v>100</v>
      </c>
      <c r="AY32" s="565">
        <v>305271</v>
      </c>
      <c r="AZ32" s="565">
        <f>ROUND(AZ31*75%,-1)</f>
        <v>0</v>
      </c>
      <c r="BA32" s="565">
        <f>AZ32+AY32</f>
        <v>305271</v>
      </c>
      <c r="BB32" s="565">
        <f>INT(AY32+IF(('Thu NSH'!CD43)*$C$38&lt;0,0,('Thu NSH'!CD43)*$C$38))</f>
        <v>305271</v>
      </c>
      <c r="BC32" s="565">
        <f>INT('Nhu cầu TLCS năm 2020'!F12*$C$50)</f>
        <v>6</v>
      </c>
      <c r="BD32" s="565">
        <f>BB32+BC32</f>
        <v>305277</v>
      </c>
      <c r="BE32" s="566">
        <f t="shared" si="62"/>
        <v>0</v>
      </c>
      <c r="BF32" s="565">
        <f t="shared" si="49"/>
        <v>100</v>
      </c>
      <c r="BG32" s="565">
        <v>324148</v>
      </c>
      <c r="BH32" s="565">
        <f>ROUND(BH31*75%,-1)</f>
        <v>0</v>
      </c>
      <c r="BI32" s="565">
        <f>BH32+BG32</f>
        <v>324148</v>
      </c>
      <c r="BJ32" s="565">
        <f>INT(BG32+IF(('Thu NSH'!CP43)*$C$38&lt;0,0,('Thu NSH'!CP43)*$C$38))</f>
        <v>324148</v>
      </c>
      <c r="BK32" s="565">
        <f>INT('Nhu cầu TLCS năm 2020'!F13*$C$50)</f>
        <v>26</v>
      </c>
      <c r="BL32" s="565">
        <f>BJ32+BK32</f>
        <v>324174</v>
      </c>
      <c r="BM32" s="566">
        <f t="shared" si="63"/>
        <v>0</v>
      </c>
      <c r="BN32" s="565">
        <f t="shared" si="50"/>
        <v>100</v>
      </c>
      <c r="BO32" s="565">
        <v>289708</v>
      </c>
      <c r="BP32" s="565">
        <f>ROUND(BP31*75%,-1)</f>
        <v>0</v>
      </c>
      <c r="BQ32" s="565">
        <f>BP32+BO32</f>
        <v>289708</v>
      </c>
      <c r="BR32" s="565">
        <f>INT(BO32+IF(('Thu NSH'!DB43)*$C$38&lt;0,0,('Thu NSH'!DB43)*$C$38))</f>
        <v>289708</v>
      </c>
      <c r="BS32" s="565">
        <f>INT('Nhu cầu TLCS năm 2020'!F14*$C$50)</f>
        <v>10</v>
      </c>
      <c r="BT32" s="565">
        <f>BR32+BS32</f>
        <v>289718</v>
      </c>
      <c r="BU32" s="566">
        <f t="shared" si="64"/>
        <v>0</v>
      </c>
      <c r="BV32" s="565">
        <f t="shared" si="51"/>
        <v>100</v>
      </c>
      <c r="BW32" s="565">
        <v>291861</v>
      </c>
      <c r="BX32" s="565">
        <f>ROUND(BX31*20%,-1)</f>
        <v>0</v>
      </c>
      <c r="BY32" s="565">
        <f>BX32+BW32</f>
        <v>291861</v>
      </c>
      <c r="BZ32" s="565">
        <f>INT(BW32+IF(('Thu NSH'!DN43)*$C$38&lt;0,0,('Thu NSH'!DN43)*$C$38))</f>
        <v>291861</v>
      </c>
      <c r="CA32" s="565">
        <f>INT('Nhu cầu TLCS năm 2020'!F15*$C$50)</f>
        <v>494</v>
      </c>
      <c r="CB32" s="565">
        <f>BZ32+CA32</f>
        <v>292355</v>
      </c>
      <c r="CC32" s="566">
        <f t="shared" si="65"/>
        <v>0</v>
      </c>
      <c r="CD32" s="565">
        <f t="shared" si="52"/>
        <v>100</v>
      </c>
      <c r="CE32" s="565">
        <v>249845</v>
      </c>
      <c r="CF32" s="565">
        <f>ROUND(CF31*75%,-1)</f>
        <v>0</v>
      </c>
      <c r="CG32" s="565">
        <f>CF32+CE32</f>
        <v>249845</v>
      </c>
      <c r="CH32" s="565">
        <f>INT(CE32+IF(('Thu NSH'!DZ43)*$C$38&lt;0,0,('Thu NSH'!DZ43)*$C$38))</f>
        <v>249845</v>
      </c>
      <c r="CI32" s="565">
        <f>INT('Nhu cầu TLCS năm 2020'!F16*$C$50)</f>
        <v>348</v>
      </c>
      <c r="CJ32" s="565">
        <f>CH32+CI32</f>
        <v>250193</v>
      </c>
      <c r="CK32" s="566">
        <f t="shared" si="66"/>
        <v>0</v>
      </c>
      <c r="CL32" s="565">
        <f t="shared" si="53"/>
        <v>100.00000000000001</v>
      </c>
      <c r="CM32" s="565">
        <v>181007</v>
      </c>
      <c r="CN32" s="565"/>
      <c r="CO32" s="565">
        <f>CN32+CM32</f>
        <v>181007</v>
      </c>
      <c r="CP32" s="565">
        <f>INT(CM32+IF(('Thu NSH'!EL43)*$C$38&lt;0,0,('Thu NSH'!EL43)*$C$38))</f>
        <v>181007</v>
      </c>
      <c r="CQ32" s="565">
        <f>INT('Nhu cầu TLCS năm 2020'!F17*$C$50)</f>
        <v>101</v>
      </c>
      <c r="CR32" s="565">
        <f>CP32+CQ32</f>
        <v>181108</v>
      </c>
      <c r="CS32" s="566">
        <f t="shared" si="67"/>
        <v>0</v>
      </c>
      <c r="CT32" s="565">
        <f t="shared" si="54"/>
        <v>100</v>
      </c>
      <c r="CU32" s="565">
        <v>212610</v>
      </c>
      <c r="CV32" s="565">
        <f>ROUND(CV31*75%,-1)</f>
        <v>0</v>
      </c>
      <c r="CW32" s="565">
        <f>CV32+CU32</f>
        <v>212610</v>
      </c>
      <c r="CX32" s="565">
        <f>INT(CU32+IF(('Thu NSH'!EX43)*$C$38&lt;0,0,('Thu NSH'!EX43)*$C$38))</f>
        <v>212610</v>
      </c>
      <c r="CY32" s="565">
        <f>INT('Nhu cầu TLCS năm 2020'!F18*$C$50)</f>
        <v>121</v>
      </c>
      <c r="CZ32" s="565">
        <f>CX32+CY32</f>
        <v>212731</v>
      </c>
      <c r="DA32" s="566">
        <f t="shared" si="68"/>
        <v>0</v>
      </c>
      <c r="DB32" s="565">
        <f t="shared" si="55"/>
        <v>100</v>
      </c>
    </row>
    <row r="33" spans="1:106" s="347" customFormat="1" ht="18.95" customHeight="1" x14ac:dyDescent="0.2">
      <c r="A33" s="345" t="s">
        <v>564</v>
      </c>
      <c r="B33" s="348" t="s">
        <v>502</v>
      </c>
      <c r="C33" s="565">
        <f t="shared" si="70"/>
        <v>81470</v>
      </c>
      <c r="D33" s="565">
        <f t="shared" si="70"/>
        <v>0</v>
      </c>
      <c r="E33" s="565">
        <f t="shared" si="70"/>
        <v>81470</v>
      </c>
      <c r="F33" s="565">
        <f t="shared" si="69"/>
        <v>81470</v>
      </c>
      <c r="G33" s="565">
        <f t="shared" si="69"/>
        <v>0</v>
      </c>
      <c r="H33" s="565">
        <f t="shared" si="69"/>
        <v>81470</v>
      </c>
      <c r="I33" s="566">
        <f t="shared" si="56"/>
        <v>0</v>
      </c>
      <c r="J33" s="565">
        <f t="shared" si="43"/>
        <v>100</v>
      </c>
      <c r="K33" s="565">
        <v>4025</v>
      </c>
      <c r="L33" s="565">
        <v>0</v>
      </c>
      <c r="M33" s="565">
        <f>L33+K33</f>
        <v>4025</v>
      </c>
      <c r="N33" s="565">
        <f>INT(K33+IF(('Thu NSH'!V43)*$C$39&lt;0,0,('Thu NSH'!V43)*$C$39))</f>
        <v>4025</v>
      </c>
      <c r="O33" s="565">
        <v>0</v>
      </c>
      <c r="P33" s="565">
        <f>N33+O33</f>
        <v>4025</v>
      </c>
      <c r="Q33" s="566">
        <f t="shared" si="57"/>
        <v>0</v>
      </c>
      <c r="R33" s="565">
        <f t="shared" si="44"/>
        <v>100</v>
      </c>
      <c r="S33" s="565">
        <v>6871</v>
      </c>
      <c r="T33" s="565">
        <v>0</v>
      </c>
      <c r="U33" s="565">
        <f>T33+S33</f>
        <v>6871</v>
      </c>
      <c r="V33" s="565">
        <f>INT(S33+IF(('Thu NSH'!AH43)*$C$39&lt;0,0,('Thu NSH'!AH43)*$C$39))</f>
        <v>6871</v>
      </c>
      <c r="W33" s="565">
        <v>0</v>
      </c>
      <c r="X33" s="565">
        <f>V33+W33</f>
        <v>6871</v>
      </c>
      <c r="Y33" s="566">
        <f t="shared" si="58"/>
        <v>0</v>
      </c>
      <c r="Z33" s="565">
        <f t="shared" si="45"/>
        <v>100.00000000000001</v>
      </c>
      <c r="AA33" s="565">
        <v>3707</v>
      </c>
      <c r="AB33" s="565">
        <v>0</v>
      </c>
      <c r="AC33" s="565">
        <f>AB33+AA33</f>
        <v>3707</v>
      </c>
      <c r="AD33" s="565">
        <f>INT(AA33+IF(('Thu NSH'!AT43)*$C$39&lt;0,0,('Thu NSH'!AT43)*$C$39))</f>
        <v>3707</v>
      </c>
      <c r="AE33" s="565">
        <v>0</v>
      </c>
      <c r="AF33" s="565">
        <f>AD33+AE33</f>
        <v>3707</v>
      </c>
      <c r="AG33" s="566">
        <f t="shared" si="59"/>
        <v>0</v>
      </c>
      <c r="AH33" s="565">
        <f t="shared" si="46"/>
        <v>100</v>
      </c>
      <c r="AI33" s="565">
        <v>3821</v>
      </c>
      <c r="AJ33" s="565">
        <v>0</v>
      </c>
      <c r="AK33" s="565">
        <f>AJ33+AI33</f>
        <v>3821</v>
      </c>
      <c r="AL33" s="565">
        <f>INT(AI33+IF(('Thu NSH'!BF43)*$C$39&lt;0,0,('Thu NSH'!BF43)*$C$39))</f>
        <v>3821</v>
      </c>
      <c r="AM33" s="565">
        <v>0</v>
      </c>
      <c r="AN33" s="565">
        <f>AL33+AM33</f>
        <v>3821</v>
      </c>
      <c r="AO33" s="566">
        <f t="shared" si="60"/>
        <v>0</v>
      </c>
      <c r="AP33" s="565">
        <f t="shared" si="47"/>
        <v>100</v>
      </c>
      <c r="AQ33" s="565">
        <v>6573</v>
      </c>
      <c r="AR33" s="565">
        <v>0</v>
      </c>
      <c r="AS33" s="565">
        <f>AR33+AQ33</f>
        <v>6573</v>
      </c>
      <c r="AT33" s="565">
        <f>INT(AQ33+IF(('Thu NSH'!BR43)*$C$39&lt;0,0,('Thu NSH'!BR43)*$C$39))</f>
        <v>6573</v>
      </c>
      <c r="AU33" s="565">
        <v>0</v>
      </c>
      <c r="AV33" s="565">
        <f>AT33+AU33</f>
        <v>6573</v>
      </c>
      <c r="AW33" s="566">
        <f t="shared" si="61"/>
        <v>0</v>
      </c>
      <c r="AX33" s="565">
        <f t="shared" si="48"/>
        <v>100</v>
      </c>
      <c r="AY33" s="565">
        <v>15103</v>
      </c>
      <c r="AZ33" s="565">
        <v>0</v>
      </c>
      <c r="BA33" s="565">
        <f>AZ33+AY33</f>
        <v>15103</v>
      </c>
      <c r="BB33" s="565">
        <f>INT(AY33+IF(('Thu NSH'!CD43)*$C$39&lt;0,0,('Thu NSH'!CD43)*$C$39))</f>
        <v>15103</v>
      </c>
      <c r="BC33" s="565"/>
      <c r="BD33" s="565">
        <f>BB33+BC33</f>
        <v>15103</v>
      </c>
      <c r="BE33" s="566">
        <f t="shared" si="62"/>
        <v>0</v>
      </c>
      <c r="BF33" s="565">
        <f t="shared" si="49"/>
        <v>100</v>
      </c>
      <c r="BG33" s="565">
        <v>6823</v>
      </c>
      <c r="BH33" s="565">
        <v>0</v>
      </c>
      <c r="BI33" s="565">
        <f>BH33+BG33</f>
        <v>6823</v>
      </c>
      <c r="BJ33" s="565">
        <f>INT(BG33+IF(('Thu NSH'!CP43)*$C$39&lt;0,0,('Thu NSH'!CP43)*$C$39))</f>
        <v>6823</v>
      </c>
      <c r="BK33" s="565">
        <v>0</v>
      </c>
      <c r="BL33" s="565">
        <f>BJ33+BK33</f>
        <v>6823</v>
      </c>
      <c r="BM33" s="566">
        <f t="shared" si="63"/>
        <v>0</v>
      </c>
      <c r="BN33" s="565">
        <f t="shared" si="50"/>
        <v>100</v>
      </c>
      <c r="BO33" s="565">
        <v>6021</v>
      </c>
      <c r="BP33" s="565">
        <v>0</v>
      </c>
      <c r="BQ33" s="565">
        <f>BP33+BO33</f>
        <v>6021</v>
      </c>
      <c r="BR33" s="565">
        <f>INT(BO33+IF(('Thu NSH'!DB43)*$C$39&lt;0,0,('Thu NSH'!DB43)*$C$39))</f>
        <v>6021</v>
      </c>
      <c r="BS33" s="565">
        <v>0</v>
      </c>
      <c r="BT33" s="565">
        <f>BR33+BS33</f>
        <v>6021</v>
      </c>
      <c r="BU33" s="566">
        <f t="shared" si="64"/>
        <v>0</v>
      </c>
      <c r="BV33" s="565">
        <f t="shared" si="51"/>
        <v>100</v>
      </c>
      <c r="BW33" s="565">
        <v>7903</v>
      </c>
      <c r="BX33" s="565">
        <v>0</v>
      </c>
      <c r="BY33" s="565">
        <f>BX33+BW33</f>
        <v>7903</v>
      </c>
      <c r="BZ33" s="565">
        <f>INT(BW33+IF(('Thu NSH'!DN43)*$C$39&lt;0,0,('Thu NSH'!DN43)*$C$39))</f>
        <v>7903</v>
      </c>
      <c r="CA33" s="565">
        <v>0</v>
      </c>
      <c r="CB33" s="565">
        <f>BZ33+CA33</f>
        <v>7903</v>
      </c>
      <c r="CC33" s="566">
        <f t="shared" si="65"/>
        <v>0</v>
      </c>
      <c r="CD33" s="565">
        <f t="shared" si="52"/>
        <v>100</v>
      </c>
      <c r="CE33" s="565">
        <v>4713</v>
      </c>
      <c r="CF33" s="565"/>
      <c r="CG33" s="565">
        <f>CF33+CE33</f>
        <v>4713</v>
      </c>
      <c r="CH33" s="565">
        <f>INT(CE33+IF(('Thu NSH'!DZ43)*$C$39&lt;0,0,('Thu NSH'!DZ43)*$C$39))</f>
        <v>4713</v>
      </c>
      <c r="CI33" s="565">
        <v>0</v>
      </c>
      <c r="CJ33" s="565">
        <f>CH33+CI33</f>
        <v>4713</v>
      </c>
      <c r="CK33" s="566">
        <f t="shared" si="66"/>
        <v>0</v>
      </c>
      <c r="CL33" s="565">
        <f t="shared" si="53"/>
        <v>100</v>
      </c>
      <c r="CM33" s="565">
        <v>11300</v>
      </c>
      <c r="CN33" s="565">
        <v>0</v>
      </c>
      <c r="CO33" s="565">
        <f>CN33+CM33</f>
        <v>11300</v>
      </c>
      <c r="CP33" s="565">
        <f>INT(CM33+IF(('Thu NSH'!EL43)*$C$39&lt;0,0,('Thu NSH'!EL43)*$C$39))</f>
        <v>11300</v>
      </c>
      <c r="CQ33" s="565">
        <v>0</v>
      </c>
      <c r="CR33" s="565">
        <f>CP33+CQ33</f>
        <v>11300</v>
      </c>
      <c r="CS33" s="566">
        <f t="shared" si="67"/>
        <v>0</v>
      </c>
      <c r="CT33" s="565">
        <f t="shared" si="54"/>
        <v>100</v>
      </c>
      <c r="CU33" s="565">
        <v>4610</v>
      </c>
      <c r="CV33" s="565">
        <v>0</v>
      </c>
      <c r="CW33" s="565">
        <f>CV33+CU33</f>
        <v>4610</v>
      </c>
      <c r="CX33" s="565">
        <f>INT(CU33+IF(('Thu NSH'!EX43)*$C$39&lt;0,0,('Thu NSH'!EX43)*$C$39))</f>
        <v>4610</v>
      </c>
      <c r="CY33" s="565">
        <v>0</v>
      </c>
      <c r="CZ33" s="565">
        <f>CX33+CY33</f>
        <v>4610</v>
      </c>
      <c r="DA33" s="566">
        <f t="shared" si="68"/>
        <v>0</v>
      </c>
      <c r="DB33" s="565">
        <f t="shared" si="55"/>
        <v>100</v>
      </c>
    </row>
    <row r="34" spans="1:106" s="347" customFormat="1" ht="18.95" customHeight="1" x14ac:dyDescent="0.2">
      <c r="A34" s="345" t="s">
        <v>564</v>
      </c>
      <c r="B34" s="346" t="s">
        <v>364</v>
      </c>
      <c r="C34" s="565">
        <f t="shared" si="70"/>
        <v>2570205</v>
      </c>
      <c r="D34" s="565">
        <f t="shared" si="70"/>
        <v>0</v>
      </c>
      <c r="E34" s="565">
        <f t="shared" si="70"/>
        <v>1938871.65</v>
      </c>
      <c r="F34" s="565">
        <f t="shared" si="69"/>
        <v>2494880</v>
      </c>
      <c r="G34" s="565">
        <f t="shared" si="69"/>
        <v>89649</v>
      </c>
      <c r="H34" s="565">
        <f t="shared" si="69"/>
        <v>2493310</v>
      </c>
      <c r="I34" s="566">
        <f>F34-C34</f>
        <v>-75325</v>
      </c>
      <c r="J34" s="565">
        <f t="shared" si="43"/>
        <v>97.069299919656217</v>
      </c>
      <c r="K34" s="565">
        <v>193807</v>
      </c>
      <c r="L34" s="565">
        <f>L31-L32-L33</f>
        <v>0</v>
      </c>
      <c r="M34" s="565">
        <f>M7-M27-M32-M33-M35-M36</f>
        <v>177260</v>
      </c>
      <c r="N34" s="565">
        <f>N31-N32-N33</f>
        <v>196994</v>
      </c>
      <c r="O34" s="565">
        <f>O31-O32-O33</f>
        <v>7782</v>
      </c>
      <c r="P34" s="565">
        <f>P31-P32-P33</f>
        <v>196620</v>
      </c>
      <c r="Q34" s="566">
        <f>N34-K34</f>
        <v>3187</v>
      </c>
      <c r="R34" s="565">
        <f t="shared" si="44"/>
        <v>101.64441944821395</v>
      </c>
      <c r="S34" s="565">
        <v>141172</v>
      </c>
      <c r="T34" s="565">
        <f>T31-T32-T33</f>
        <v>0</v>
      </c>
      <c r="U34" s="565">
        <f>U7-U27-U32-U33-U35-U36</f>
        <v>118909</v>
      </c>
      <c r="V34" s="565">
        <f>V31-V32-V33</f>
        <v>133349</v>
      </c>
      <c r="W34" s="565">
        <f>W31-W32-W33</f>
        <v>4597</v>
      </c>
      <c r="X34" s="565">
        <f>X31-X32-X33</f>
        <v>133341</v>
      </c>
      <c r="Y34" s="566">
        <f>V34-S34</f>
        <v>-7823</v>
      </c>
      <c r="Z34" s="565">
        <f t="shared" si="45"/>
        <v>94.458532853540362</v>
      </c>
      <c r="AA34" s="565">
        <v>179568</v>
      </c>
      <c r="AB34" s="565">
        <f>AB31-AB32-AB33</f>
        <v>0</v>
      </c>
      <c r="AC34" s="565">
        <f>AC7-AC27-AC32-AC33-AC35-AC36</f>
        <v>179209.65</v>
      </c>
      <c r="AD34" s="565">
        <f>AD7-AD27-AD32-AD33-AD35-AD36</f>
        <v>183710</v>
      </c>
      <c r="AE34" s="565">
        <f>AE31-AE32-AE33</f>
        <v>7603</v>
      </c>
      <c r="AF34" s="565">
        <f>AF31-AF32-AF33</f>
        <v>183671</v>
      </c>
      <c r="AG34" s="566">
        <f>AD34-AA34</f>
        <v>4142</v>
      </c>
      <c r="AH34" s="565">
        <f t="shared" si="46"/>
        <v>102.30664706406486</v>
      </c>
      <c r="AI34" s="565">
        <v>195583</v>
      </c>
      <c r="AJ34" s="565">
        <f>AJ31-AJ32-AJ33</f>
        <v>0</v>
      </c>
      <c r="AK34" s="565">
        <f>AK7-AK27-AK32-AK33-AK35-AK36</f>
        <v>142996</v>
      </c>
      <c r="AL34" s="565">
        <f>AL7-AL27-AL32-AL33-AL35-AL36</f>
        <v>204642</v>
      </c>
      <c r="AM34" s="565">
        <f>AM31-AM32-AM33</f>
        <v>7921</v>
      </c>
      <c r="AN34" s="565">
        <f>AN31-AN32-AN33</f>
        <v>204605</v>
      </c>
      <c r="AO34" s="566">
        <f>AL34-AI34</f>
        <v>9059</v>
      </c>
      <c r="AP34" s="565">
        <f t="shared" si="47"/>
        <v>104.63179315175655</v>
      </c>
      <c r="AQ34" s="565">
        <v>216498.5</v>
      </c>
      <c r="AR34" s="565">
        <f>AR31-AR32-AR33</f>
        <v>0</v>
      </c>
      <c r="AS34" s="565">
        <f>AS7-AS27-AS32-AS33-AS35-AS36</f>
        <v>170535</v>
      </c>
      <c r="AT34" s="565">
        <f>AT7-AT27-AT32-AT33-AT35-AT36</f>
        <v>208894</v>
      </c>
      <c r="AU34" s="565">
        <f>AU31-AU32-AU33</f>
        <v>9314</v>
      </c>
      <c r="AV34" s="565">
        <f>AV31-AV32-AV33</f>
        <v>208888</v>
      </c>
      <c r="AW34" s="566">
        <f>AT34-AQ34</f>
        <v>-7604.5</v>
      </c>
      <c r="AX34" s="565">
        <f t="shared" si="48"/>
        <v>96.487504532363957</v>
      </c>
      <c r="AY34" s="565">
        <v>151317</v>
      </c>
      <c r="AZ34" s="565">
        <f>AZ31-AZ32-AZ33</f>
        <v>0</v>
      </c>
      <c r="BA34" s="565">
        <f>BA7-BA27-BA32-BA33-BA35-BA36</f>
        <v>9862</v>
      </c>
      <c r="BB34" s="565">
        <f>BB7-BB27-BB32-BB33-BB35-BB36</f>
        <v>205915</v>
      </c>
      <c r="BC34" s="565"/>
      <c r="BD34" s="565">
        <f>BD31-BD32-BD33</f>
        <v>205909</v>
      </c>
      <c r="BE34" s="566">
        <f>BB34-AY34</f>
        <v>54598</v>
      </c>
      <c r="BF34" s="565">
        <f t="shared" si="49"/>
        <v>136.08186786679619</v>
      </c>
      <c r="BG34" s="565">
        <v>281127</v>
      </c>
      <c r="BH34" s="565">
        <f>BH31-BH32-BH33</f>
        <v>0</v>
      </c>
      <c r="BI34" s="565">
        <f>BI7-BI27-BI32-BI33-BI35-BI36</f>
        <v>227567</v>
      </c>
      <c r="BJ34" s="565">
        <f>BJ7-BJ27-BJ32-BJ33-BJ35-BJ36</f>
        <v>285449</v>
      </c>
      <c r="BK34" s="565">
        <f>BK31-BK32-BK33</f>
        <v>11646</v>
      </c>
      <c r="BL34" s="565">
        <f>BL31-BL32-BL33</f>
        <v>285423</v>
      </c>
      <c r="BM34" s="566">
        <f>BJ34-BG34</f>
        <v>4322</v>
      </c>
      <c r="BN34" s="565">
        <f t="shared" si="50"/>
        <v>101.53738346014435</v>
      </c>
      <c r="BO34" s="565">
        <v>243546</v>
      </c>
      <c r="BP34" s="565">
        <f>BP31-BP32-BP33</f>
        <v>0</v>
      </c>
      <c r="BQ34" s="565">
        <f>BQ7-BQ27-BQ32-BQ33-BQ35-BQ36</f>
        <v>174655.5</v>
      </c>
      <c r="BR34" s="565">
        <f>BR7-BR27-BR32-BR33-BR35-BR36</f>
        <v>240236</v>
      </c>
      <c r="BS34" s="565">
        <f>BS31-BS32-BS33</f>
        <v>9789</v>
      </c>
      <c r="BT34" s="565">
        <f>BT31-BT32-BT33</f>
        <v>240226</v>
      </c>
      <c r="BU34" s="566">
        <f>BR34-BO34</f>
        <v>-3310</v>
      </c>
      <c r="BV34" s="565">
        <f t="shared" si="51"/>
        <v>98.640913831473313</v>
      </c>
      <c r="BW34" s="565">
        <v>263162.5</v>
      </c>
      <c r="BX34" s="565">
        <f>BX31-BX32-BX33</f>
        <v>0</v>
      </c>
      <c r="BY34" s="565">
        <f>BY7-BY27-BY32-BY33-BY35-BY36</f>
        <v>185018</v>
      </c>
      <c r="BZ34" s="565">
        <f>BZ7-BZ27-BZ32-BZ33-BZ35-BZ36</f>
        <v>206057</v>
      </c>
      <c r="CA34" s="565">
        <f>CA31-CA32-CA33</f>
        <v>8912</v>
      </c>
      <c r="CB34" s="565">
        <f>CB31-CB32-CB33</f>
        <v>205563</v>
      </c>
      <c r="CC34" s="566">
        <f>BZ34-BW34</f>
        <v>-57105.5</v>
      </c>
      <c r="CD34" s="565">
        <f t="shared" si="52"/>
        <v>78.300289744929458</v>
      </c>
      <c r="CE34" s="565">
        <v>191186.5</v>
      </c>
      <c r="CF34" s="565"/>
      <c r="CG34" s="565">
        <f>CG7-CG27-CG32-CG33-CG35-CG36</f>
        <v>127146</v>
      </c>
      <c r="CH34" s="565">
        <f>CH7-CH27-CH32-CH33-CH35-CH36</f>
        <v>196848</v>
      </c>
      <c r="CI34" s="565">
        <f>CI31-CI32-CI33</f>
        <v>8365</v>
      </c>
      <c r="CJ34" s="565">
        <f>CJ31-CJ32-CJ33</f>
        <v>196500</v>
      </c>
      <c r="CK34" s="566">
        <f>CH34-CE34</f>
        <v>5661.5</v>
      </c>
      <c r="CL34" s="565">
        <f t="shared" si="53"/>
        <v>102.96124464854998</v>
      </c>
      <c r="CM34" s="565">
        <v>313950</v>
      </c>
      <c r="CN34" s="565">
        <f>CN31-CN32-CN33</f>
        <v>0</v>
      </c>
      <c r="CO34" s="565">
        <f>CO7-CO27-CO32-CO33-CO35-CO36</f>
        <v>269700.5</v>
      </c>
      <c r="CP34" s="565">
        <f>CP7-CP27-CP32-CP33-CP35-CP36</f>
        <v>228953</v>
      </c>
      <c r="CQ34" s="565">
        <f>CQ31-CQ32-CQ33</f>
        <v>6035</v>
      </c>
      <c r="CR34" s="565">
        <f>CR31-CR32-CR33</f>
        <v>228852</v>
      </c>
      <c r="CS34" s="566">
        <f>CP34-CM34</f>
        <v>-84997</v>
      </c>
      <c r="CT34" s="565">
        <f t="shared" si="54"/>
        <v>72.9265806657111</v>
      </c>
      <c r="CU34" s="565">
        <v>199287.5</v>
      </c>
      <c r="CV34" s="565"/>
      <c r="CW34" s="565">
        <f>CW7-CW27-CW32-CW33-CW35-CW36</f>
        <v>156013</v>
      </c>
      <c r="CX34" s="565">
        <f>CX7-CX27-CX32-CX33-CX35-CX36</f>
        <v>203833</v>
      </c>
      <c r="CY34" s="565">
        <f>CY31-CY32-CY33</f>
        <v>7685</v>
      </c>
      <c r="CZ34" s="565">
        <f>CZ31-CZ32-CZ33</f>
        <v>203712</v>
      </c>
      <c r="DA34" s="566">
        <f>CX34-CU34</f>
        <v>4545.5</v>
      </c>
      <c r="DB34" s="565">
        <f t="shared" si="55"/>
        <v>102.2808756193941</v>
      </c>
    </row>
    <row r="35" spans="1:106" s="342" customFormat="1" ht="18.95" customHeight="1" x14ac:dyDescent="0.2">
      <c r="A35" s="340">
        <v>3</v>
      </c>
      <c r="B35" s="341" t="s">
        <v>487</v>
      </c>
      <c r="C35" s="564">
        <f>+K35+S35+AA35+AI35+AQ35+AY35+BG35+BO35+BW35+CE35+CM35+CU35</f>
        <v>112922</v>
      </c>
      <c r="D35" s="564"/>
      <c r="E35" s="564">
        <f>+M35+U35+AC35+AK35+AS35+BA35+BI35+BQ35+BY35+CG35+CO35+CW35</f>
        <v>112922</v>
      </c>
      <c r="F35" s="564">
        <f t="shared" si="69"/>
        <v>112922</v>
      </c>
      <c r="G35" s="564">
        <f t="shared" si="69"/>
        <v>0</v>
      </c>
      <c r="H35" s="564">
        <f t="shared" si="69"/>
        <v>112922</v>
      </c>
      <c r="I35" s="563">
        <f>F35-C35</f>
        <v>0</v>
      </c>
      <c r="J35" s="564">
        <f t="shared" si="43"/>
        <v>100</v>
      </c>
      <c r="K35" s="564">
        <v>7978</v>
      </c>
      <c r="L35" s="564"/>
      <c r="M35" s="564">
        <f>K35</f>
        <v>7978</v>
      </c>
      <c r="N35" s="564">
        <f>INT(K35+IF(('Thu NSH'!V43)*$C$41&lt;0,0,('Thu NSH'!V43)*$C$41))</f>
        <v>7978</v>
      </c>
      <c r="O35" s="564"/>
      <c r="P35" s="564">
        <f>N35</f>
        <v>7978</v>
      </c>
      <c r="Q35" s="563">
        <f>N35-K35</f>
        <v>0</v>
      </c>
      <c r="R35" s="564">
        <f t="shared" si="44"/>
        <v>100</v>
      </c>
      <c r="S35" s="564">
        <v>5409</v>
      </c>
      <c r="T35" s="564"/>
      <c r="U35" s="564">
        <f>S35</f>
        <v>5409</v>
      </c>
      <c r="V35" s="564">
        <f>INT(S35+IF(('Thu NSH'!AH43)*$C$41&lt;0,0,('Thu NSH'!AH43)*$C$41))</f>
        <v>5409</v>
      </c>
      <c r="W35" s="564"/>
      <c r="X35" s="564">
        <f>V35</f>
        <v>5409</v>
      </c>
      <c r="Y35" s="563">
        <f>V35-S35</f>
        <v>0</v>
      </c>
      <c r="Z35" s="564">
        <f t="shared" si="45"/>
        <v>100</v>
      </c>
      <c r="AA35" s="564">
        <v>6796</v>
      </c>
      <c r="AB35" s="564"/>
      <c r="AC35" s="564">
        <f>AA35</f>
        <v>6796</v>
      </c>
      <c r="AD35" s="564">
        <f>INT(AA35+IF(INT('Thu NSH'!AT43*$C$41)&lt;0,0,(INT('Thu NSH'!AT43*$C$41))))</f>
        <v>6796</v>
      </c>
      <c r="AE35" s="564"/>
      <c r="AF35" s="564">
        <f>AD35</f>
        <v>6796</v>
      </c>
      <c r="AG35" s="563">
        <f>AD35-AA35</f>
        <v>0</v>
      </c>
      <c r="AH35" s="564">
        <f t="shared" si="46"/>
        <v>100.00000000000001</v>
      </c>
      <c r="AI35" s="564">
        <v>6290</v>
      </c>
      <c r="AJ35" s="564"/>
      <c r="AK35" s="564">
        <f>AI35</f>
        <v>6290</v>
      </c>
      <c r="AL35" s="564">
        <f>INT(AI35+IF(('Thu NSH'!BF43)*$C$41&lt;0,0,('Thu NSH'!BF43)*$C$41))</f>
        <v>6290</v>
      </c>
      <c r="AM35" s="564"/>
      <c r="AN35" s="564">
        <f>AL35</f>
        <v>6290</v>
      </c>
      <c r="AO35" s="563">
        <f>AL35-AI35</f>
        <v>0</v>
      </c>
      <c r="AP35" s="564">
        <f t="shared" si="47"/>
        <v>100</v>
      </c>
      <c r="AQ35" s="564">
        <v>9409</v>
      </c>
      <c r="AR35" s="564"/>
      <c r="AS35" s="564">
        <f>AQ35</f>
        <v>9409</v>
      </c>
      <c r="AT35" s="564">
        <f>INT(AQ35+IF(('Thu NSH'!BR43)*$C$41&lt;0,0,('Thu NSH'!BR43)*$C$41))</f>
        <v>9409</v>
      </c>
      <c r="AU35" s="564"/>
      <c r="AV35" s="564">
        <f>AT35</f>
        <v>9409</v>
      </c>
      <c r="AW35" s="563">
        <f>AT35-AQ35</f>
        <v>0</v>
      </c>
      <c r="AX35" s="564">
        <f t="shared" si="48"/>
        <v>100</v>
      </c>
      <c r="AY35" s="564">
        <v>18928</v>
      </c>
      <c r="AZ35" s="564"/>
      <c r="BA35" s="564">
        <f>AY35</f>
        <v>18928</v>
      </c>
      <c r="BB35" s="564">
        <f>INT(AY35+IF(('Thu NSH'!CD43)*$C$41&lt;0,0,('Thu NSH'!CD43)*$C$41))</f>
        <v>18928</v>
      </c>
      <c r="BC35" s="564"/>
      <c r="BD35" s="564">
        <f>BB35</f>
        <v>18928</v>
      </c>
      <c r="BE35" s="563">
        <f>BB35-AY35</f>
        <v>0</v>
      </c>
      <c r="BF35" s="564">
        <f t="shared" si="49"/>
        <v>100</v>
      </c>
      <c r="BG35" s="564">
        <v>10837</v>
      </c>
      <c r="BH35" s="564"/>
      <c r="BI35" s="564">
        <f>BG35</f>
        <v>10837</v>
      </c>
      <c r="BJ35" s="564">
        <f>INT(BG35+IF(('Thu NSH'!CP43)*$C$41&lt;0,0,('Thu NSH'!CP43)*$C$41))</f>
        <v>10837</v>
      </c>
      <c r="BK35" s="564"/>
      <c r="BL35" s="564">
        <f>BJ35</f>
        <v>10837</v>
      </c>
      <c r="BM35" s="563">
        <f>BJ35-BG35</f>
        <v>0</v>
      </c>
      <c r="BN35" s="564">
        <f t="shared" si="50"/>
        <v>100</v>
      </c>
      <c r="BO35" s="564">
        <v>9402</v>
      </c>
      <c r="BP35" s="564"/>
      <c r="BQ35" s="564">
        <f>BO35</f>
        <v>9402</v>
      </c>
      <c r="BR35" s="564">
        <f>INT(BO35+IF(('Thu NSH'!DB43)*$C$41&lt;0,0,('Thu NSH'!DB43)*$C$41))</f>
        <v>9402</v>
      </c>
      <c r="BS35" s="564"/>
      <c r="BT35" s="564">
        <f>BR35</f>
        <v>9402</v>
      </c>
      <c r="BU35" s="563">
        <f>BR35-BO35</f>
        <v>0</v>
      </c>
      <c r="BV35" s="564">
        <f t="shared" si="51"/>
        <v>100</v>
      </c>
      <c r="BW35" s="564">
        <v>10953</v>
      </c>
      <c r="BX35" s="564"/>
      <c r="BY35" s="564">
        <f>BW35</f>
        <v>10953</v>
      </c>
      <c r="BZ35" s="564">
        <f>INT(BW35+IF(('Thu NSH'!DN43)*$C$41&lt;0,0,('Thu NSH'!DN43)*$C$41))</f>
        <v>10953</v>
      </c>
      <c r="CA35" s="564"/>
      <c r="CB35" s="564">
        <f>BZ35</f>
        <v>10953</v>
      </c>
      <c r="CC35" s="563">
        <f>BZ35-BW35</f>
        <v>0</v>
      </c>
      <c r="CD35" s="564">
        <f t="shared" si="52"/>
        <v>100</v>
      </c>
      <c r="CE35" s="564">
        <v>8095</v>
      </c>
      <c r="CF35" s="564"/>
      <c r="CG35" s="564">
        <f>CE35</f>
        <v>8095</v>
      </c>
      <c r="CH35" s="564">
        <f>INT(CE35+IF(('Thu NSH'!DZ43)*$C$41&lt;0,0,('Thu NSH'!DZ43)*$C$41))</f>
        <v>8095</v>
      </c>
      <c r="CI35" s="564"/>
      <c r="CJ35" s="564">
        <f>CH35</f>
        <v>8095</v>
      </c>
      <c r="CK35" s="563">
        <f>CH35-CE35</f>
        <v>0</v>
      </c>
      <c r="CL35" s="564">
        <f t="shared" si="53"/>
        <v>100</v>
      </c>
      <c r="CM35" s="564">
        <v>11186</v>
      </c>
      <c r="CN35" s="564"/>
      <c r="CO35" s="564">
        <f>CM35</f>
        <v>11186</v>
      </c>
      <c r="CP35" s="564">
        <f>INT(CM35+IF(('Thu NSH'!EL43)*$C$41&lt;0,0,('Thu NSH'!EL43)*$C$41))</f>
        <v>11186</v>
      </c>
      <c r="CQ35" s="564"/>
      <c r="CR35" s="564">
        <f>CP35</f>
        <v>11186</v>
      </c>
      <c r="CS35" s="563">
        <f>CP35-CM35</f>
        <v>0</v>
      </c>
      <c r="CT35" s="564">
        <f t="shared" si="54"/>
        <v>100</v>
      </c>
      <c r="CU35" s="564">
        <v>7639</v>
      </c>
      <c r="CV35" s="564"/>
      <c r="CW35" s="564">
        <f>CU35</f>
        <v>7639</v>
      </c>
      <c r="CX35" s="564">
        <f>INT(CU35+IF(('Thu NSH'!EX43)*$C$41&lt;0,0,('Thu NSH'!EX43)*$C$41))</f>
        <v>7639</v>
      </c>
      <c r="CY35" s="564"/>
      <c r="CZ35" s="564">
        <f>CX35</f>
        <v>7639</v>
      </c>
      <c r="DA35" s="563">
        <f>CX35-CU35</f>
        <v>0</v>
      </c>
      <c r="DB35" s="564">
        <f t="shared" si="55"/>
        <v>100</v>
      </c>
    </row>
    <row r="36" spans="1:106" s="342" customFormat="1" ht="18.95" customHeight="1" thickBot="1" x14ac:dyDescent="0.25">
      <c r="A36" s="349">
        <v>4</v>
      </c>
      <c r="B36" s="350" t="s">
        <v>1509</v>
      </c>
      <c r="C36" s="568">
        <f>+K36+S36+AA36+AI36+AQ36+AY36+BG36+BO36+BW36+CE36+CM36+CU36</f>
        <v>378989</v>
      </c>
      <c r="D36" s="568"/>
      <c r="E36" s="568">
        <f>+M36+U36+AC36+AK36+AS36+BA36+BI36+BQ36+BY36+CG36+CO36+CW36</f>
        <v>383136.85</v>
      </c>
      <c r="F36" s="568">
        <f t="shared" si="69"/>
        <v>673309</v>
      </c>
      <c r="G36" s="568">
        <f t="shared" si="69"/>
        <v>0</v>
      </c>
      <c r="H36" s="568">
        <f t="shared" si="69"/>
        <v>673309</v>
      </c>
      <c r="I36" s="569">
        <f>F36-C36</f>
        <v>294320</v>
      </c>
      <c r="J36" s="568"/>
      <c r="K36" s="568">
        <v>0</v>
      </c>
      <c r="L36" s="568"/>
      <c r="M36" s="568">
        <f>'Thu NSH'!T41</f>
        <v>0</v>
      </c>
      <c r="N36" s="568">
        <f>INT(IF('CCTL nam 2020- 2021'!E33&lt;0,0,'CCTL nam 2020- 2021'!E33))+INT('Chính sách chế độ 2020-2021'!AR19)-6091</f>
        <v>0</v>
      </c>
      <c r="O36" s="568"/>
      <c r="P36" s="568">
        <f>N36</f>
        <v>0</v>
      </c>
      <c r="Q36" s="569">
        <f>N36-K36</f>
        <v>0</v>
      </c>
      <c r="R36" s="568"/>
      <c r="S36" s="568">
        <v>0</v>
      </c>
      <c r="T36" s="568"/>
      <c r="U36" s="568">
        <f>'Thu NSH'!AF41</f>
        <v>0</v>
      </c>
      <c r="V36" s="568">
        <f>INT(IF('CCTL nam 2020- 2021'!F33&lt;0,0,'CCTL nam 2020- 2021'!F33))+INT('Chính sách chế độ 2020-2021'!BM19)-897</f>
        <v>0</v>
      </c>
      <c r="W36" s="568"/>
      <c r="X36" s="568">
        <f>V36</f>
        <v>0</v>
      </c>
      <c r="Y36" s="569">
        <f>V36-S36</f>
        <v>0</v>
      </c>
      <c r="Z36" s="568"/>
      <c r="AA36" s="568">
        <v>0</v>
      </c>
      <c r="AB36" s="568"/>
      <c r="AC36" s="568">
        <f>'Thu NSH'!AR41</f>
        <v>4147.8499999999995</v>
      </c>
      <c r="AD36" s="568">
        <f>INT('Chính sách chế độ 2020-2021'!CH19)-4379-4093</f>
        <v>0</v>
      </c>
      <c r="AE36" s="568"/>
      <c r="AF36" s="568">
        <f>AD36</f>
        <v>0</v>
      </c>
      <c r="AG36" s="569">
        <f>AD36-AA36</f>
        <v>0</v>
      </c>
      <c r="AH36" s="568"/>
      <c r="AI36" s="568">
        <v>0</v>
      </c>
      <c r="AJ36" s="568"/>
      <c r="AK36" s="568">
        <f>'Thu NSH'!BD41</f>
        <v>0</v>
      </c>
      <c r="AL36" s="568">
        <f>INT(IF('CCTL nam 2020- 2021'!H33&lt;0,0,'CCTL nam 2020- 2021'!H33))+INT('Chính sách chế độ 2020-2021'!DC19)-1339-1460</f>
        <v>-80</v>
      </c>
      <c r="AM36" s="568"/>
      <c r="AN36" s="568">
        <f>AL36</f>
        <v>-80</v>
      </c>
      <c r="AO36" s="569">
        <f>AL36-AI36</f>
        <v>-80</v>
      </c>
      <c r="AP36" s="568"/>
      <c r="AQ36" s="568">
        <v>0</v>
      </c>
      <c r="AR36" s="568"/>
      <c r="AS36" s="568">
        <f>'Thu NSH'!BP41</f>
        <v>0</v>
      </c>
      <c r="AT36" s="568">
        <f>INT(IF('CCTL nam 2020- 2021'!I33&lt;0,0,'CCTL nam 2020- 2021'!I33))+INT('Chính sách chế độ 2020-2021'!DX19)</f>
        <v>0</v>
      </c>
      <c r="AU36" s="568"/>
      <c r="AV36" s="568">
        <f>AT36</f>
        <v>0</v>
      </c>
      <c r="AW36" s="569">
        <f>AT36-AQ36</f>
        <v>0</v>
      </c>
      <c r="AX36" s="568"/>
      <c r="AY36" s="568">
        <v>342020</v>
      </c>
      <c r="AZ36" s="568"/>
      <c r="BA36" s="568">
        <f>'Thu NSH'!CB41+AY36</f>
        <v>342020</v>
      </c>
      <c r="BB36" s="568">
        <f>INT(IF('CCTL nam 2020- 2021'!J33&lt;0,0,'CCTL nam 2020- 2021'!J35))+INT('Chính sách chế độ 2020-2021'!ES19)-11904</f>
        <v>526029</v>
      </c>
      <c r="BC36" s="568"/>
      <c r="BD36" s="568">
        <f>BB36</f>
        <v>526029</v>
      </c>
      <c r="BE36" s="569">
        <f>BB36-AY36</f>
        <v>184009</v>
      </c>
      <c r="BF36" s="568"/>
      <c r="BG36" s="568">
        <v>0</v>
      </c>
      <c r="BH36" s="568"/>
      <c r="BI36" s="568">
        <f>'Thu NSH'!CN41</f>
        <v>0</v>
      </c>
      <c r="BJ36" s="568">
        <f>INT(IF('CCTL nam 2020- 2021'!K33&lt;0,0,'CCTL nam 2020- 2021'!K33))+INT('Chính sách chế độ 2020-2021'!FN19)</f>
        <v>0</v>
      </c>
      <c r="BK36" s="568"/>
      <c r="BL36" s="568">
        <f>BJ36</f>
        <v>0</v>
      </c>
      <c r="BM36" s="569">
        <f>BJ36-BG36</f>
        <v>0</v>
      </c>
      <c r="BN36" s="568"/>
      <c r="BO36" s="568">
        <v>0</v>
      </c>
      <c r="BP36" s="568"/>
      <c r="BQ36" s="568">
        <f>'Thu NSH'!CZ41</f>
        <v>0</v>
      </c>
      <c r="BR36" s="568">
        <f>INT(IF('CCTL nam 2020- 2021'!L33&lt;0,0,'CCTL nam 2020- 2021'!L33))+INT('Chính sách chế độ 2020-2021'!GI19)</f>
        <v>0</v>
      </c>
      <c r="BS36" s="568"/>
      <c r="BT36" s="568">
        <f>BR36</f>
        <v>0</v>
      </c>
      <c r="BU36" s="569">
        <f>BR36-BO36</f>
        <v>0</v>
      </c>
      <c r="BV36" s="568"/>
      <c r="BW36" s="568">
        <v>0</v>
      </c>
      <c r="BX36" s="568"/>
      <c r="BY36" s="568">
        <f>INT('Thu NSH'!DL41)</f>
        <v>0</v>
      </c>
      <c r="BZ36" s="568">
        <f>INT(IF('CCTL nam 2020- 2021'!M33&lt;0,0,'CCTL nam 2020- 2021'!M33))+INT('Chính sách chế độ 2020-2021'!HD19)</f>
        <v>0</v>
      </c>
      <c r="CA36" s="568"/>
      <c r="CB36" s="568">
        <f>BZ36</f>
        <v>0</v>
      </c>
      <c r="CC36" s="569">
        <f>BZ36-BW36</f>
        <v>0</v>
      </c>
      <c r="CD36" s="568"/>
      <c r="CE36" s="568">
        <v>0</v>
      </c>
      <c r="CF36" s="568"/>
      <c r="CG36" s="568">
        <f>'Thu NSH'!DX41</f>
        <v>0</v>
      </c>
      <c r="CH36" s="568">
        <f>INT(IF('CCTL nam 2020- 2021'!N33&lt;0,0,'CCTL nam 2020- 2021'!N33))+INT('Chính sách chế độ 2020-2021'!HY19)-229</f>
        <v>0</v>
      </c>
      <c r="CI36" s="568"/>
      <c r="CJ36" s="568">
        <f>CH36</f>
        <v>0</v>
      </c>
      <c r="CK36" s="569">
        <f>CH36-CE36</f>
        <v>0</v>
      </c>
      <c r="CL36" s="568"/>
      <c r="CM36" s="568">
        <v>36969</v>
      </c>
      <c r="CN36" s="568"/>
      <c r="CO36" s="568">
        <f>'Thu NSH'!EJ41+CM36</f>
        <v>36969</v>
      </c>
      <c r="CP36" s="568">
        <f>INT(IF('CCTL nam 2020- 2021'!O33&lt;0,0,'CCTL nam 2020- 2021'!O35))+INT('Chính sách chế độ 2020-2021'!IT19)-10956</f>
        <v>147360</v>
      </c>
      <c r="CQ36" s="568"/>
      <c r="CR36" s="568">
        <f>CP36</f>
        <v>147360</v>
      </c>
      <c r="CS36" s="569">
        <f>CP36-CM36</f>
        <v>110391</v>
      </c>
      <c r="CT36" s="568"/>
      <c r="CU36" s="568">
        <v>0</v>
      </c>
      <c r="CV36" s="568"/>
      <c r="CW36" s="568">
        <f>'Thu NSH'!EV41</f>
        <v>0</v>
      </c>
      <c r="CX36" s="568">
        <f>IF('CCTL nam 2020- 2021'!P33&lt;0,0,'CCTL nam 2020- 2021'!P33)+INT('Chính sách chế độ 2020-2021'!JO19)-1548</f>
        <v>0</v>
      </c>
      <c r="CY36" s="568"/>
      <c r="CZ36" s="568">
        <f>CX36</f>
        <v>0</v>
      </c>
      <c r="DA36" s="569">
        <f>CX36-CU36</f>
        <v>0</v>
      </c>
      <c r="DB36" s="568"/>
    </row>
    <row r="37" spans="1:106" x14ac:dyDescent="0.2">
      <c r="A37" s="342" t="s">
        <v>452</v>
      </c>
    </row>
    <row r="38" spans="1:106" x14ac:dyDescent="0.2">
      <c r="A38" s="335">
        <v>1</v>
      </c>
      <c r="B38" s="321" t="s">
        <v>1206</v>
      </c>
      <c r="C38" s="791">
        <v>0</v>
      </c>
      <c r="H38" s="789"/>
      <c r="K38" s="1189"/>
      <c r="P38" s="351"/>
      <c r="S38" s="1189"/>
      <c r="AA38" s="1189"/>
      <c r="AI38" s="1189"/>
      <c r="AQ38" s="1189"/>
      <c r="AY38" s="1189"/>
      <c r="BD38" s="351"/>
      <c r="BG38" s="1189"/>
      <c r="BO38" s="1189"/>
      <c r="BW38" s="1189"/>
      <c r="CE38" s="1189"/>
      <c r="CM38" s="1189"/>
      <c r="CU38" s="1189"/>
    </row>
    <row r="39" spans="1:106" x14ac:dyDescent="0.2">
      <c r="A39" s="335">
        <v>2</v>
      </c>
      <c r="B39" s="321" t="s">
        <v>1207</v>
      </c>
      <c r="C39" s="791">
        <v>0</v>
      </c>
      <c r="H39" s="792"/>
      <c r="I39" s="351"/>
      <c r="P39" s="792"/>
      <c r="X39" s="792"/>
      <c r="AF39" s="792"/>
      <c r="AN39" s="792"/>
      <c r="AV39" s="792"/>
      <c r="BD39" s="792"/>
      <c r="BL39" s="792"/>
      <c r="BT39" s="792"/>
      <c r="CB39" s="792"/>
      <c r="CJ39" s="792"/>
      <c r="CR39" s="792"/>
      <c r="CZ39" s="792"/>
    </row>
    <row r="40" spans="1:106" x14ac:dyDescent="0.2">
      <c r="A40" s="335">
        <v>3</v>
      </c>
      <c r="B40" s="321" t="s">
        <v>1209</v>
      </c>
      <c r="C40" s="791">
        <v>0</v>
      </c>
      <c r="F40" s="792"/>
      <c r="H40" s="792"/>
      <c r="I40" s="1240"/>
      <c r="K40" s="351"/>
      <c r="BD40" s="792"/>
    </row>
    <row r="41" spans="1:106" x14ac:dyDescent="0.2">
      <c r="A41" s="335">
        <v>4</v>
      </c>
      <c r="B41" s="321" t="s">
        <v>1210</v>
      </c>
      <c r="C41" s="791">
        <v>0</v>
      </c>
      <c r="F41" s="792"/>
      <c r="H41" s="792"/>
      <c r="I41" s="1240"/>
      <c r="P41" s="792"/>
      <c r="X41" s="792"/>
      <c r="AF41" s="792"/>
      <c r="AN41" s="792"/>
      <c r="AV41" s="792"/>
      <c r="BD41" s="792"/>
      <c r="BL41" s="792"/>
      <c r="BT41" s="792"/>
      <c r="CB41" s="792"/>
      <c r="CJ41" s="792"/>
      <c r="CR41" s="792"/>
      <c r="CZ41" s="792"/>
    </row>
    <row r="42" spans="1:106" x14ac:dyDescent="0.2">
      <c r="A42" s="335">
        <v>5</v>
      </c>
      <c r="B42" s="321" t="s">
        <v>1208</v>
      </c>
      <c r="C42" s="791">
        <f>1-C38-C39-C40-C41</f>
        <v>1</v>
      </c>
    </row>
    <row r="43" spans="1:106" x14ac:dyDescent="0.2">
      <c r="B43" s="335" t="s">
        <v>28</v>
      </c>
      <c r="C43" s="790">
        <f>SUM(C38:C42)</f>
        <v>1</v>
      </c>
      <c r="F43" s="792"/>
      <c r="H43" s="789"/>
    </row>
    <row r="44" spans="1:106" x14ac:dyDescent="0.2">
      <c r="B44" s="321" t="s">
        <v>1211</v>
      </c>
      <c r="C44" s="791">
        <f>H34/C34</f>
        <v>0.97008215298001521</v>
      </c>
      <c r="F44" s="792"/>
      <c r="H44" s="351"/>
    </row>
    <row r="45" spans="1:106" x14ac:dyDescent="0.2">
      <c r="B45" s="321" t="s">
        <v>1489</v>
      </c>
      <c r="C45" s="791">
        <v>0.04</v>
      </c>
      <c r="F45" s="1260">
        <f>SUM(N45,V45,AD45,AL45,AT45,BB45,BJ45,BR45,BZ45,CH45,CP45,CX45)</f>
        <v>138594.04</v>
      </c>
      <c r="G45" s="1259"/>
      <c r="H45" s="1259"/>
      <c r="I45" s="1259"/>
      <c r="J45" s="1259"/>
      <c r="K45" s="1259"/>
      <c r="L45" s="1259"/>
      <c r="M45" s="1259"/>
      <c r="N45" s="1258">
        <f>N10*$C$45</f>
        <v>13795.24</v>
      </c>
      <c r="O45" s="1259"/>
      <c r="P45" s="1259"/>
      <c r="Q45" s="1259"/>
      <c r="R45" s="1259"/>
      <c r="S45" s="1259"/>
      <c r="T45" s="1259"/>
      <c r="U45" s="1259"/>
      <c r="V45" s="1258">
        <f>V10*$C$45</f>
        <v>7656.6</v>
      </c>
      <c r="W45" s="1259"/>
      <c r="X45" s="1259"/>
      <c r="Y45" s="1259"/>
      <c r="Z45" s="1259"/>
      <c r="AA45" s="1259"/>
      <c r="AB45" s="1259"/>
      <c r="AC45" s="1259"/>
      <c r="AD45" s="1258">
        <f>AD10*$C$45</f>
        <v>12220.76</v>
      </c>
      <c r="AE45" s="1259"/>
      <c r="AF45" s="1259"/>
      <c r="AG45" s="1259"/>
      <c r="AH45" s="1259"/>
      <c r="AI45" s="1259"/>
      <c r="AJ45" s="1259"/>
      <c r="AK45" s="1259"/>
      <c r="AL45" s="1258">
        <f>AL10*$C$45</f>
        <v>10419.48</v>
      </c>
      <c r="AM45" s="1259"/>
      <c r="AN45" s="1259"/>
      <c r="AO45" s="1259"/>
      <c r="AP45" s="1259"/>
      <c r="AQ45" s="1259"/>
      <c r="AR45" s="1259"/>
      <c r="AS45" s="1259"/>
      <c r="AT45" s="1258">
        <f>AT10*$C$45</f>
        <v>13396.12</v>
      </c>
      <c r="AU45" s="1259"/>
      <c r="AV45" s="1259"/>
      <c r="AW45" s="1259"/>
      <c r="AX45" s="1259"/>
      <c r="AY45" s="1259"/>
      <c r="AZ45" s="1259"/>
      <c r="BA45" s="1259"/>
      <c r="BB45" s="1258">
        <f>BB10*$C$45</f>
        <v>4647.88</v>
      </c>
      <c r="BC45" s="1259"/>
      <c r="BD45" s="1259"/>
      <c r="BE45" s="1259"/>
      <c r="BF45" s="1259"/>
      <c r="BG45" s="1259"/>
      <c r="BH45" s="1259"/>
      <c r="BI45" s="1259"/>
      <c r="BJ45" s="1258">
        <f>BJ10*$C$45</f>
        <v>17028.88</v>
      </c>
      <c r="BK45" s="1259"/>
      <c r="BL45" s="1259"/>
      <c r="BM45" s="1259"/>
      <c r="BN45" s="1259"/>
      <c r="BO45" s="1259"/>
      <c r="BP45" s="1259"/>
      <c r="BQ45" s="1259"/>
      <c r="BR45" s="1258">
        <f>BR10*$C$45</f>
        <v>14550.76</v>
      </c>
      <c r="BS45" s="1259"/>
      <c r="BT45" s="1259"/>
      <c r="BU45" s="1259"/>
      <c r="BV45" s="1259"/>
      <c r="BW45" s="1259"/>
      <c r="BX45" s="1259"/>
      <c r="BY45" s="1259"/>
      <c r="BZ45" s="1258">
        <f>BZ10*$C$45</f>
        <v>13741.56</v>
      </c>
      <c r="CA45" s="1259"/>
      <c r="CB45" s="1259"/>
      <c r="CC45" s="1259"/>
      <c r="CD45" s="1259"/>
      <c r="CE45" s="1259"/>
      <c r="CF45" s="1259"/>
      <c r="CG45" s="1259"/>
      <c r="CH45" s="1258">
        <f>CH10*$C$45</f>
        <v>12954.36</v>
      </c>
      <c r="CI45" s="1259"/>
      <c r="CJ45" s="1259"/>
      <c r="CK45" s="1259"/>
      <c r="CL45" s="1259"/>
      <c r="CM45" s="1259"/>
      <c r="CN45" s="1259"/>
      <c r="CO45" s="1259"/>
      <c r="CP45" s="1258">
        <f>CP10*$C$45</f>
        <v>6363.96</v>
      </c>
      <c r="CQ45" s="1259"/>
      <c r="CR45" s="1259"/>
      <c r="CS45" s="1259"/>
      <c r="CT45" s="1259"/>
      <c r="CU45" s="1259"/>
      <c r="CV45" s="1259"/>
      <c r="CW45" s="1259"/>
      <c r="CX45" s="1258">
        <f>CX10*$C$45</f>
        <v>11818.44</v>
      </c>
      <c r="CY45" s="1259"/>
      <c r="CZ45" s="1259"/>
      <c r="DA45" s="1259"/>
      <c r="DB45" s="1259"/>
    </row>
    <row r="46" spans="1:106" s="1206" customFormat="1" ht="25.5" x14ac:dyDescent="0.2">
      <c r="B46" s="1261" t="s">
        <v>1525</v>
      </c>
      <c r="F46" s="1260">
        <f>SUM(N46,V46,AD46,AL46,AT46,BB46,BJ46,BR46,BZ46,CH46,CP46,CX46)</f>
        <v>611220</v>
      </c>
      <c r="G46" s="1258"/>
      <c r="H46" s="1258"/>
      <c r="I46" s="1258"/>
      <c r="J46" s="1258"/>
      <c r="K46" s="1258"/>
      <c r="L46" s="1258"/>
      <c r="M46" s="1258"/>
      <c r="N46" s="1258">
        <f>'Thu NSH'!V39-37000</f>
        <v>2000</v>
      </c>
      <c r="O46" s="1258"/>
      <c r="P46" s="1258"/>
      <c r="Q46" s="1258"/>
      <c r="R46" s="1258"/>
      <c r="S46" s="1258"/>
      <c r="T46" s="1258"/>
      <c r="U46" s="1258"/>
      <c r="V46" s="1258">
        <f>'Thu NSH'!AH39-49600</f>
        <v>-3650</v>
      </c>
      <c r="W46" s="1258"/>
      <c r="X46" s="1258"/>
      <c r="Y46" s="1258"/>
      <c r="Z46" s="1258"/>
      <c r="AA46" s="1258"/>
      <c r="AB46" s="1258"/>
      <c r="AC46" s="1258"/>
      <c r="AD46" s="1258">
        <f>'Thu NSH'!AT39-24610</f>
        <v>10960</v>
      </c>
      <c r="AE46" s="1258"/>
      <c r="AF46" s="1258"/>
      <c r="AG46" s="1258"/>
      <c r="AH46" s="1258"/>
      <c r="AI46" s="1258"/>
      <c r="AJ46" s="1258"/>
      <c r="AK46" s="1258"/>
      <c r="AL46" s="1258">
        <f>('Thu NSH'!BF39-52140)</f>
        <v>-5760</v>
      </c>
      <c r="AM46" s="1258"/>
      <c r="AN46" s="1258"/>
      <c r="AO46" s="1258"/>
      <c r="AP46" s="1258"/>
      <c r="AQ46" s="1258"/>
      <c r="AR46" s="1258"/>
      <c r="AS46" s="1258"/>
      <c r="AT46" s="1258">
        <f>'Thu NSH'!BR39-69330</f>
        <v>46370</v>
      </c>
      <c r="AU46" s="1258"/>
      <c r="AV46" s="1258"/>
      <c r="AW46" s="1258"/>
      <c r="AX46" s="1258"/>
      <c r="AY46" s="1258"/>
      <c r="AZ46" s="1258"/>
      <c r="BA46" s="1258"/>
      <c r="BB46" s="1258">
        <f>'Thu NSH'!CD39-324940</f>
        <v>313960</v>
      </c>
      <c r="BC46" s="1258"/>
      <c r="BD46" s="1258"/>
      <c r="BE46" s="1258"/>
      <c r="BF46" s="1258"/>
      <c r="BG46" s="1258"/>
      <c r="BH46" s="1258"/>
      <c r="BI46" s="1258"/>
      <c r="BJ46" s="1258">
        <f>'Thu NSH'!CP39-73980</f>
        <v>36740</v>
      </c>
      <c r="BK46" s="1258"/>
      <c r="BL46" s="1258"/>
      <c r="BM46" s="1258"/>
      <c r="BN46" s="1258"/>
      <c r="BO46" s="1258"/>
      <c r="BP46" s="1258"/>
      <c r="BQ46" s="1258"/>
      <c r="BR46" s="1258">
        <f>'Thu NSH'!DB39-52710</f>
        <v>33010</v>
      </c>
      <c r="BS46" s="1258"/>
      <c r="BT46" s="1258"/>
      <c r="BU46" s="1258"/>
      <c r="BV46" s="1258"/>
      <c r="BW46" s="1258"/>
      <c r="BX46" s="1258"/>
      <c r="BY46" s="1258"/>
      <c r="BZ46" s="1258">
        <f>'Thu NSH'!DN39-94220</f>
        <v>30730</v>
      </c>
      <c r="CA46" s="1258"/>
      <c r="CB46" s="1258"/>
      <c r="CC46" s="1258"/>
      <c r="CD46" s="1258"/>
      <c r="CE46" s="1258"/>
      <c r="CF46" s="1258"/>
      <c r="CG46" s="1258"/>
      <c r="CH46" s="1258">
        <f>'Thu NSH'!DZ39-60420</f>
        <v>14080</v>
      </c>
      <c r="CI46" s="1258"/>
      <c r="CJ46" s="1258"/>
      <c r="CK46" s="1258"/>
      <c r="CL46" s="1258"/>
      <c r="CM46" s="1258"/>
      <c r="CN46" s="1258"/>
      <c r="CO46" s="1258"/>
      <c r="CP46" s="1258">
        <f>'Thu NSH'!EL39-219130</f>
        <v>114390</v>
      </c>
      <c r="CQ46" s="1258"/>
      <c r="CR46" s="1258"/>
      <c r="CS46" s="1258"/>
      <c r="CT46" s="1258"/>
      <c r="CU46" s="1258"/>
      <c r="CV46" s="1258"/>
      <c r="CW46" s="1258"/>
      <c r="CX46" s="1258">
        <f>'Thu NSH'!EX39-58010</f>
        <v>18390</v>
      </c>
      <c r="CY46" s="1258"/>
      <c r="CZ46" s="1258"/>
      <c r="DA46" s="1258"/>
      <c r="DB46" s="1258"/>
    </row>
    <row r="47" spans="1:106" ht="25.5" x14ac:dyDescent="0.2">
      <c r="B47" s="1261" t="s">
        <v>648</v>
      </c>
      <c r="F47" s="1260">
        <f>SUM(N47,V47,AD47,AL47,AT47,BB47,BJ47,BR47,BZ47,CH47,CP47,CX47)</f>
        <v>4705</v>
      </c>
      <c r="G47" s="1259"/>
      <c r="H47" s="1259"/>
      <c r="I47" s="1259"/>
      <c r="J47" s="1259"/>
      <c r="K47" s="1259"/>
      <c r="L47" s="1259"/>
      <c r="M47" s="1259"/>
      <c r="N47" s="1259">
        <f>N15</f>
        <v>0</v>
      </c>
      <c r="O47" s="1259"/>
      <c r="P47" s="1259"/>
      <c r="Q47" s="1259"/>
      <c r="R47" s="1259"/>
      <c r="S47" s="1259"/>
      <c r="T47" s="1259"/>
      <c r="U47" s="1259"/>
      <c r="V47" s="1259">
        <f>V15</f>
        <v>1825</v>
      </c>
      <c r="W47" s="1259"/>
      <c r="X47" s="1259"/>
      <c r="Y47" s="1259"/>
      <c r="Z47" s="1259"/>
      <c r="AA47" s="1259"/>
      <c r="AB47" s="1259"/>
      <c r="AC47" s="1259"/>
      <c r="AD47" s="1259">
        <f>AD15</f>
        <v>0</v>
      </c>
      <c r="AE47" s="1259"/>
      <c r="AF47" s="1259"/>
      <c r="AG47" s="1259"/>
      <c r="AH47" s="1259"/>
      <c r="AI47" s="1259"/>
      <c r="AJ47" s="1259"/>
      <c r="AK47" s="1259"/>
      <c r="AL47" s="1259">
        <f>AL15</f>
        <v>2880</v>
      </c>
      <c r="AM47" s="1259"/>
      <c r="AN47" s="1259"/>
      <c r="AO47" s="1259"/>
      <c r="AP47" s="1259"/>
      <c r="AQ47" s="1259"/>
      <c r="AR47" s="1259"/>
      <c r="AS47" s="1259"/>
      <c r="AT47" s="1259">
        <f>AT15</f>
        <v>0</v>
      </c>
      <c r="AU47" s="1259"/>
      <c r="AV47" s="1259"/>
      <c r="AW47" s="1259"/>
      <c r="AX47" s="1259"/>
      <c r="AY47" s="1259"/>
      <c r="AZ47" s="1259"/>
      <c r="BA47" s="1259"/>
      <c r="BB47" s="1259">
        <f>BB15</f>
        <v>0</v>
      </c>
      <c r="BC47" s="1259"/>
      <c r="BD47" s="1259"/>
      <c r="BE47" s="1259"/>
      <c r="BF47" s="1259"/>
      <c r="BG47" s="1259"/>
      <c r="BH47" s="1259"/>
      <c r="BI47" s="1259"/>
      <c r="BJ47" s="1259">
        <f>BJ15</f>
        <v>0</v>
      </c>
      <c r="BK47" s="1259"/>
      <c r="BL47" s="1259"/>
      <c r="BM47" s="1259"/>
      <c r="BN47" s="1259"/>
      <c r="BO47" s="1259"/>
      <c r="BP47" s="1259"/>
      <c r="BQ47" s="1259"/>
      <c r="BR47" s="1259">
        <f>BR15</f>
        <v>0</v>
      </c>
      <c r="BS47" s="1259"/>
      <c r="BT47" s="1259"/>
      <c r="BU47" s="1259"/>
      <c r="BV47" s="1259"/>
      <c r="BW47" s="1259"/>
      <c r="BX47" s="1259"/>
      <c r="BY47" s="1259"/>
      <c r="BZ47" s="1259">
        <f>BZ15</f>
        <v>0</v>
      </c>
      <c r="CA47" s="1259"/>
      <c r="CB47" s="1259"/>
      <c r="CC47" s="1259"/>
      <c r="CD47" s="1259"/>
      <c r="CE47" s="1259"/>
      <c r="CF47" s="1259"/>
      <c r="CG47" s="1259"/>
      <c r="CH47" s="1259">
        <f>CH15</f>
        <v>0</v>
      </c>
      <c r="CI47" s="1259"/>
      <c r="CJ47" s="1259"/>
      <c r="CK47" s="1259"/>
      <c r="CL47" s="1259"/>
      <c r="CM47" s="1259"/>
      <c r="CN47" s="1259"/>
      <c r="CO47" s="1259"/>
      <c r="CP47" s="1259">
        <f>CP15</f>
        <v>0</v>
      </c>
      <c r="CQ47" s="1259"/>
      <c r="CR47" s="1259"/>
      <c r="CS47" s="1259"/>
      <c r="CT47" s="1259"/>
      <c r="CU47" s="1259"/>
      <c r="CV47" s="1259"/>
      <c r="CW47" s="1259"/>
      <c r="CX47" s="1259">
        <f>CX15</f>
        <v>0</v>
      </c>
      <c r="CY47" s="1259"/>
      <c r="CZ47" s="1259"/>
      <c r="DA47" s="1259"/>
      <c r="DB47" s="1259"/>
    </row>
    <row r="48" spans="1:106" ht="25.5" x14ac:dyDescent="0.2">
      <c r="B48" s="1261" t="s">
        <v>1526</v>
      </c>
      <c r="F48" s="1260">
        <f>SUM(N48,V48,AD48,AL48,AT48,BB48,BJ48,BR48,BZ48,CH48,CP48,CX48)</f>
        <v>87370</v>
      </c>
      <c r="G48" s="1259"/>
      <c r="H48" s="1259"/>
      <c r="I48" s="1259"/>
      <c r="J48" s="1259"/>
      <c r="K48" s="1259"/>
      <c r="L48" s="1259"/>
      <c r="M48" s="1259"/>
      <c r="N48" s="1259">
        <f>IF('CCTL nam 2020- 2021'!E21&lt;0,-'CCTL nam 2020- 2021'!E21,0)+N15</f>
        <v>4165</v>
      </c>
      <c r="O48" s="1259"/>
      <c r="P48" s="1259"/>
      <c r="Q48" s="1259"/>
      <c r="R48" s="1259"/>
      <c r="S48" s="1259"/>
      <c r="T48" s="1259"/>
      <c r="U48" s="1259"/>
      <c r="V48" s="1259">
        <f>IF('CCTL nam 2020- 2021'!F21&lt;0,-'CCTL nam 2020- 2021'!F21,0)+V15</f>
        <v>16475</v>
      </c>
      <c r="W48" s="1259"/>
      <c r="X48" s="1259"/>
      <c r="Y48" s="1259"/>
      <c r="Z48" s="1259"/>
      <c r="AA48" s="1259"/>
      <c r="AB48" s="1259"/>
      <c r="AC48" s="1259"/>
      <c r="AD48" s="1259">
        <f>IF('CCTL nam 2020- 2021'!G21&lt;0,-'CCTL nam 2020- 2021'!G21,0)+AD15</f>
        <v>0</v>
      </c>
      <c r="AE48" s="1259"/>
      <c r="AF48" s="1259"/>
      <c r="AG48" s="1259"/>
      <c r="AH48" s="1259"/>
      <c r="AI48" s="1259"/>
      <c r="AJ48" s="1259"/>
      <c r="AK48" s="1259"/>
      <c r="AL48" s="1259">
        <f>IF('CCTL nam 2020- 2021'!H21&lt;0,-'CCTL nam 2020- 2021'!H21,0)+AL15</f>
        <v>6100</v>
      </c>
      <c r="AM48" s="1259"/>
      <c r="AN48" s="1259"/>
      <c r="AO48" s="1259"/>
      <c r="AP48" s="1259"/>
      <c r="AQ48" s="1259"/>
      <c r="AR48" s="1259"/>
      <c r="AS48" s="1259"/>
      <c r="AT48" s="1259">
        <f>IF('CCTL nam 2020- 2021'!I21&lt;0,-'CCTL nam 2020- 2021'!I21,0)+AT15</f>
        <v>3735</v>
      </c>
      <c r="AU48" s="1259"/>
      <c r="AV48" s="1259"/>
      <c r="AW48" s="1259"/>
      <c r="AX48" s="1259"/>
      <c r="AY48" s="1259"/>
      <c r="AZ48" s="1259"/>
      <c r="BA48" s="1259"/>
      <c r="BB48" s="1259">
        <f>IF('CCTL nam 2020- 2021'!J21&lt;0,-'CCTL nam 2020- 2021'!J21,0)+BB15</f>
        <v>0</v>
      </c>
      <c r="BC48" s="1259"/>
      <c r="BD48" s="1259"/>
      <c r="BE48" s="1259"/>
      <c r="BF48" s="1259"/>
      <c r="BG48" s="1259"/>
      <c r="BH48" s="1259"/>
      <c r="BI48" s="1259"/>
      <c r="BJ48" s="1259">
        <f>IF('CCTL nam 2020- 2021'!K21&lt;0,-'CCTL nam 2020- 2021'!K21,0)+BJ15</f>
        <v>4940</v>
      </c>
      <c r="BK48" s="1259"/>
      <c r="BL48" s="1259"/>
      <c r="BM48" s="1259"/>
      <c r="BN48" s="1259"/>
      <c r="BO48" s="1259"/>
      <c r="BP48" s="1259"/>
      <c r="BQ48" s="1259"/>
      <c r="BR48" s="1259">
        <f>IF('CCTL nam 2020- 2021'!L21&lt;0,-'CCTL nam 2020- 2021'!L21,0)+BR15</f>
        <v>9475</v>
      </c>
      <c r="BS48" s="1259"/>
      <c r="BT48" s="1259"/>
      <c r="BU48" s="1259"/>
      <c r="BV48" s="1259"/>
      <c r="BW48" s="1259"/>
      <c r="BX48" s="1259"/>
      <c r="BY48" s="1259"/>
      <c r="BZ48" s="1259">
        <f>IF('CCTL nam 2020- 2021'!M21&lt;0,-'CCTL nam 2020- 2021'!M21,0)+BZ15</f>
        <v>30525</v>
      </c>
      <c r="CA48" s="1259"/>
      <c r="CB48" s="1259"/>
      <c r="CC48" s="1259"/>
      <c r="CD48" s="1259"/>
      <c r="CE48" s="1259"/>
      <c r="CF48" s="1259"/>
      <c r="CG48" s="1259"/>
      <c r="CH48" s="1259">
        <f>IF('CCTL nam 2020- 2021'!N21&lt;0,-'CCTL nam 2020- 2021'!N21,0)+CH15</f>
        <v>9245</v>
      </c>
      <c r="CI48" s="1259"/>
      <c r="CJ48" s="1259"/>
      <c r="CK48" s="1259"/>
      <c r="CL48" s="1259"/>
      <c r="CM48" s="1259"/>
      <c r="CN48" s="1259"/>
      <c r="CO48" s="1259"/>
      <c r="CP48" s="1259">
        <f>IF('CCTL nam 2020- 2021'!O21&lt;0,-'CCTL nam 2020- 2021'!O21,0)+CP15</f>
        <v>0</v>
      </c>
      <c r="CQ48" s="1259"/>
      <c r="CR48" s="1259"/>
      <c r="CS48" s="1259"/>
      <c r="CT48" s="1259"/>
      <c r="CU48" s="1259"/>
      <c r="CV48" s="1259"/>
      <c r="CW48" s="1259"/>
      <c r="CX48" s="1259">
        <f>IF('CCTL nam 2020- 2021'!P21&lt;0,-'CCTL nam 2020- 2021'!P21,0)+CX15</f>
        <v>2710</v>
      </c>
      <c r="CY48" s="1259"/>
      <c r="CZ48" s="1259"/>
      <c r="DA48" s="1259"/>
      <c r="DB48" s="1259"/>
    </row>
    <row r="49" spans="2:106" ht="25.5" x14ac:dyDescent="0.2">
      <c r="B49" s="1261" t="s">
        <v>1488</v>
      </c>
      <c r="F49" s="1260">
        <f>SUM(N49,V49,AD49,AL49,AT49,BB49,BJ49,BR49,BZ49,CH49,CP49,CX49)</f>
        <v>12300</v>
      </c>
      <c r="G49" s="1259"/>
      <c r="H49" s="1259"/>
      <c r="I49" s="1259"/>
      <c r="J49" s="1259"/>
      <c r="K49" s="1259"/>
      <c r="L49" s="1259"/>
      <c r="M49" s="1259"/>
      <c r="N49" s="1259">
        <f>IF(IF((N45-N46-N47-N48)&lt;0,0,(N45-N46-N47-N48))&gt;10*$C$51,10*$C$51,IF((N45-N46-N47-N48)&lt;0,0,(N45-N46-N47-N48)))</f>
        <v>5000</v>
      </c>
      <c r="O49" s="1259"/>
      <c r="P49" s="1259"/>
      <c r="Q49" s="1259"/>
      <c r="R49" s="1259"/>
      <c r="S49" s="1259"/>
      <c r="T49" s="1259"/>
      <c r="U49" s="1259"/>
      <c r="V49" s="1259">
        <f>ROUND(IF(IF((V45-V46-V47-V48)&lt;0,0,(V45-V46-V47-V48))&gt;7*$C$51,7*$C$51,IF((V45-V46-V47-V48)&lt;0,0,(V45-V46-V47-V48))),-2)</f>
        <v>0</v>
      </c>
      <c r="W49" s="1259"/>
      <c r="X49" s="1259"/>
      <c r="Y49" s="1259"/>
      <c r="Z49" s="1259"/>
      <c r="AA49" s="1259"/>
      <c r="AB49" s="1259"/>
      <c r="AC49" s="1259"/>
      <c r="AD49" s="1259">
        <f>ROUND(IF(IF((AD45-AD46-AD47-AD48)&lt;0,0,(AD45-AD46-AD47-AD48))&gt;9*$C$51,9*$C$51,IF((AD45-AD46-AD47-AD48)&lt;0,0,(AD45-AD46-AD47-AD48))),-2)</f>
        <v>1300</v>
      </c>
      <c r="AE49" s="1259"/>
      <c r="AF49" s="1259"/>
      <c r="AG49" s="1259"/>
      <c r="AH49" s="1259"/>
      <c r="AI49" s="1259"/>
      <c r="AJ49" s="1259"/>
      <c r="AK49" s="1259"/>
      <c r="AL49" s="1259">
        <f>IF(IF((AL45-AL46-AL47-AL48)&lt;0,0,(AL45-AL46-AL47-AL48))&gt;12*$C$51,12*$C$51,IF((AL45-AL46-AL47-AL48)&lt;0,0,(AL45-AL46-AL47-AL48)))</f>
        <v>6000</v>
      </c>
      <c r="AM49" s="1259"/>
      <c r="AN49" s="1259"/>
      <c r="AO49" s="1259"/>
      <c r="AP49" s="1259"/>
      <c r="AQ49" s="1259"/>
      <c r="AR49" s="1259"/>
      <c r="AS49" s="1259"/>
      <c r="AT49" s="1259">
        <f>IF(IF((AT45-AT46-AT47-AT48)&lt;0,0,(AT45-AT46-AT47-AT48))&gt;13*$C$51,13*$C$51,IF((AT45-AT46-AT47-AT48)&lt;0,0,(AT45-AT46-AT47-AT48)))</f>
        <v>0</v>
      </c>
      <c r="AU49" s="1259"/>
      <c r="AV49" s="1259"/>
      <c r="AW49" s="1259"/>
      <c r="AX49" s="1259"/>
      <c r="AY49" s="1259"/>
      <c r="AZ49" s="1259"/>
      <c r="BA49" s="1259"/>
      <c r="BB49" s="1259">
        <f>IF(IF((BB45-BB46-BB47-BB48)&lt;0,0,(BB45-BB46-BB47-BB48))&gt;15*$C$51,15*$C$51,IF((BB45-BB46-BB47-BB48)&lt;0,0,(BB45-BB46-BB47-BB48)))</f>
        <v>0</v>
      </c>
      <c r="BC49" s="1259"/>
      <c r="BD49" s="1259"/>
      <c r="BE49" s="1259"/>
      <c r="BF49" s="1259"/>
      <c r="BG49" s="1259"/>
      <c r="BH49" s="1259"/>
      <c r="BI49" s="1259"/>
      <c r="BJ49" s="1259">
        <f>IF(IF((BJ45-BJ46-BJ47-BJ48)&lt;0,0,(BJ45-BJ46-BJ47-BJ48))&gt;18*$C$51,18*$C$51,IF((BJ45-BJ46-BJ47-BJ48)&lt;0,0,(BJ45-BJ46-BJ47-BJ48)))</f>
        <v>0</v>
      </c>
      <c r="BK49" s="1259"/>
      <c r="BL49" s="1259"/>
      <c r="BM49" s="1259"/>
      <c r="BN49" s="1259"/>
      <c r="BO49" s="1259"/>
      <c r="BP49" s="1259"/>
      <c r="BQ49" s="1259"/>
      <c r="BR49" s="1259">
        <f>IF(IF((BR45-BR46-BR47-BR48)&lt;0,0,(BR45-BR46-BR47-BR48))&gt;13*$C$51,13*$C$51,IF((BR45-BR46-BR47-BR48)&lt;0,0,(BR45-BR46-BR47-BR48)))</f>
        <v>0</v>
      </c>
      <c r="BS49" s="1259"/>
      <c r="BT49" s="1259"/>
      <c r="BU49" s="1259"/>
      <c r="BV49" s="1259"/>
      <c r="BW49" s="1259"/>
      <c r="BX49" s="1259"/>
      <c r="BY49" s="1259"/>
      <c r="BZ49" s="1259">
        <f>IF(IF((BZ45-BZ46-BZ47-BZ48)&lt;0,0,(BZ45-BZ46-BZ47-BZ48))&gt;13*$C$51,13*$C$51,IF((BZ45-BZ46-BZ47-BZ48)&lt;0,0,(BZ45-BZ46-BZ47-BZ48)))</f>
        <v>0</v>
      </c>
      <c r="CA49" s="1259"/>
      <c r="CB49" s="1259"/>
      <c r="CC49" s="1259"/>
      <c r="CD49" s="1259"/>
      <c r="CE49" s="1259"/>
      <c r="CF49" s="1259"/>
      <c r="CG49" s="1259"/>
      <c r="CH49" s="1259">
        <f>IF(IF((CH45-CH46-CH47-CH48)&lt;0,0,(CH45-CH46-CH47-CH48))&gt;12*$C$51,12*$C$51,IF((CH45-CH46-CH47-CH48)&lt;0,0,(CH45-CH46-CH47-CH48)))</f>
        <v>0</v>
      </c>
      <c r="CI49" s="1259"/>
      <c r="CJ49" s="1259"/>
      <c r="CK49" s="1259"/>
      <c r="CL49" s="1259"/>
      <c r="CM49" s="1259"/>
      <c r="CN49" s="1259"/>
      <c r="CO49" s="1259"/>
      <c r="CP49" s="1259">
        <f>IF(IF((CP45-CP46-CP47-CP48)&lt;0,0,(CP45-CP46-CP47-CP48))&gt;9*$C$51,9*$C$51,IF((CP45-CP46-CP47-CP48)&lt;0,0,(CP45-CP46-CP47-CP48)))</f>
        <v>0</v>
      </c>
      <c r="CQ49" s="1259"/>
      <c r="CR49" s="1259"/>
      <c r="CS49" s="1259"/>
      <c r="CT49" s="1259"/>
      <c r="CU49" s="1259"/>
      <c r="CV49" s="1259"/>
      <c r="CW49" s="1259"/>
      <c r="CX49" s="1259">
        <f>IF(IF((CX45-CX46-CX47-CX48)&lt;0,0,(CX45-CX46-CX47-CX48))&gt;12*$C$51,12*$C$51,IF((CX45-CX46-CX47-CX48)&lt;0,0,(CX45-CX46-CX47-CX48)))</f>
        <v>0</v>
      </c>
      <c r="CY49" s="1259"/>
      <c r="CZ49" s="1259"/>
      <c r="DA49" s="1259"/>
      <c r="DB49" s="1259"/>
    </row>
    <row r="50" spans="2:106" x14ac:dyDescent="0.2">
      <c r="B50" s="321" t="s">
        <v>1543</v>
      </c>
      <c r="C50" s="791">
        <v>1</v>
      </c>
      <c r="F50" s="792"/>
      <c r="N50" s="1206"/>
    </row>
    <row r="51" spans="2:106" x14ac:dyDescent="0.2">
      <c r="B51" s="321" t="s">
        <v>1528</v>
      </c>
      <c r="C51" s="351">
        <v>500</v>
      </c>
      <c r="F51" s="792"/>
    </row>
    <row r="52" spans="2:106" x14ac:dyDescent="0.2">
      <c r="F52" s="792"/>
    </row>
    <row r="53" spans="2:106" x14ac:dyDescent="0.2">
      <c r="F53" s="792"/>
    </row>
    <row r="54" spans="2:106" x14ac:dyDescent="0.2">
      <c r="F54" s="792"/>
    </row>
    <row r="55" spans="2:106" x14ac:dyDescent="0.2">
      <c r="F55" s="792"/>
    </row>
    <row r="56" spans="2:106" x14ac:dyDescent="0.2">
      <c r="F56" s="792"/>
    </row>
    <row r="57" spans="2:106" x14ac:dyDescent="0.2">
      <c r="F57" s="792"/>
    </row>
    <row r="58" spans="2:106" x14ac:dyDescent="0.2">
      <c r="F58" s="792"/>
    </row>
    <row r="59" spans="2:106" x14ac:dyDescent="0.2">
      <c r="F59" s="799"/>
    </row>
  </sheetData>
  <mergeCells count="67">
    <mergeCell ref="AA3:AH3"/>
    <mergeCell ref="R4:R5"/>
    <mergeCell ref="S4:U4"/>
    <mergeCell ref="V4:X4"/>
    <mergeCell ref="Y4:Y5"/>
    <mergeCell ref="A3:A5"/>
    <mergeCell ref="B3:B5"/>
    <mergeCell ref="C3:J3"/>
    <mergeCell ref="K3:R3"/>
    <mergeCell ref="S3:Z3"/>
    <mergeCell ref="CE3:CL3"/>
    <mergeCell ref="CM3:CT3"/>
    <mergeCell ref="CU3:DB3"/>
    <mergeCell ref="C4:E4"/>
    <mergeCell ref="F4:H4"/>
    <mergeCell ref="I4:I5"/>
    <mergeCell ref="J4:J5"/>
    <mergeCell ref="K4:M4"/>
    <mergeCell ref="N4:P4"/>
    <mergeCell ref="Q4:Q5"/>
    <mergeCell ref="AI3:AP3"/>
    <mergeCell ref="AQ3:AX3"/>
    <mergeCell ref="AY3:BF3"/>
    <mergeCell ref="BG3:BN3"/>
    <mergeCell ref="BO3:BV3"/>
    <mergeCell ref="BW3:CD3"/>
    <mergeCell ref="AW4:AW5"/>
    <mergeCell ref="Z4:Z5"/>
    <mergeCell ref="AA4:AC4"/>
    <mergeCell ref="AD4:AF4"/>
    <mergeCell ref="AG4:AG5"/>
    <mergeCell ref="AH4:AH5"/>
    <mergeCell ref="AI4:AK4"/>
    <mergeCell ref="AL4:AN4"/>
    <mergeCell ref="AO4:AO5"/>
    <mergeCell ref="AP4:AP5"/>
    <mergeCell ref="AQ4:AS4"/>
    <mergeCell ref="AT4:AV4"/>
    <mergeCell ref="BU4:BU5"/>
    <mergeCell ref="AX4:AX5"/>
    <mergeCell ref="AY4:BA4"/>
    <mergeCell ref="BB4:BD4"/>
    <mergeCell ref="BE4:BE5"/>
    <mergeCell ref="BF4:BF5"/>
    <mergeCell ref="BG4:BI4"/>
    <mergeCell ref="BJ4:BL4"/>
    <mergeCell ref="BM4:BM5"/>
    <mergeCell ref="BN4:BN5"/>
    <mergeCell ref="BO4:BQ4"/>
    <mergeCell ref="BR4:BT4"/>
    <mergeCell ref="CS4:CS5"/>
    <mergeCell ref="BV4:BV5"/>
    <mergeCell ref="BW4:BY4"/>
    <mergeCell ref="BZ4:CB4"/>
    <mergeCell ref="CC4:CC5"/>
    <mergeCell ref="CD4:CD5"/>
    <mergeCell ref="CE4:CG4"/>
    <mergeCell ref="CH4:CJ4"/>
    <mergeCell ref="CK4:CK5"/>
    <mergeCell ref="CL4:CL5"/>
    <mergeCell ref="CM4:CO4"/>
    <mergeCell ref="CP4:CR4"/>
    <mergeCell ref="CT4:CT5"/>
    <mergeCell ref="CU4:CW4"/>
    <mergeCell ref="CX4:CZ4"/>
    <mergeCell ref="DA4:DA5"/>
    <mergeCell ref="DB4:DB5"/>
  </mergeCells>
  <printOptions horizontalCentered="1"/>
  <pageMargins left="0.23622047244094491" right="0.47244094488188981" top="0" bottom="0.19685039370078741" header="0" footer="0.11811023622047245"/>
  <pageSetup paperSize="9" scale="97" fitToWidth="13" fitToHeight="13" orientation="landscape"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topLeftCell="A4" workbookViewId="0">
      <selection activeCell="B45" sqref="B45"/>
    </sheetView>
  </sheetViews>
  <sheetFormatPr defaultRowHeight="15.75" x14ac:dyDescent="0.25"/>
  <cols>
    <col min="1" max="1" width="4" style="209" customWidth="1"/>
    <col min="2" max="2" width="25" style="209" customWidth="1"/>
    <col min="3" max="3" width="11.5" style="209" customWidth="1"/>
    <col min="4" max="4" width="10.375" style="209" customWidth="1"/>
    <col min="5" max="5" width="10.25" style="209" customWidth="1"/>
    <col min="6" max="6" width="10.75" style="209" customWidth="1"/>
    <col min="7" max="7" width="8.625" style="209" customWidth="1"/>
    <col min="8" max="8" width="11.125" style="209" bestFit="1" customWidth="1"/>
    <col min="9" max="16384" width="9" style="209"/>
  </cols>
  <sheetData>
    <row r="1" spans="1:15" s="14" customFormat="1" hidden="1" x14ac:dyDescent="0.25">
      <c r="A1" s="1409" t="s">
        <v>796</v>
      </c>
      <c r="B1" s="1409"/>
      <c r="C1" s="460"/>
      <c r="D1" s="1409" t="s">
        <v>475</v>
      </c>
      <c r="E1" s="1409"/>
      <c r="F1" s="1409"/>
      <c r="G1" s="12"/>
      <c r="H1" s="12"/>
      <c r="I1" s="12"/>
      <c r="J1" s="12"/>
      <c r="K1" s="12"/>
      <c r="L1" s="12"/>
      <c r="M1" s="12"/>
      <c r="N1" s="12"/>
      <c r="O1" s="12"/>
    </row>
    <row r="2" spans="1:15" s="14" customFormat="1" hidden="1" x14ac:dyDescent="0.25">
      <c r="A2" s="1409" t="s">
        <v>846</v>
      </c>
      <c r="B2" s="1409"/>
      <c r="C2" s="460"/>
      <c r="D2" s="1409" t="s">
        <v>847</v>
      </c>
      <c r="E2" s="1409"/>
      <c r="F2" s="1409"/>
      <c r="G2" s="12"/>
      <c r="H2" s="12"/>
      <c r="I2" s="12"/>
      <c r="J2" s="12"/>
      <c r="K2" s="12"/>
      <c r="L2" s="12"/>
      <c r="M2" s="12"/>
      <c r="N2" s="12"/>
      <c r="O2" s="12"/>
    </row>
    <row r="3" spans="1:15" hidden="1" x14ac:dyDescent="0.25">
      <c r="A3" s="501"/>
      <c r="B3" s="501"/>
      <c r="C3" s="501"/>
      <c r="D3" s="12"/>
      <c r="E3" s="12"/>
      <c r="F3" s="12"/>
      <c r="G3" s="12"/>
      <c r="H3" s="12"/>
      <c r="I3" s="12"/>
      <c r="J3" s="12"/>
      <c r="K3" s="12"/>
      <c r="L3" s="12"/>
      <c r="M3" s="12"/>
    </row>
    <row r="5" spans="1:15" x14ac:dyDescent="0.25">
      <c r="A5" s="1472" t="s">
        <v>1594</v>
      </c>
      <c r="B5" s="1472"/>
      <c r="C5" s="1472"/>
      <c r="D5" s="1472"/>
      <c r="E5" s="1472"/>
      <c r="F5" s="1472"/>
      <c r="G5" s="1472"/>
    </row>
    <row r="7" spans="1:15" x14ac:dyDescent="0.25">
      <c r="F7" s="14"/>
    </row>
    <row r="8" spans="1:15" s="462" customFormat="1" ht="63" x14ac:dyDescent="0.25">
      <c r="A8" s="461" t="s">
        <v>519</v>
      </c>
      <c r="B8" s="461" t="s">
        <v>33</v>
      </c>
      <c r="C8" s="461" t="s">
        <v>848</v>
      </c>
      <c r="D8" s="459" t="s">
        <v>962</v>
      </c>
      <c r="E8" s="459" t="s">
        <v>1595</v>
      </c>
      <c r="F8" s="459" t="s">
        <v>1589</v>
      </c>
      <c r="G8" s="502" t="s">
        <v>1596</v>
      </c>
    </row>
    <row r="9" spans="1:15" s="14" customFormat="1" x14ac:dyDescent="0.25">
      <c r="A9" s="80">
        <v>1</v>
      </c>
      <c r="B9" s="81" t="s">
        <v>849</v>
      </c>
      <c r="C9" s="503" t="s">
        <v>239</v>
      </c>
      <c r="D9" s="504">
        <f>'Phụ lục số 1'!C51</f>
        <v>1460000</v>
      </c>
      <c r="E9" s="504">
        <f>'Phụ lục số 1'!H51</f>
        <v>1800000</v>
      </c>
      <c r="F9" s="504">
        <f>'Phụ lục số 1'!N51</f>
        <v>1500000</v>
      </c>
      <c r="G9" s="505">
        <f>100*F9/D9</f>
        <v>102.73972602739725</v>
      </c>
      <c r="H9" s="1"/>
    </row>
    <row r="10" spans="1:15" s="14" customFormat="1" x14ac:dyDescent="0.25">
      <c r="A10" s="75">
        <v>2</v>
      </c>
      <c r="B10" s="76" t="s">
        <v>850</v>
      </c>
      <c r="C10" s="506" t="s">
        <v>239</v>
      </c>
      <c r="D10" s="477">
        <f>D9</f>
        <v>1460000</v>
      </c>
      <c r="E10" s="477">
        <f>E9</f>
        <v>1800000</v>
      </c>
      <c r="F10" s="477">
        <f>F9</f>
        <v>1500000</v>
      </c>
      <c r="G10" s="507">
        <f>100*F10/D10</f>
        <v>102.73972602739725</v>
      </c>
      <c r="H10" s="1"/>
    </row>
    <row r="11" spans="1:15" x14ac:dyDescent="0.25">
      <c r="A11" s="268"/>
      <c r="B11" s="266" t="s">
        <v>375</v>
      </c>
      <c r="C11" s="506"/>
      <c r="D11" s="478"/>
      <c r="E11" s="478"/>
      <c r="F11" s="478"/>
      <c r="G11" s="508"/>
      <c r="H11" s="210"/>
    </row>
    <row r="12" spans="1:15" x14ac:dyDescent="0.25">
      <c r="A12" s="268" t="s">
        <v>564</v>
      </c>
      <c r="B12" s="266" t="s">
        <v>851</v>
      </c>
      <c r="C12" s="506" t="s">
        <v>239</v>
      </c>
      <c r="D12" s="478">
        <v>480300</v>
      </c>
      <c r="E12" s="478">
        <f>D12</f>
        <v>480300</v>
      </c>
      <c r="F12" s="478">
        <f>ROUND(E12*G9/100,-3)</f>
        <v>493000</v>
      </c>
      <c r="G12" s="508"/>
      <c r="H12" s="210"/>
    </row>
    <row r="13" spans="1:15" x14ac:dyDescent="0.25">
      <c r="A13" s="268" t="s">
        <v>852</v>
      </c>
      <c r="B13" s="266" t="s">
        <v>853</v>
      </c>
      <c r="C13" s="506" t="s">
        <v>854</v>
      </c>
      <c r="D13" s="479">
        <f>D12/D10*100</f>
        <v>32.897260273972599</v>
      </c>
      <c r="E13" s="479">
        <f>E12/E10*100</f>
        <v>26.68333333333333</v>
      </c>
      <c r="F13" s="479">
        <f>F12/F10*100</f>
        <v>32.866666666666667</v>
      </c>
      <c r="G13" s="508"/>
      <c r="H13" s="229"/>
    </row>
    <row r="14" spans="1:15" x14ac:dyDescent="0.25">
      <c r="A14" s="268" t="s">
        <v>564</v>
      </c>
      <c r="B14" s="266" t="s">
        <v>855</v>
      </c>
      <c r="C14" s="506" t="s">
        <v>239</v>
      </c>
      <c r="D14" s="478">
        <v>62400</v>
      </c>
      <c r="E14" s="478">
        <f>D14</f>
        <v>62400</v>
      </c>
      <c r="F14" s="478">
        <f>ROUND(D14*G9/100,-3)</f>
        <v>64000</v>
      </c>
      <c r="G14" s="508"/>
      <c r="H14" s="210"/>
    </row>
    <row r="15" spans="1:15" x14ac:dyDescent="0.25">
      <c r="A15" s="272" t="s">
        <v>852</v>
      </c>
      <c r="B15" s="281" t="s">
        <v>856</v>
      </c>
      <c r="C15" s="509" t="s">
        <v>854</v>
      </c>
      <c r="D15" s="510">
        <f>D14/D10*100</f>
        <v>4.2739726027397262</v>
      </c>
      <c r="E15" s="510">
        <f>E14/E10*100</f>
        <v>3.4666666666666663</v>
      </c>
      <c r="F15" s="510">
        <f>F14/F10*100</f>
        <v>4.2666666666666666</v>
      </c>
      <c r="G15" s="511"/>
      <c r="H15" s="210"/>
    </row>
  </sheetData>
  <customSheetViews>
    <customSheetView guid="{88621519-296E-4458-B04E-813E881018FE}" hiddenRows="1" state="hidden" topLeftCell="A4">
      <selection activeCell="B9" sqref="B9"/>
      <pageMargins left="0.7" right="0.7" top="0.75" bottom="0.75" header="0.3" footer="0.3"/>
      <pageSetup orientation="portrait" r:id="rId1"/>
    </customSheetView>
  </customSheetViews>
  <mergeCells count="5">
    <mergeCell ref="A1:B1"/>
    <mergeCell ref="D1:F1"/>
    <mergeCell ref="A2:B2"/>
    <mergeCell ref="D2:F2"/>
    <mergeCell ref="A5:G5"/>
  </mergeCells>
  <pageMargins left="0.7" right="0.7" top="0.75" bottom="0.75" header="0.3" footer="0.3"/>
  <pageSetup orientation="portrait"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O22"/>
  <sheetViews>
    <sheetView topLeftCell="A4" zoomScale="75" zoomScaleNormal="75" workbookViewId="0">
      <pane xSplit="2" ySplit="7" topLeftCell="C11" activePane="bottomRight" state="frozen"/>
      <selection activeCell="D13" sqref="D13"/>
      <selection pane="topRight" activeCell="D13" sqref="D13"/>
      <selection pane="bottomLeft" activeCell="D13" sqref="D13"/>
      <selection pane="bottomRight" activeCell="D13" sqref="D13"/>
    </sheetView>
  </sheetViews>
  <sheetFormatPr defaultColWidth="8" defaultRowHeight="15" x14ac:dyDescent="0.2"/>
  <cols>
    <col min="1" max="1" width="4.25" style="317" customWidth="1"/>
    <col min="2" max="2" width="40.625" style="318" customWidth="1"/>
    <col min="3" max="3" width="8.75" style="318" customWidth="1"/>
    <col min="4" max="4" width="7.625" style="318" customWidth="1"/>
    <col min="5" max="7" width="8" style="317" customWidth="1"/>
    <col min="8" max="8" width="9" style="317" customWidth="1"/>
    <col min="9" max="9" width="7.375" style="317" customWidth="1"/>
    <col min="10" max="14" width="8" style="317" customWidth="1"/>
    <col min="15" max="15" width="8.75" style="317" customWidth="1"/>
    <col min="16" max="16" width="8" style="317"/>
    <col min="17" max="17" width="8.625" style="317" bestFit="1" customWidth="1"/>
    <col min="18" max="16384" width="8" style="317"/>
  </cols>
  <sheetData>
    <row r="1" spans="1:275" ht="165" x14ac:dyDescent="0.2">
      <c r="C1" s="318" t="s">
        <v>1541</v>
      </c>
      <c r="E1" s="317" t="s">
        <v>1537</v>
      </c>
      <c r="K1" s="317" t="s">
        <v>1541</v>
      </c>
      <c r="S1" s="318" t="s">
        <v>1541</v>
      </c>
      <c r="AA1" s="318" t="s">
        <v>1541</v>
      </c>
      <c r="AD1" s="317" t="s">
        <v>1537</v>
      </c>
      <c r="AI1" s="318" t="s">
        <v>1541</v>
      </c>
      <c r="AQ1" s="318" t="s">
        <v>1541</v>
      </c>
      <c r="AY1" s="318" t="s">
        <v>1541</v>
      </c>
      <c r="BG1" s="318" t="s">
        <v>1541</v>
      </c>
      <c r="BO1" s="318" t="s">
        <v>1541</v>
      </c>
      <c r="BW1" s="318" t="s">
        <v>1541</v>
      </c>
      <c r="CE1" s="318" t="s">
        <v>1541</v>
      </c>
      <c r="CM1" s="318" t="s">
        <v>1541</v>
      </c>
      <c r="CU1" s="318" t="s">
        <v>1541</v>
      </c>
    </row>
    <row r="2" spans="1:275" ht="21.75" customHeight="1" x14ac:dyDescent="0.25">
      <c r="A2" s="1519" t="s">
        <v>1448</v>
      </c>
      <c r="B2" s="1519"/>
      <c r="C2" s="1519"/>
      <c r="D2" s="1519"/>
      <c r="E2" s="1519"/>
      <c r="F2" s="1519"/>
      <c r="G2" s="1519"/>
      <c r="H2" s="1519"/>
      <c r="I2" s="1519"/>
      <c r="J2" s="1519"/>
      <c r="K2" s="1519"/>
      <c r="L2" s="1519"/>
      <c r="M2" s="1519"/>
      <c r="N2" s="1519"/>
      <c r="O2" s="1519"/>
      <c r="P2" s="1519"/>
      <c r="Q2" s="1519"/>
      <c r="R2" s="532"/>
    </row>
    <row r="3" spans="1:275" ht="28.5" customHeight="1" x14ac:dyDescent="0.2">
      <c r="C3" s="527"/>
      <c r="D3" s="527"/>
      <c r="E3" s="528"/>
      <c r="F3" s="528"/>
      <c r="G3" s="528"/>
      <c r="H3" s="528"/>
      <c r="I3" s="528"/>
      <c r="J3" s="528"/>
      <c r="K3" s="528"/>
      <c r="L3" s="528"/>
      <c r="M3" s="528"/>
      <c r="N3" s="528"/>
      <c r="O3" s="528"/>
      <c r="P3" s="529" t="s">
        <v>516</v>
      </c>
      <c r="Q3" s="529"/>
      <c r="R3" s="529"/>
    </row>
    <row r="4" spans="1:275" s="1219" customFormat="1" ht="17.25" customHeight="1" x14ac:dyDescent="0.25">
      <c r="A4" s="1514" t="s">
        <v>519</v>
      </c>
      <c r="B4" s="1520" t="s">
        <v>1576</v>
      </c>
      <c r="C4" s="1518" t="s">
        <v>1524</v>
      </c>
      <c r="D4" s="1518"/>
      <c r="E4" s="1518"/>
      <c r="F4" s="1518"/>
      <c r="G4" s="1518"/>
      <c r="H4" s="1518"/>
      <c r="I4" s="1518"/>
      <c r="J4" s="1518"/>
      <c r="K4" s="1518"/>
      <c r="L4" s="1518"/>
      <c r="M4" s="1518"/>
      <c r="N4" s="1518"/>
      <c r="O4" s="1518"/>
      <c r="P4" s="1518"/>
      <c r="Q4" s="1518"/>
      <c r="R4" s="1518"/>
      <c r="S4" s="1518"/>
      <c r="T4" s="1518"/>
      <c r="U4" s="1518"/>
      <c r="V4" s="1518"/>
      <c r="W4" s="1518"/>
      <c r="X4" s="1518" t="s">
        <v>322</v>
      </c>
      <c r="Y4" s="1518"/>
      <c r="Z4" s="1518"/>
      <c r="AA4" s="1518"/>
      <c r="AB4" s="1518"/>
      <c r="AC4" s="1518"/>
      <c r="AD4" s="1518"/>
      <c r="AE4" s="1518"/>
      <c r="AF4" s="1518"/>
      <c r="AG4" s="1518"/>
      <c r="AH4" s="1518"/>
      <c r="AI4" s="1518"/>
      <c r="AJ4" s="1518"/>
      <c r="AK4" s="1518"/>
      <c r="AL4" s="1518"/>
      <c r="AM4" s="1518"/>
      <c r="AN4" s="1518"/>
      <c r="AO4" s="1518"/>
      <c r="AP4" s="1518"/>
      <c r="AQ4" s="1518"/>
      <c r="AR4" s="1518"/>
      <c r="AS4" s="1518" t="s">
        <v>1518</v>
      </c>
      <c r="AT4" s="1518"/>
      <c r="AU4" s="1518"/>
      <c r="AV4" s="1518"/>
      <c r="AW4" s="1518"/>
      <c r="AX4" s="1518"/>
      <c r="AY4" s="1518"/>
      <c r="AZ4" s="1518"/>
      <c r="BA4" s="1518"/>
      <c r="BB4" s="1518"/>
      <c r="BC4" s="1518"/>
      <c r="BD4" s="1518"/>
      <c r="BE4" s="1518"/>
      <c r="BF4" s="1518"/>
      <c r="BG4" s="1518"/>
      <c r="BH4" s="1518"/>
      <c r="BI4" s="1518"/>
      <c r="BJ4" s="1518"/>
      <c r="BK4" s="1518"/>
      <c r="BL4" s="1518"/>
      <c r="BM4" s="1518"/>
      <c r="BN4" s="1518" t="s">
        <v>323</v>
      </c>
      <c r="BO4" s="1518"/>
      <c r="BP4" s="1518"/>
      <c r="BQ4" s="1518"/>
      <c r="BR4" s="1518"/>
      <c r="BS4" s="1518"/>
      <c r="BT4" s="1518"/>
      <c r="BU4" s="1518"/>
      <c r="BV4" s="1518"/>
      <c r="BW4" s="1518"/>
      <c r="BX4" s="1518"/>
      <c r="BY4" s="1518"/>
      <c r="BZ4" s="1518"/>
      <c r="CA4" s="1518"/>
      <c r="CB4" s="1518"/>
      <c r="CC4" s="1518"/>
      <c r="CD4" s="1518"/>
      <c r="CE4" s="1518"/>
      <c r="CF4" s="1518"/>
      <c r="CG4" s="1518"/>
      <c r="CH4" s="1518"/>
      <c r="CI4" s="1518" t="s">
        <v>90</v>
      </c>
      <c r="CJ4" s="1518"/>
      <c r="CK4" s="1518"/>
      <c r="CL4" s="1518"/>
      <c r="CM4" s="1518"/>
      <c r="CN4" s="1518"/>
      <c r="CO4" s="1518"/>
      <c r="CP4" s="1518"/>
      <c r="CQ4" s="1518"/>
      <c r="CR4" s="1518"/>
      <c r="CS4" s="1518"/>
      <c r="CT4" s="1518"/>
      <c r="CU4" s="1518"/>
      <c r="CV4" s="1518"/>
      <c r="CW4" s="1518"/>
      <c r="CX4" s="1518"/>
      <c r="CY4" s="1518"/>
      <c r="CZ4" s="1518"/>
      <c r="DA4" s="1518"/>
      <c r="DB4" s="1518"/>
      <c r="DC4" s="1518"/>
      <c r="DD4" s="1518" t="s">
        <v>324</v>
      </c>
      <c r="DE4" s="1518"/>
      <c r="DF4" s="1518"/>
      <c r="DG4" s="1518"/>
      <c r="DH4" s="1518"/>
      <c r="DI4" s="1518"/>
      <c r="DJ4" s="1518"/>
      <c r="DK4" s="1518"/>
      <c r="DL4" s="1518"/>
      <c r="DM4" s="1518"/>
      <c r="DN4" s="1518"/>
      <c r="DO4" s="1518"/>
      <c r="DP4" s="1518"/>
      <c r="DQ4" s="1518"/>
      <c r="DR4" s="1518"/>
      <c r="DS4" s="1518"/>
      <c r="DT4" s="1518"/>
      <c r="DU4" s="1518"/>
      <c r="DV4" s="1518"/>
      <c r="DW4" s="1518"/>
      <c r="DX4" s="1518"/>
      <c r="DY4" s="1518" t="s">
        <v>54</v>
      </c>
      <c r="DZ4" s="1518"/>
      <c r="EA4" s="1518"/>
      <c r="EB4" s="1518"/>
      <c r="EC4" s="1518"/>
      <c r="ED4" s="1518"/>
      <c r="EE4" s="1518"/>
      <c r="EF4" s="1518"/>
      <c r="EG4" s="1518"/>
      <c r="EH4" s="1518"/>
      <c r="EI4" s="1518"/>
      <c r="EJ4" s="1518"/>
      <c r="EK4" s="1518"/>
      <c r="EL4" s="1518"/>
      <c r="EM4" s="1518"/>
      <c r="EN4" s="1518"/>
      <c r="EO4" s="1518"/>
      <c r="EP4" s="1518"/>
      <c r="EQ4" s="1518"/>
      <c r="ER4" s="1518"/>
      <c r="ES4" s="1518"/>
      <c r="ET4" s="1518" t="s">
        <v>55</v>
      </c>
      <c r="EU4" s="1518"/>
      <c r="EV4" s="1518"/>
      <c r="EW4" s="1518"/>
      <c r="EX4" s="1518"/>
      <c r="EY4" s="1518"/>
      <c r="EZ4" s="1518"/>
      <c r="FA4" s="1518"/>
      <c r="FB4" s="1518"/>
      <c r="FC4" s="1518"/>
      <c r="FD4" s="1518"/>
      <c r="FE4" s="1518"/>
      <c r="FF4" s="1518"/>
      <c r="FG4" s="1518"/>
      <c r="FH4" s="1518"/>
      <c r="FI4" s="1518"/>
      <c r="FJ4" s="1518"/>
      <c r="FK4" s="1518"/>
      <c r="FL4" s="1518"/>
      <c r="FM4" s="1518"/>
      <c r="FN4" s="1518"/>
      <c r="FO4" s="1518" t="s">
        <v>25</v>
      </c>
      <c r="FP4" s="1518"/>
      <c r="FQ4" s="1518"/>
      <c r="FR4" s="1518"/>
      <c r="FS4" s="1518"/>
      <c r="FT4" s="1518"/>
      <c r="FU4" s="1518"/>
      <c r="FV4" s="1518"/>
      <c r="FW4" s="1518"/>
      <c r="FX4" s="1518"/>
      <c r="FY4" s="1518"/>
      <c r="FZ4" s="1518"/>
      <c r="GA4" s="1518"/>
      <c r="GB4" s="1518"/>
      <c r="GC4" s="1518"/>
      <c r="GD4" s="1518"/>
      <c r="GE4" s="1518"/>
      <c r="GF4" s="1518"/>
      <c r="GG4" s="1518"/>
      <c r="GH4" s="1518"/>
      <c r="GI4" s="1518"/>
      <c r="GJ4" s="1518" t="s">
        <v>26</v>
      </c>
      <c r="GK4" s="1518"/>
      <c r="GL4" s="1518"/>
      <c r="GM4" s="1518"/>
      <c r="GN4" s="1518"/>
      <c r="GO4" s="1518"/>
      <c r="GP4" s="1518"/>
      <c r="GQ4" s="1518"/>
      <c r="GR4" s="1518"/>
      <c r="GS4" s="1518"/>
      <c r="GT4" s="1518"/>
      <c r="GU4" s="1518"/>
      <c r="GV4" s="1518"/>
      <c r="GW4" s="1518"/>
      <c r="GX4" s="1518"/>
      <c r="GY4" s="1518"/>
      <c r="GZ4" s="1518"/>
      <c r="HA4" s="1518"/>
      <c r="HB4" s="1518"/>
      <c r="HC4" s="1518"/>
      <c r="HD4" s="1518"/>
      <c r="HE4" s="1518" t="s">
        <v>326</v>
      </c>
      <c r="HF4" s="1518"/>
      <c r="HG4" s="1518"/>
      <c r="HH4" s="1518"/>
      <c r="HI4" s="1518"/>
      <c r="HJ4" s="1518"/>
      <c r="HK4" s="1518"/>
      <c r="HL4" s="1518"/>
      <c r="HM4" s="1518"/>
      <c r="HN4" s="1518"/>
      <c r="HO4" s="1518"/>
      <c r="HP4" s="1518"/>
      <c r="HQ4" s="1518"/>
      <c r="HR4" s="1518"/>
      <c r="HS4" s="1518"/>
      <c r="HT4" s="1518"/>
      <c r="HU4" s="1518"/>
      <c r="HV4" s="1518"/>
      <c r="HW4" s="1518"/>
      <c r="HX4" s="1518"/>
      <c r="HY4" s="1518"/>
      <c r="HZ4" s="1518" t="s">
        <v>150</v>
      </c>
      <c r="IA4" s="1518"/>
      <c r="IB4" s="1518"/>
      <c r="IC4" s="1518"/>
      <c r="ID4" s="1518"/>
      <c r="IE4" s="1518"/>
      <c r="IF4" s="1518"/>
      <c r="IG4" s="1518"/>
      <c r="IH4" s="1518"/>
      <c r="II4" s="1518"/>
      <c r="IJ4" s="1518"/>
      <c r="IK4" s="1518"/>
      <c r="IL4" s="1518"/>
      <c r="IM4" s="1518"/>
      <c r="IN4" s="1518"/>
      <c r="IO4" s="1518"/>
      <c r="IP4" s="1518"/>
      <c r="IQ4" s="1518"/>
      <c r="IR4" s="1518"/>
      <c r="IS4" s="1518"/>
      <c r="IT4" s="1518"/>
      <c r="IU4" s="1518" t="s">
        <v>327</v>
      </c>
      <c r="IV4" s="1518"/>
      <c r="IW4" s="1518"/>
      <c r="IX4" s="1518"/>
      <c r="IY4" s="1518"/>
      <c r="IZ4" s="1518"/>
      <c r="JA4" s="1518"/>
      <c r="JB4" s="1518"/>
      <c r="JC4" s="1518"/>
      <c r="JD4" s="1518"/>
      <c r="JE4" s="1518"/>
      <c r="JF4" s="1518"/>
      <c r="JG4" s="1518"/>
      <c r="JH4" s="1518"/>
      <c r="JI4" s="1518"/>
      <c r="JJ4" s="1518"/>
      <c r="JK4" s="1518"/>
      <c r="JL4" s="1518"/>
      <c r="JM4" s="1518"/>
      <c r="JN4" s="1518"/>
      <c r="JO4" s="1518"/>
    </row>
    <row r="5" spans="1:275" s="1219" customFormat="1" ht="17.25" customHeight="1" x14ac:dyDescent="0.25">
      <c r="A5" s="1514"/>
      <c r="B5" s="1520"/>
      <c r="C5" s="1514" t="s">
        <v>1449</v>
      </c>
      <c r="D5" s="1514"/>
      <c r="E5" s="1520" t="s">
        <v>1450</v>
      </c>
      <c r="F5" s="1522"/>
      <c r="G5" s="1522"/>
      <c r="H5" s="1522"/>
      <c r="I5" s="1522"/>
      <c r="J5" s="1522"/>
      <c r="K5" s="1522"/>
      <c r="L5" s="1522"/>
      <c r="M5" s="1522"/>
      <c r="N5" s="1522"/>
      <c r="O5" s="1522"/>
      <c r="P5" s="1523"/>
      <c r="Q5" s="1514" t="s">
        <v>1451</v>
      </c>
      <c r="R5" s="1514"/>
      <c r="S5" s="1514"/>
      <c r="T5" s="1514"/>
      <c r="U5" s="1514"/>
      <c r="V5" s="1514"/>
      <c r="W5" s="1514"/>
      <c r="X5" s="1514" t="s">
        <v>1449</v>
      </c>
      <c r="Y5" s="1514"/>
      <c r="Z5" s="1520" t="s">
        <v>1450</v>
      </c>
      <c r="AA5" s="1522"/>
      <c r="AB5" s="1522"/>
      <c r="AC5" s="1522"/>
      <c r="AD5" s="1522"/>
      <c r="AE5" s="1522"/>
      <c r="AF5" s="1522"/>
      <c r="AG5" s="1522"/>
      <c r="AH5" s="1522"/>
      <c r="AI5" s="1522"/>
      <c r="AJ5" s="1522"/>
      <c r="AK5" s="1523"/>
      <c r="AL5" s="1514" t="s">
        <v>1451</v>
      </c>
      <c r="AM5" s="1514"/>
      <c r="AN5" s="1514"/>
      <c r="AO5" s="1514"/>
      <c r="AP5" s="1514"/>
      <c r="AQ5" s="1514"/>
      <c r="AR5" s="1514"/>
      <c r="AS5" s="1514" t="s">
        <v>1449</v>
      </c>
      <c r="AT5" s="1514"/>
      <c r="AU5" s="1520" t="s">
        <v>1450</v>
      </c>
      <c r="AV5" s="1522"/>
      <c r="AW5" s="1522"/>
      <c r="AX5" s="1522"/>
      <c r="AY5" s="1522"/>
      <c r="AZ5" s="1522"/>
      <c r="BA5" s="1522"/>
      <c r="BB5" s="1522"/>
      <c r="BC5" s="1522"/>
      <c r="BD5" s="1522"/>
      <c r="BE5" s="1522"/>
      <c r="BF5" s="1522"/>
      <c r="BG5" s="1514" t="s">
        <v>1451</v>
      </c>
      <c r="BH5" s="1514"/>
      <c r="BI5" s="1514"/>
      <c r="BJ5" s="1514"/>
      <c r="BK5" s="1514"/>
      <c r="BL5" s="1514"/>
      <c r="BM5" s="1514"/>
      <c r="BN5" s="1514" t="s">
        <v>1449</v>
      </c>
      <c r="BO5" s="1514"/>
      <c r="BP5" s="1520" t="s">
        <v>1450</v>
      </c>
      <c r="BQ5" s="1522"/>
      <c r="BR5" s="1522"/>
      <c r="BS5" s="1522"/>
      <c r="BT5" s="1522"/>
      <c r="BU5" s="1522"/>
      <c r="BV5" s="1522"/>
      <c r="BW5" s="1522"/>
      <c r="BX5" s="1522"/>
      <c r="BY5" s="1522"/>
      <c r="BZ5" s="1522"/>
      <c r="CA5" s="1523"/>
      <c r="CB5" s="1514" t="s">
        <v>1451</v>
      </c>
      <c r="CC5" s="1514"/>
      <c r="CD5" s="1514"/>
      <c r="CE5" s="1514"/>
      <c r="CF5" s="1514"/>
      <c r="CG5" s="1514"/>
      <c r="CH5" s="1514"/>
      <c r="CI5" s="1514" t="s">
        <v>1449</v>
      </c>
      <c r="CJ5" s="1514"/>
      <c r="CK5" s="1520" t="s">
        <v>1450</v>
      </c>
      <c r="CL5" s="1522"/>
      <c r="CM5" s="1522"/>
      <c r="CN5" s="1522"/>
      <c r="CO5" s="1522"/>
      <c r="CP5" s="1522"/>
      <c r="CQ5" s="1522"/>
      <c r="CR5" s="1522"/>
      <c r="CS5" s="1522"/>
      <c r="CT5" s="1522"/>
      <c r="CU5" s="1522"/>
      <c r="CV5" s="1523"/>
      <c r="CW5" s="1514" t="s">
        <v>1451</v>
      </c>
      <c r="CX5" s="1514"/>
      <c r="CY5" s="1514"/>
      <c r="CZ5" s="1514"/>
      <c r="DA5" s="1514"/>
      <c r="DB5" s="1514"/>
      <c r="DC5" s="1514"/>
      <c r="DD5" s="1514" t="s">
        <v>1449</v>
      </c>
      <c r="DE5" s="1514"/>
      <c r="DF5" s="1520" t="s">
        <v>1450</v>
      </c>
      <c r="DG5" s="1522"/>
      <c r="DH5" s="1522"/>
      <c r="DI5" s="1522"/>
      <c r="DJ5" s="1522"/>
      <c r="DK5" s="1522"/>
      <c r="DL5" s="1522"/>
      <c r="DM5" s="1522"/>
      <c r="DN5" s="1522"/>
      <c r="DO5" s="1522"/>
      <c r="DP5" s="1522"/>
      <c r="DQ5" s="1523"/>
      <c r="DR5" s="1514" t="s">
        <v>1451</v>
      </c>
      <c r="DS5" s="1514"/>
      <c r="DT5" s="1514"/>
      <c r="DU5" s="1514"/>
      <c r="DV5" s="1514"/>
      <c r="DW5" s="1514"/>
      <c r="DX5" s="1514"/>
      <c r="DY5" s="1514" t="s">
        <v>1449</v>
      </c>
      <c r="DZ5" s="1514"/>
      <c r="EA5" s="1520" t="s">
        <v>1450</v>
      </c>
      <c r="EB5" s="1522"/>
      <c r="EC5" s="1522"/>
      <c r="ED5" s="1522"/>
      <c r="EE5" s="1522"/>
      <c r="EF5" s="1522"/>
      <c r="EG5" s="1522"/>
      <c r="EH5" s="1522"/>
      <c r="EI5" s="1522"/>
      <c r="EJ5" s="1522"/>
      <c r="EK5" s="1522"/>
      <c r="EL5" s="1523"/>
      <c r="EM5" s="1514" t="s">
        <v>1451</v>
      </c>
      <c r="EN5" s="1514"/>
      <c r="EO5" s="1514"/>
      <c r="EP5" s="1514"/>
      <c r="EQ5" s="1514"/>
      <c r="ER5" s="1514"/>
      <c r="ES5" s="1514"/>
      <c r="ET5" s="1514" t="s">
        <v>1449</v>
      </c>
      <c r="EU5" s="1514"/>
      <c r="EV5" s="1520" t="s">
        <v>1450</v>
      </c>
      <c r="EW5" s="1522"/>
      <c r="EX5" s="1522"/>
      <c r="EY5" s="1522"/>
      <c r="EZ5" s="1522"/>
      <c r="FA5" s="1522"/>
      <c r="FB5" s="1522"/>
      <c r="FC5" s="1522"/>
      <c r="FD5" s="1522"/>
      <c r="FE5" s="1522"/>
      <c r="FF5" s="1522"/>
      <c r="FG5" s="1523"/>
      <c r="FH5" s="1514" t="s">
        <v>1451</v>
      </c>
      <c r="FI5" s="1514"/>
      <c r="FJ5" s="1514"/>
      <c r="FK5" s="1514"/>
      <c r="FL5" s="1514"/>
      <c r="FM5" s="1514"/>
      <c r="FN5" s="1514"/>
      <c r="FO5" s="1514" t="s">
        <v>1449</v>
      </c>
      <c r="FP5" s="1514"/>
      <c r="FQ5" s="1520" t="s">
        <v>1450</v>
      </c>
      <c r="FR5" s="1522"/>
      <c r="FS5" s="1522"/>
      <c r="FT5" s="1522"/>
      <c r="FU5" s="1522"/>
      <c r="FV5" s="1522"/>
      <c r="FW5" s="1522"/>
      <c r="FX5" s="1522"/>
      <c r="FY5" s="1522"/>
      <c r="FZ5" s="1522"/>
      <c r="GA5" s="1522"/>
      <c r="GB5" s="1523"/>
      <c r="GC5" s="1514" t="s">
        <v>1451</v>
      </c>
      <c r="GD5" s="1514"/>
      <c r="GE5" s="1514"/>
      <c r="GF5" s="1514"/>
      <c r="GG5" s="1514"/>
      <c r="GH5" s="1514"/>
      <c r="GI5" s="1514"/>
      <c r="GJ5" s="1514" t="s">
        <v>1449</v>
      </c>
      <c r="GK5" s="1514"/>
      <c r="GL5" s="1520" t="s">
        <v>1450</v>
      </c>
      <c r="GM5" s="1522"/>
      <c r="GN5" s="1522"/>
      <c r="GO5" s="1522"/>
      <c r="GP5" s="1522"/>
      <c r="GQ5" s="1522"/>
      <c r="GR5" s="1522"/>
      <c r="GS5" s="1522"/>
      <c r="GT5" s="1522"/>
      <c r="GU5" s="1522"/>
      <c r="GV5" s="1522"/>
      <c r="GW5" s="1523"/>
      <c r="GX5" s="1514" t="s">
        <v>1451</v>
      </c>
      <c r="GY5" s="1514"/>
      <c r="GZ5" s="1514"/>
      <c r="HA5" s="1514"/>
      <c r="HB5" s="1514"/>
      <c r="HC5" s="1514"/>
      <c r="HD5" s="1514"/>
      <c r="HE5" s="1514" t="s">
        <v>1449</v>
      </c>
      <c r="HF5" s="1514"/>
      <c r="HG5" s="1520" t="s">
        <v>1450</v>
      </c>
      <c r="HH5" s="1522"/>
      <c r="HI5" s="1522"/>
      <c r="HJ5" s="1522"/>
      <c r="HK5" s="1522"/>
      <c r="HL5" s="1522"/>
      <c r="HM5" s="1522"/>
      <c r="HN5" s="1522"/>
      <c r="HO5" s="1522"/>
      <c r="HP5" s="1522"/>
      <c r="HQ5" s="1522"/>
      <c r="HR5" s="1523"/>
      <c r="HS5" s="1514" t="s">
        <v>1451</v>
      </c>
      <c r="HT5" s="1514"/>
      <c r="HU5" s="1514"/>
      <c r="HV5" s="1514"/>
      <c r="HW5" s="1514"/>
      <c r="HX5" s="1514"/>
      <c r="HY5" s="1514"/>
      <c r="HZ5" s="1514" t="s">
        <v>1449</v>
      </c>
      <c r="IA5" s="1514"/>
      <c r="IB5" s="1520" t="s">
        <v>1450</v>
      </c>
      <c r="IC5" s="1522"/>
      <c r="ID5" s="1522"/>
      <c r="IE5" s="1522"/>
      <c r="IF5" s="1522"/>
      <c r="IG5" s="1522"/>
      <c r="IH5" s="1522"/>
      <c r="II5" s="1522"/>
      <c r="IJ5" s="1522"/>
      <c r="IK5" s="1522"/>
      <c r="IL5" s="1522"/>
      <c r="IM5" s="1523"/>
      <c r="IN5" s="1514" t="s">
        <v>1451</v>
      </c>
      <c r="IO5" s="1514"/>
      <c r="IP5" s="1514"/>
      <c r="IQ5" s="1514"/>
      <c r="IR5" s="1514"/>
      <c r="IS5" s="1514"/>
      <c r="IT5" s="1514"/>
      <c r="IU5" s="1514" t="s">
        <v>1449</v>
      </c>
      <c r="IV5" s="1514"/>
      <c r="IW5" s="1520" t="s">
        <v>1450</v>
      </c>
      <c r="IX5" s="1522"/>
      <c r="IY5" s="1522"/>
      <c r="IZ5" s="1522"/>
      <c r="JA5" s="1522"/>
      <c r="JB5" s="1522"/>
      <c r="JC5" s="1522"/>
      <c r="JD5" s="1522"/>
      <c r="JE5" s="1522"/>
      <c r="JF5" s="1522"/>
      <c r="JG5" s="1522"/>
      <c r="JH5" s="1523"/>
      <c r="JI5" s="1514" t="s">
        <v>1451</v>
      </c>
      <c r="JJ5" s="1514"/>
      <c r="JK5" s="1514"/>
      <c r="JL5" s="1514"/>
      <c r="JM5" s="1514"/>
      <c r="JN5" s="1514"/>
      <c r="JO5" s="1514"/>
    </row>
    <row r="6" spans="1:275" s="1219" customFormat="1" ht="17.25" customHeight="1" x14ac:dyDescent="0.25">
      <c r="A6" s="1514"/>
      <c r="B6" s="1520"/>
      <c r="C6" s="1514" t="s">
        <v>657</v>
      </c>
      <c r="D6" s="1514" t="s">
        <v>906</v>
      </c>
      <c r="E6" s="1514" t="s">
        <v>657</v>
      </c>
      <c r="F6" s="1514" t="s">
        <v>658</v>
      </c>
      <c r="G6" s="1514" t="s">
        <v>659</v>
      </c>
      <c r="H6" s="1514"/>
      <c r="I6" s="1514"/>
      <c r="J6" s="1514"/>
      <c r="K6" s="1514" t="s">
        <v>1500</v>
      </c>
      <c r="L6" s="1515" t="s">
        <v>1501</v>
      </c>
      <c r="M6" s="1515" t="s">
        <v>1502</v>
      </c>
      <c r="N6" s="1515" t="s">
        <v>1503</v>
      </c>
      <c r="O6" s="1515" t="s">
        <v>1504</v>
      </c>
      <c r="P6" s="1515" t="s">
        <v>1505</v>
      </c>
      <c r="Q6" s="1514" t="s">
        <v>657</v>
      </c>
      <c r="R6" s="1514" t="s">
        <v>658</v>
      </c>
      <c r="S6" s="1514" t="s">
        <v>660</v>
      </c>
      <c r="T6" s="1514"/>
      <c r="U6" s="1514"/>
      <c r="V6" s="1514"/>
      <c r="W6" s="1514" t="s">
        <v>908</v>
      </c>
      <c r="X6" s="1514" t="s">
        <v>657</v>
      </c>
      <c r="Y6" s="1514" t="s">
        <v>906</v>
      </c>
      <c r="Z6" s="1514" t="s">
        <v>657</v>
      </c>
      <c r="AA6" s="1514" t="s">
        <v>658</v>
      </c>
      <c r="AB6" s="1514" t="s">
        <v>659</v>
      </c>
      <c r="AC6" s="1514"/>
      <c r="AD6" s="1514"/>
      <c r="AE6" s="1514"/>
      <c r="AF6" s="1514" t="s">
        <v>1500</v>
      </c>
      <c r="AG6" s="1515" t="s">
        <v>1501</v>
      </c>
      <c r="AH6" s="1515" t="s">
        <v>1502</v>
      </c>
      <c r="AI6" s="1515" t="s">
        <v>1503</v>
      </c>
      <c r="AJ6" s="1515" t="s">
        <v>1504</v>
      </c>
      <c r="AK6" s="1515" t="s">
        <v>1505</v>
      </c>
      <c r="AL6" s="1514" t="s">
        <v>657</v>
      </c>
      <c r="AM6" s="1514" t="s">
        <v>658</v>
      </c>
      <c r="AN6" s="1514" t="s">
        <v>660</v>
      </c>
      <c r="AO6" s="1514"/>
      <c r="AP6" s="1514"/>
      <c r="AQ6" s="1514"/>
      <c r="AR6" s="1514" t="s">
        <v>1506</v>
      </c>
      <c r="AS6" s="1514" t="s">
        <v>657</v>
      </c>
      <c r="AT6" s="1514" t="s">
        <v>906</v>
      </c>
      <c r="AU6" s="1514" t="s">
        <v>657</v>
      </c>
      <c r="AV6" s="1514" t="s">
        <v>658</v>
      </c>
      <c r="AW6" s="1514" t="s">
        <v>659</v>
      </c>
      <c r="AX6" s="1514"/>
      <c r="AY6" s="1514"/>
      <c r="AZ6" s="1514"/>
      <c r="BA6" s="1514" t="s">
        <v>1500</v>
      </c>
      <c r="BB6" s="1515" t="s">
        <v>1501</v>
      </c>
      <c r="BC6" s="1515" t="s">
        <v>1502</v>
      </c>
      <c r="BD6" s="1515" t="s">
        <v>1503</v>
      </c>
      <c r="BE6" s="1515" t="s">
        <v>1504</v>
      </c>
      <c r="BF6" s="1515" t="s">
        <v>1505</v>
      </c>
      <c r="BG6" s="1515" t="s">
        <v>657</v>
      </c>
      <c r="BH6" s="1514" t="s">
        <v>658</v>
      </c>
      <c r="BI6" s="1514" t="s">
        <v>660</v>
      </c>
      <c r="BJ6" s="1514"/>
      <c r="BK6" s="1514"/>
      <c r="BL6" s="1514"/>
      <c r="BM6" s="1514" t="s">
        <v>908</v>
      </c>
      <c r="BN6" s="1514" t="s">
        <v>657</v>
      </c>
      <c r="BO6" s="1514" t="s">
        <v>906</v>
      </c>
      <c r="BP6" s="1514" t="s">
        <v>657</v>
      </c>
      <c r="BQ6" s="1514" t="s">
        <v>658</v>
      </c>
      <c r="BR6" s="1514" t="s">
        <v>659</v>
      </c>
      <c r="BS6" s="1514"/>
      <c r="BT6" s="1514"/>
      <c r="BU6" s="1514"/>
      <c r="BV6" s="1514" t="s">
        <v>1500</v>
      </c>
      <c r="BW6" s="1515" t="s">
        <v>1501</v>
      </c>
      <c r="BX6" s="1515" t="s">
        <v>1502</v>
      </c>
      <c r="BY6" s="1515" t="s">
        <v>1503</v>
      </c>
      <c r="BZ6" s="1515" t="s">
        <v>1504</v>
      </c>
      <c r="CA6" s="1515" t="s">
        <v>1505</v>
      </c>
      <c r="CB6" s="1514" t="s">
        <v>657</v>
      </c>
      <c r="CC6" s="1514" t="s">
        <v>658</v>
      </c>
      <c r="CD6" s="1514" t="s">
        <v>660</v>
      </c>
      <c r="CE6" s="1514"/>
      <c r="CF6" s="1514"/>
      <c r="CG6" s="1514"/>
      <c r="CH6" s="1514" t="s">
        <v>908</v>
      </c>
      <c r="CI6" s="1514" t="s">
        <v>657</v>
      </c>
      <c r="CJ6" s="1514" t="s">
        <v>906</v>
      </c>
      <c r="CK6" s="1514" t="s">
        <v>657</v>
      </c>
      <c r="CL6" s="1514" t="s">
        <v>658</v>
      </c>
      <c r="CM6" s="1514" t="s">
        <v>659</v>
      </c>
      <c r="CN6" s="1514"/>
      <c r="CO6" s="1514"/>
      <c r="CP6" s="1514"/>
      <c r="CQ6" s="1514" t="s">
        <v>1500</v>
      </c>
      <c r="CR6" s="1515" t="s">
        <v>1501</v>
      </c>
      <c r="CS6" s="1515" t="s">
        <v>1502</v>
      </c>
      <c r="CT6" s="1515" t="s">
        <v>1503</v>
      </c>
      <c r="CU6" s="1515" t="s">
        <v>1504</v>
      </c>
      <c r="CV6" s="1515" t="s">
        <v>1505</v>
      </c>
      <c r="CW6" s="1514" t="s">
        <v>657</v>
      </c>
      <c r="CX6" s="1514" t="s">
        <v>658</v>
      </c>
      <c r="CY6" s="1514" t="s">
        <v>660</v>
      </c>
      <c r="CZ6" s="1514"/>
      <c r="DA6" s="1514"/>
      <c r="DB6" s="1514"/>
      <c r="DC6" s="1514" t="s">
        <v>908</v>
      </c>
      <c r="DD6" s="1514" t="s">
        <v>657</v>
      </c>
      <c r="DE6" s="1514" t="s">
        <v>906</v>
      </c>
      <c r="DF6" s="1514" t="s">
        <v>657</v>
      </c>
      <c r="DG6" s="1514" t="s">
        <v>658</v>
      </c>
      <c r="DH6" s="1514" t="s">
        <v>659</v>
      </c>
      <c r="DI6" s="1514"/>
      <c r="DJ6" s="1514"/>
      <c r="DK6" s="1514"/>
      <c r="DL6" s="1514" t="s">
        <v>1500</v>
      </c>
      <c r="DM6" s="1515" t="s">
        <v>1501</v>
      </c>
      <c r="DN6" s="1515" t="s">
        <v>1502</v>
      </c>
      <c r="DO6" s="1515" t="s">
        <v>1503</v>
      </c>
      <c r="DP6" s="1515" t="s">
        <v>1504</v>
      </c>
      <c r="DQ6" s="1515" t="s">
        <v>1505</v>
      </c>
      <c r="DR6" s="1515" t="s">
        <v>657</v>
      </c>
      <c r="DS6" s="1514" t="s">
        <v>658</v>
      </c>
      <c r="DT6" s="1514" t="s">
        <v>660</v>
      </c>
      <c r="DU6" s="1514"/>
      <c r="DV6" s="1514"/>
      <c r="DW6" s="1514"/>
      <c r="DX6" s="1514" t="s">
        <v>908</v>
      </c>
      <c r="DY6" s="1514" t="s">
        <v>657</v>
      </c>
      <c r="DZ6" s="1514" t="s">
        <v>906</v>
      </c>
      <c r="EA6" s="1514" t="s">
        <v>657</v>
      </c>
      <c r="EB6" s="1514" t="s">
        <v>658</v>
      </c>
      <c r="EC6" s="1514" t="s">
        <v>659</v>
      </c>
      <c r="ED6" s="1514"/>
      <c r="EE6" s="1514"/>
      <c r="EF6" s="1514"/>
      <c r="EG6" s="1514" t="s">
        <v>1500</v>
      </c>
      <c r="EH6" s="1515" t="s">
        <v>1501</v>
      </c>
      <c r="EI6" s="1515" t="s">
        <v>1502</v>
      </c>
      <c r="EJ6" s="1515" t="s">
        <v>1503</v>
      </c>
      <c r="EK6" s="1515" t="s">
        <v>1504</v>
      </c>
      <c r="EL6" s="1515" t="s">
        <v>1505</v>
      </c>
      <c r="EM6" s="1514" t="s">
        <v>657</v>
      </c>
      <c r="EN6" s="1514" t="s">
        <v>658</v>
      </c>
      <c r="EO6" s="1514" t="s">
        <v>660</v>
      </c>
      <c r="EP6" s="1514"/>
      <c r="EQ6" s="1514"/>
      <c r="ER6" s="1514"/>
      <c r="ES6" s="1514" t="s">
        <v>908</v>
      </c>
      <c r="ET6" s="1514" t="s">
        <v>657</v>
      </c>
      <c r="EU6" s="1514" t="s">
        <v>906</v>
      </c>
      <c r="EV6" s="1514" t="s">
        <v>657</v>
      </c>
      <c r="EW6" s="1514" t="s">
        <v>658</v>
      </c>
      <c r="EX6" s="1514" t="s">
        <v>659</v>
      </c>
      <c r="EY6" s="1514"/>
      <c r="EZ6" s="1514"/>
      <c r="FA6" s="1514"/>
      <c r="FB6" s="1514" t="s">
        <v>1500</v>
      </c>
      <c r="FC6" s="1515" t="s">
        <v>1501</v>
      </c>
      <c r="FD6" s="1515" t="s">
        <v>1502</v>
      </c>
      <c r="FE6" s="1515" t="s">
        <v>1503</v>
      </c>
      <c r="FF6" s="1515" t="s">
        <v>1504</v>
      </c>
      <c r="FG6" s="1515" t="s">
        <v>1505</v>
      </c>
      <c r="FH6" s="1514" t="s">
        <v>657</v>
      </c>
      <c r="FI6" s="1514" t="s">
        <v>658</v>
      </c>
      <c r="FJ6" s="1514" t="s">
        <v>660</v>
      </c>
      <c r="FK6" s="1514"/>
      <c r="FL6" s="1514"/>
      <c r="FM6" s="1514"/>
      <c r="FN6" s="1514" t="s">
        <v>908</v>
      </c>
      <c r="FO6" s="1514" t="s">
        <v>657</v>
      </c>
      <c r="FP6" s="1514" t="s">
        <v>906</v>
      </c>
      <c r="FQ6" s="1514" t="s">
        <v>657</v>
      </c>
      <c r="FR6" s="1514" t="s">
        <v>658</v>
      </c>
      <c r="FS6" s="1514" t="s">
        <v>659</v>
      </c>
      <c r="FT6" s="1514"/>
      <c r="FU6" s="1514"/>
      <c r="FV6" s="1514"/>
      <c r="FW6" s="1514" t="s">
        <v>1500</v>
      </c>
      <c r="FX6" s="1515" t="s">
        <v>1501</v>
      </c>
      <c r="FY6" s="1515" t="s">
        <v>1502</v>
      </c>
      <c r="FZ6" s="1515" t="s">
        <v>1503</v>
      </c>
      <c r="GA6" s="1515" t="s">
        <v>1504</v>
      </c>
      <c r="GB6" s="1515" t="s">
        <v>1505</v>
      </c>
      <c r="GC6" s="1515" t="s">
        <v>657</v>
      </c>
      <c r="GD6" s="1514" t="s">
        <v>658</v>
      </c>
      <c r="GE6" s="1514" t="s">
        <v>660</v>
      </c>
      <c r="GF6" s="1514"/>
      <c r="GG6" s="1514"/>
      <c r="GH6" s="1514"/>
      <c r="GI6" s="1514" t="s">
        <v>908</v>
      </c>
      <c r="GJ6" s="1514" t="s">
        <v>657</v>
      </c>
      <c r="GK6" s="1514" t="s">
        <v>906</v>
      </c>
      <c r="GL6" s="1514" t="s">
        <v>657</v>
      </c>
      <c r="GM6" s="1514" t="s">
        <v>658</v>
      </c>
      <c r="GN6" s="1514" t="s">
        <v>659</v>
      </c>
      <c r="GO6" s="1514"/>
      <c r="GP6" s="1514"/>
      <c r="GQ6" s="1514"/>
      <c r="GR6" s="1514" t="s">
        <v>1500</v>
      </c>
      <c r="GS6" s="1515" t="s">
        <v>1501</v>
      </c>
      <c r="GT6" s="1515" t="s">
        <v>1502</v>
      </c>
      <c r="GU6" s="1515" t="s">
        <v>1503</v>
      </c>
      <c r="GV6" s="1515" t="s">
        <v>1504</v>
      </c>
      <c r="GW6" s="1515" t="s">
        <v>1505</v>
      </c>
      <c r="GX6" s="1514" t="s">
        <v>657</v>
      </c>
      <c r="GY6" s="1514" t="s">
        <v>658</v>
      </c>
      <c r="GZ6" s="1514" t="s">
        <v>660</v>
      </c>
      <c r="HA6" s="1514"/>
      <c r="HB6" s="1514"/>
      <c r="HC6" s="1514"/>
      <c r="HD6" s="1514" t="s">
        <v>908</v>
      </c>
      <c r="HE6" s="1514" t="s">
        <v>657</v>
      </c>
      <c r="HF6" s="1514" t="s">
        <v>906</v>
      </c>
      <c r="HG6" s="1514" t="s">
        <v>657</v>
      </c>
      <c r="HH6" s="1514" t="s">
        <v>658</v>
      </c>
      <c r="HI6" s="1514" t="s">
        <v>659</v>
      </c>
      <c r="HJ6" s="1514"/>
      <c r="HK6" s="1514"/>
      <c r="HL6" s="1514"/>
      <c r="HM6" s="1514" t="s">
        <v>1500</v>
      </c>
      <c r="HN6" s="1515" t="s">
        <v>1501</v>
      </c>
      <c r="HO6" s="1515" t="s">
        <v>1502</v>
      </c>
      <c r="HP6" s="1515" t="s">
        <v>1503</v>
      </c>
      <c r="HQ6" s="1515" t="s">
        <v>1504</v>
      </c>
      <c r="HR6" s="1515" t="s">
        <v>1505</v>
      </c>
      <c r="HS6" s="1514" t="s">
        <v>657</v>
      </c>
      <c r="HT6" s="1514" t="s">
        <v>658</v>
      </c>
      <c r="HU6" s="1514" t="s">
        <v>660</v>
      </c>
      <c r="HV6" s="1514"/>
      <c r="HW6" s="1514"/>
      <c r="HX6" s="1514"/>
      <c r="HY6" s="1514" t="s">
        <v>908</v>
      </c>
      <c r="HZ6" s="1514" t="s">
        <v>657</v>
      </c>
      <c r="IA6" s="1514" t="s">
        <v>906</v>
      </c>
      <c r="IB6" s="1514" t="s">
        <v>657</v>
      </c>
      <c r="IC6" s="1514" t="s">
        <v>658</v>
      </c>
      <c r="ID6" s="1514" t="s">
        <v>659</v>
      </c>
      <c r="IE6" s="1514"/>
      <c r="IF6" s="1514"/>
      <c r="IG6" s="1514"/>
      <c r="IH6" s="1514" t="s">
        <v>1500</v>
      </c>
      <c r="II6" s="1515" t="s">
        <v>1501</v>
      </c>
      <c r="IJ6" s="1515" t="s">
        <v>1502</v>
      </c>
      <c r="IK6" s="1515" t="s">
        <v>1503</v>
      </c>
      <c r="IL6" s="1515" t="s">
        <v>1504</v>
      </c>
      <c r="IM6" s="1515" t="s">
        <v>1505</v>
      </c>
      <c r="IN6" s="1514" t="s">
        <v>657</v>
      </c>
      <c r="IO6" s="1514" t="s">
        <v>658</v>
      </c>
      <c r="IP6" s="1514" t="s">
        <v>660</v>
      </c>
      <c r="IQ6" s="1514"/>
      <c r="IR6" s="1514"/>
      <c r="IS6" s="1514"/>
      <c r="IT6" s="1514" t="s">
        <v>908</v>
      </c>
      <c r="IU6" s="1514" t="s">
        <v>657</v>
      </c>
      <c r="IV6" s="1514" t="s">
        <v>906</v>
      </c>
      <c r="IW6" s="1514" t="s">
        <v>657</v>
      </c>
      <c r="IX6" s="1514" t="s">
        <v>658</v>
      </c>
      <c r="IY6" s="1514" t="s">
        <v>659</v>
      </c>
      <c r="IZ6" s="1514"/>
      <c r="JA6" s="1514"/>
      <c r="JB6" s="1514"/>
      <c r="JC6" s="1514" t="s">
        <v>1500</v>
      </c>
      <c r="JD6" s="1515" t="s">
        <v>1501</v>
      </c>
      <c r="JE6" s="1515" t="s">
        <v>1502</v>
      </c>
      <c r="JF6" s="1515" t="s">
        <v>1503</v>
      </c>
      <c r="JG6" s="1515" t="s">
        <v>1504</v>
      </c>
      <c r="JH6" s="1515" t="s">
        <v>1505</v>
      </c>
      <c r="JI6" s="1514" t="s">
        <v>657</v>
      </c>
      <c r="JJ6" s="1514" t="s">
        <v>658</v>
      </c>
      <c r="JK6" s="1514" t="s">
        <v>660</v>
      </c>
      <c r="JL6" s="1514"/>
      <c r="JM6" s="1514"/>
      <c r="JN6" s="1514"/>
      <c r="JO6" s="1514" t="s">
        <v>908</v>
      </c>
    </row>
    <row r="7" spans="1:275" s="1219" customFormat="1" ht="15.75" customHeight="1" x14ac:dyDescent="0.25">
      <c r="A7" s="1514"/>
      <c r="B7" s="1520"/>
      <c r="C7" s="1514"/>
      <c r="D7" s="1514"/>
      <c r="E7" s="1514"/>
      <c r="F7" s="1514"/>
      <c r="G7" s="1514" t="s">
        <v>404</v>
      </c>
      <c r="H7" s="1514" t="s">
        <v>375</v>
      </c>
      <c r="I7" s="1514"/>
      <c r="J7" s="1514"/>
      <c r="K7" s="1514"/>
      <c r="L7" s="1516"/>
      <c r="M7" s="1516"/>
      <c r="N7" s="1516"/>
      <c r="O7" s="1516"/>
      <c r="P7" s="1516"/>
      <c r="Q7" s="1514"/>
      <c r="R7" s="1514"/>
      <c r="S7" s="1514" t="s">
        <v>404</v>
      </c>
      <c r="T7" s="1514" t="s">
        <v>375</v>
      </c>
      <c r="U7" s="1514"/>
      <c r="V7" s="1514"/>
      <c r="W7" s="1514"/>
      <c r="X7" s="1514"/>
      <c r="Y7" s="1514"/>
      <c r="Z7" s="1514"/>
      <c r="AA7" s="1514"/>
      <c r="AB7" s="1514" t="s">
        <v>404</v>
      </c>
      <c r="AC7" s="1514" t="s">
        <v>375</v>
      </c>
      <c r="AD7" s="1514"/>
      <c r="AE7" s="1514"/>
      <c r="AF7" s="1514"/>
      <c r="AG7" s="1516"/>
      <c r="AH7" s="1516"/>
      <c r="AI7" s="1516"/>
      <c r="AJ7" s="1516"/>
      <c r="AK7" s="1516"/>
      <c r="AL7" s="1514"/>
      <c r="AM7" s="1514"/>
      <c r="AN7" s="1514" t="s">
        <v>404</v>
      </c>
      <c r="AO7" s="1514" t="s">
        <v>375</v>
      </c>
      <c r="AP7" s="1514"/>
      <c r="AQ7" s="1514"/>
      <c r="AR7" s="1514"/>
      <c r="AS7" s="1514"/>
      <c r="AT7" s="1514"/>
      <c r="AU7" s="1514"/>
      <c r="AV7" s="1514"/>
      <c r="AW7" s="1514" t="s">
        <v>404</v>
      </c>
      <c r="AX7" s="1514" t="s">
        <v>375</v>
      </c>
      <c r="AY7" s="1514"/>
      <c r="AZ7" s="1514"/>
      <c r="BA7" s="1514"/>
      <c r="BB7" s="1516"/>
      <c r="BC7" s="1516"/>
      <c r="BD7" s="1516"/>
      <c r="BE7" s="1516"/>
      <c r="BF7" s="1516"/>
      <c r="BG7" s="1516"/>
      <c r="BH7" s="1514"/>
      <c r="BI7" s="1514" t="s">
        <v>404</v>
      </c>
      <c r="BJ7" s="1514" t="s">
        <v>375</v>
      </c>
      <c r="BK7" s="1514"/>
      <c r="BL7" s="1514"/>
      <c r="BM7" s="1514"/>
      <c r="BN7" s="1514"/>
      <c r="BO7" s="1514"/>
      <c r="BP7" s="1514"/>
      <c r="BQ7" s="1514"/>
      <c r="BR7" s="1514" t="s">
        <v>404</v>
      </c>
      <c r="BS7" s="1514" t="s">
        <v>375</v>
      </c>
      <c r="BT7" s="1514"/>
      <c r="BU7" s="1514"/>
      <c r="BV7" s="1514"/>
      <c r="BW7" s="1516"/>
      <c r="BX7" s="1516"/>
      <c r="BY7" s="1516"/>
      <c r="BZ7" s="1516"/>
      <c r="CA7" s="1516"/>
      <c r="CB7" s="1514"/>
      <c r="CC7" s="1514"/>
      <c r="CD7" s="1514" t="s">
        <v>404</v>
      </c>
      <c r="CE7" s="1514" t="s">
        <v>375</v>
      </c>
      <c r="CF7" s="1514"/>
      <c r="CG7" s="1514"/>
      <c r="CH7" s="1514"/>
      <c r="CI7" s="1514"/>
      <c r="CJ7" s="1514"/>
      <c r="CK7" s="1514"/>
      <c r="CL7" s="1514"/>
      <c r="CM7" s="1514" t="s">
        <v>404</v>
      </c>
      <c r="CN7" s="1514" t="s">
        <v>375</v>
      </c>
      <c r="CO7" s="1514"/>
      <c r="CP7" s="1514"/>
      <c r="CQ7" s="1514"/>
      <c r="CR7" s="1516"/>
      <c r="CS7" s="1516"/>
      <c r="CT7" s="1516"/>
      <c r="CU7" s="1516"/>
      <c r="CV7" s="1516"/>
      <c r="CW7" s="1514"/>
      <c r="CX7" s="1514"/>
      <c r="CY7" s="1514" t="s">
        <v>404</v>
      </c>
      <c r="CZ7" s="1514" t="s">
        <v>375</v>
      </c>
      <c r="DA7" s="1514"/>
      <c r="DB7" s="1514"/>
      <c r="DC7" s="1514"/>
      <c r="DD7" s="1514"/>
      <c r="DE7" s="1514"/>
      <c r="DF7" s="1514"/>
      <c r="DG7" s="1514"/>
      <c r="DH7" s="1514" t="s">
        <v>404</v>
      </c>
      <c r="DI7" s="1514" t="s">
        <v>375</v>
      </c>
      <c r="DJ7" s="1514"/>
      <c r="DK7" s="1514"/>
      <c r="DL7" s="1514"/>
      <c r="DM7" s="1516"/>
      <c r="DN7" s="1516"/>
      <c r="DO7" s="1516"/>
      <c r="DP7" s="1516"/>
      <c r="DQ7" s="1516"/>
      <c r="DR7" s="1516"/>
      <c r="DS7" s="1514"/>
      <c r="DT7" s="1514" t="s">
        <v>404</v>
      </c>
      <c r="DU7" s="1514" t="s">
        <v>375</v>
      </c>
      <c r="DV7" s="1514"/>
      <c r="DW7" s="1514"/>
      <c r="DX7" s="1514"/>
      <c r="DY7" s="1514"/>
      <c r="DZ7" s="1514"/>
      <c r="EA7" s="1514"/>
      <c r="EB7" s="1514"/>
      <c r="EC7" s="1514" t="s">
        <v>404</v>
      </c>
      <c r="ED7" s="1514" t="s">
        <v>375</v>
      </c>
      <c r="EE7" s="1514"/>
      <c r="EF7" s="1514"/>
      <c r="EG7" s="1514"/>
      <c r="EH7" s="1516"/>
      <c r="EI7" s="1516"/>
      <c r="EJ7" s="1516"/>
      <c r="EK7" s="1516"/>
      <c r="EL7" s="1516"/>
      <c r="EM7" s="1514"/>
      <c r="EN7" s="1514"/>
      <c r="EO7" s="1514" t="s">
        <v>404</v>
      </c>
      <c r="EP7" s="1514" t="s">
        <v>375</v>
      </c>
      <c r="EQ7" s="1514"/>
      <c r="ER7" s="1514"/>
      <c r="ES7" s="1514"/>
      <c r="ET7" s="1514"/>
      <c r="EU7" s="1514"/>
      <c r="EV7" s="1514"/>
      <c r="EW7" s="1514"/>
      <c r="EX7" s="1514" t="s">
        <v>404</v>
      </c>
      <c r="EY7" s="1514" t="s">
        <v>375</v>
      </c>
      <c r="EZ7" s="1514"/>
      <c r="FA7" s="1514"/>
      <c r="FB7" s="1514"/>
      <c r="FC7" s="1516"/>
      <c r="FD7" s="1516"/>
      <c r="FE7" s="1516"/>
      <c r="FF7" s="1516"/>
      <c r="FG7" s="1516"/>
      <c r="FH7" s="1514"/>
      <c r="FI7" s="1514"/>
      <c r="FJ7" s="1514" t="s">
        <v>404</v>
      </c>
      <c r="FK7" s="1514" t="s">
        <v>375</v>
      </c>
      <c r="FL7" s="1514"/>
      <c r="FM7" s="1514"/>
      <c r="FN7" s="1514"/>
      <c r="FO7" s="1514"/>
      <c r="FP7" s="1514"/>
      <c r="FQ7" s="1514"/>
      <c r="FR7" s="1514"/>
      <c r="FS7" s="1514" t="s">
        <v>404</v>
      </c>
      <c r="FT7" s="1514" t="s">
        <v>375</v>
      </c>
      <c r="FU7" s="1514"/>
      <c r="FV7" s="1514"/>
      <c r="FW7" s="1514"/>
      <c r="FX7" s="1516"/>
      <c r="FY7" s="1516"/>
      <c r="FZ7" s="1516"/>
      <c r="GA7" s="1516"/>
      <c r="GB7" s="1516"/>
      <c r="GC7" s="1516"/>
      <c r="GD7" s="1514"/>
      <c r="GE7" s="1514" t="s">
        <v>404</v>
      </c>
      <c r="GF7" s="1514" t="s">
        <v>375</v>
      </c>
      <c r="GG7" s="1514"/>
      <c r="GH7" s="1514"/>
      <c r="GI7" s="1514"/>
      <c r="GJ7" s="1514"/>
      <c r="GK7" s="1514"/>
      <c r="GL7" s="1514"/>
      <c r="GM7" s="1514"/>
      <c r="GN7" s="1514" t="s">
        <v>404</v>
      </c>
      <c r="GO7" s="1514" t="s">
        <v>375</v>
      </c>
      <c r="GP7" s="1514"/>
      <c r="GQ7" s="1514"/>
      <c r="GR7" s="1514"/>
      <c r="GS7" s="1516"/>
      <c r="GT7" s="1516"/>
      <c r="GU7" s="1516"/>
      <c r="GV7" s="1516"/>
      <c r="GW7" s="1516"/>
      <c r="GX7" s="1514"/>
      <c r="GY7" s="1514"/>
      <c r="GZ7" s="1514" t="s">
        <v>404</v>
      </c>
      <c r="HA7" s="1514" t="s">
        <v>375</v>
      </c>
      <c r="HB7" s="1514"/>
      <c r="HC7" s="1514"/>
      <c r="HD7" s="1514"/>
      <c r="HE7" s="1514"/>
      <c r="HF7" s="1514"/>
      <c r="HG7" s="1514"/>
      <c r="HH7" s="1514"/>
      <c r="HI7" s="1514" t="s">
        <v>404</v>
      </c>
      <c r="HJ7" s="1514" t="s">
        <v>375</v>
      </c>
      <c r="HK7" s="1514"/>
      <c r="HL7" s="1514"/>
      <c r="HM7" s="1514"/>
      <c r="HN7" s="1516"/>
      <c r="HO7" s="1516"/>
      <c r="HP7" s="1516"/>
      <c r="HQ7" s="1516"/>
      <c r="HR7" s="1516"/>
      <c r="HS7" s="1514"/>
      <c r="HT7" s="1514"/>
      <c r="HU7" s="1514" t="s">
        <v>404</v>
      </c>
      <c r="HV7" s="1514" t="s">
        <v>375</v>
      </c>
      <c r="HW7" s="1514"/>
      <c r="HX7" s="1514"/>
      <c r="HY7" s="1514"/>
      <c r="HZ7" s="1514"/>
      <c r="IA7" s="1514"/>
      <c r="IB7" s="1514"/>
      <c r="IC7" s="1514"/>
      <c r="ID7" s="1514" t="s">
        <v>404</v>
      </c>
      <c r="IE7" s="1514" t="s">
        <v>375</v>
      </c>
      <c r="IF7" s="1514"/>
      <c r="IG7" s="1514"/>
      <c r="IH7" s="1514"/>
      <c r="II7" s="1516"/>
      <c r="IJ7" s="1516"/>
      <c r="IK7" s="1516"/>
      <c r="IL7" s="1516"/>
      <c r="IM7" s="1516"/>
      <c r="IN7" s="1514"/>
      <c r="IO7" s="1514"/>
      <c r="IP7" s="1514" t="s">
        <v>404</v>
      </c>
      <c r="IQ7" s="1514" t="s">
        <v>375</v>
      </c>
      <c r="IR7" s="1514"/>
      <c r="IS7" s="1514"/>
      <c r="IT7" s="1514"/>
      <c r="IU7" s="1514"/>
      <c r="IV7" s="1514"/>
      <c r="IW7" s="1514"/>
      <c r="IX7" s="1514"/>
      <c r="IY7" s="1514" t="s">
        <v>404</v>
      </c>
      <c r="IZ7" s="1514" t="s">
        <v>375</v>
      </c>
      <c r="JA7" s="1514"/>
      <c r="JB7" s="1514"/>
      <c r="JC7" s="1514"/>
      <c r="JD7" s="1516"/>
      <c r="JE7" s="1516"/>
      <c r="JF7" s="1516"/>
      <c r="JG7" s="1516"/>
      <c r="JH7" s="1516"/>
      <c r="JI7" s="1514"/>
      <c r="JJ7" s="1514"/>
      <c r="JK7" s="1514" t="s">
        <v>404</v>
      </c>
      <c r="JL7" s="1514" t="s">
        <v>375</v>
      </c>
      <c r="JM7" s="1514"/>
      <c r="JN7" s="1514"/>
      <c r="JO7" s="1514"/>
    </row>
    <row r="8" spans="1:275" s="1219" customFormat="1" ht="140.25" customHeight="1" x14ac:dyDescent="0.25">
      <c r="A8" s="1514"/>
      <c r="B8" s="1520"/>
      <c r="C8" s="1514"/>
      <c r="D8" s="1514"/>
      <c r="E8" s="1514"/>
      <c r="F8" s="1514"/>
      <c r="G8" s="1514"/>
      <c r="H8" s="1218" t="s">
        <v>661</v>
      </c>
      <c r="I8" s="1218" t="s">
        <v>719</v>
      </c>
      <c r="J8" s="1218" t="s">
        <v>907</v>
      </c>
      <c r="K8" s="1514"/>
      <c r="L8" s="1517"/>
      <c r="M8" s="1517"/>
      <c r="N8" s="1517"/>
      <c r="O8" s="1517"/>
      <c r="P8" s="1517"/>
      <c r="Q8" s="1514"/>
      <c r="R8" s="1514"/>
      <c r="S8" s="1514"/>
      <c r="T8" s="1218" t="s">
        <v>661</v>
      </c>
      <c r="U8" s="1218" t="s">
        <v>662</v>
      </c>
      <c r="V8" s="1218" t="s">
        <v>1452</v>
      </c>
      <c r="W8" s="1514"/>
      <c r="X8" s="1514"/>
      <c r="Y8" s="1514"/>
      <c r="Z8" s="1514"/>
      <c r="AA8" s="1514"/>
      <c r="AB8" s="1514"/>
      <c r="AC8" s="1218" t="s">
        <v>661</v>
      </c>
      <c r="AD8" s="1218" t="s">
        <v>719</v>
      </c>
      <c r="AE8" s="1218" t="s">
        <v>907</v>
      </c>
      <c r="AF8" s="1514"/>
      <c r="AG8" s="1517"/>
      <c r="AH8" s="1517"/>
      <c r="AI8" s="1517"/>
      <c r="AJ8" s="1517"/>
      <c r="AK8" s="1517"/>
      <c r="AL8" s="1514"/>
      <c r="AM8" s="1514"/>
      <c r="AN8" s="1514"/>
      <c r="AO8" s="1218" t="s">
        <v>661</v>
      </c>
      <c r="AP8" s="1218" t="s">
        <v>662</v>
      </c>
      <c r="AQ8" s="1218" t="s">
        <v>1452</v>
      </c>
      <c r="AR8" s="1514"/>
      <c r="AS8" s="1514"/>
      <c r="AT8" s="1514"/>
      <c r="AU8" s="1514"/>
      <c r="AV8" s="1514"/>
      <c r="AW8" s="1514"/>
      <c r="AX8" s="1218" t="s">
        <v>661</v>
      </c>
      <c r="AY8" s="1218" t="s">
        <v>719</v>
      </c>
      <c r="AZ8" s="1218" t="s">
        <v>907</v>
      </c>
      <c r="BA8" s="1514"/>
      <c r="BB8" s="1517"/>
      <c r="BC8" s="1517"/>
      <c r="BD8" s="1517"/>
      <c r="BE8" s="1517"/>
      <c r="BF8" s="1517"/>
      <c r="BG8" s="1517"/>
      <c r="BH8" s="1514"/>
      <c r="BI8" s="1514"/>
      <c r="BJ8" s="1218" t="s">
        <v>661</v>
      </c>
      <c r="BK8" s="1218" t="s">
        <v>662</v>
      </c>
      <c r="BL8" s="1218" t="s">
        <v>1452</v>
      </c>
      <c r="BM8" s="1514"/>
      <c r="BN8" s="1514"/>
      <c r="BO8" s="1514"/>
      <c r="BP8" s="1514"/>
      <c r="BQ8" s="1514"/>
      <c r="BR8" s="1514"/>
      <c r="BS8" s="1218" t="s">
        <v>661</v>
      </c>
      <c r="BT8" s="1218" t="s">
        <v>719</v>
      </c>
      <c r="BU8" s="1218" t="s">
        <v>907</v>
      </c>
      <c r="BV8" s="1514"/>
      <c r="BW8" s="1517"/>
      <c r="BX8" s="1517"/>
      <c r="BY8" s="1517"/>
      <c r="BZ8" s="1517"/>
      <c r="CA8" s="1517"/>
      <c r="CB8" s="1514"/>
      <c r="CC8" s="1514"/>
      <c r="CD8" s="1514"/>
      <c r="CE8" s="1218" t="s">
        <v>661</v>
      </c>
      <c r="CF8" s="1218" t="s">
        <v>662</v>
      </c>
      <c r="CG8" s="1218" t="s">
        <v>1452</v>
      </c>
      <c r="CH8" s="1514"/>
      <c r="CI8" s="1514"/>
      <c r="CJ8" s="1514"/>
      <c r="CK8" s="1514"/>
      <c r="CL8" s="1514"/>
      <c r="CM8" s="1514"/>
      <c r="CN8" s="1218" t="s">
        <v>661</v>
      </c>
      <c r="CO8" s="1218" t="s">
        <v>719</v>
      </c>
      <c r="CP8" s="1218" t="s">
        <v>907</v>
      </c>
      <c r="CQ8" s="1514"/>
      <c r="CR8" s="1517"/>
      <c r="CS8" s="1517"/>
      <c r="CT8" s="1517"/>
      <c r="CU8" s="1517"/>
      <c r="CV8" s="1517"/>
      <c r="CW8" s="1514"/>
      <c r="CX8" s="1514"/>
      <c r="CY8" s="1514"/>
      <c r="CZ8" s="1218" t="s">
        <v>661</v>
      </c>
      <c r="DA8" s="1218" t="s">
        <v>662</v>
      </c>
      <c r="DB8" s="1218" t="s">
        <v>1452</v>
      </c>
      <c r="DC8" s="1514"/>
      <c r="DD8" s="1514"/>
      <c r="DE8" s="1514"/>
      <c r="DF8" s="1514"/>
      <c r="DG8" s="1514"/>
      <c r="DH8" s="1514"/>
      <c r="DI8" s="1218" t="s">
        <v>661</v>
      </c>
      <c r="DJ8" s="1218" t="s">
        <v>719</v>
      </c>
      <c r="DK8" s="1218" t="s">
        <v>907</v>
      </c>
      <c r="DL8" s="1514"/>
      <c r="DM8" s="1517"/>
      <c r="DN8" s="1517"/>
      <c r="DO8" s="1517"/>
      <c r="DP8" s="1517"/>
      <c r="DQ8" s="1517"/>
      <c r="DR8" s="1517"/>
      <c r="DS8" s="1514"/>
      <c r="DT8" s="1514"/>
      <c r="DU8" s="1218" t="s">
        <v>661</v>
      </c>
      <c r="DV8" s="1218" t="s">
        <v>662</v>
      </c>
      <c r="DW8" s="1218" t="s">
        <v>1452</v>
      </c>
      <c r="DX8" s="1514"/>
      <c r="DY8" s="1514"/>
      <c r="DZ8" s="1514"/>
      <c r="EA8" s="1514"/>
      <c r="EB8" s="1514"/>
      <c r="EC8" s="1514"/>
      <c r="ED8" s="1218" t="s">
        <v>661</v>
      </c>
      <c r="EE8" s="1218" t="s">
        <v>719</v>
      </c>
      <c r="EF8" s="1218" t="s">
        <v>907</v>
      </c>
      <c r="EG8" s="1514"/>
      <c r="EH8" s="1517"/>
      <c r="EI8" s="1517"/>
      <c r="EJ8" s="1517"/>
      <c r="EK8" s="1517"/>
      <c r="EL8" s="1517"/>
      <c r="EM8" s="1514"/>
      <c r="EN8" s="1514"/>
      <c r="EO8" s="1514"/>
      <c r="EP8" s="1218" t="s">
        <v>661</v>
      </c>
      <c r="EQ8" s="1218" t="s">
        <v>662</v>
      </c>
      <c r="ER8" s="1218" t="s">
        <v>1452</v>
      </c>
      <c r="ES8" s="1514"/>
      <c r="ET8" s="1514"/>
      <c r="EU8" s="1514"/>
      <c r="EV8" s="1514"/>
      <c r="EW8" s="1514"/>
      <c r="EX8" s="1514"/>
      <c r="EY8" s="1218" t="s">
        <v>661</v>
      </c>
      <c r="EZ8" s="1218" t="s">
        <v>719</v>
      </c>
      <c r="FA8" s="1218" t="s">
        <v>907</v>
      </c>
      <c r="FB8" s="1514"/>
      <c r="FC8" s="1517"/>
      <c r="FD8" s="1517"/>
      <c r="FE8" s="1517"/>
      <c r="FF8" s="1517"/>
      <c r="FG8" s="1517"/>
      <c r="FH8" s="1514"/>
      <c r="FI8" s="1514"/>
      <c r="FJ8" s="1514"/>
      <c r="FK8" s="1218" t="s">
        <v>661</v>
      </c>
      <c r="FL8" s="1218" t="s">
        <v>662</v>
      </c>
      <c r="FM8" s="1218" t="s">
        <v>1452</v>
      </c>
      <c r="FN8" s="1514"/>
      <c r="FO8" s="1514"/>
      <c r="FP8" s="1514"/>
      <c r="FQ8" s="1514"/>
      <c r="FR8" s="1514"/>
      <c r="FS8" s="1514"/>
      <c r="FT8" s="1218" t="s">
        <v>661</v>
      </c>
      <c r="FU8" s="1218" t="s">
        <v>719</v>
      </c>
      <c r="FV8" s="1218" t="s">
        <v>907</v>
      </c>
      <c r="FW8" s="1514"/>
      <c r="FX8" s="1517"/>
      <c r="FY8" s="1517"/>
      <c r="FZ8" s="1517"/>
      <c r="GA8" s="1517"/>
      <c r="GB8" s="1517"/>
      <c r="GC8" s="1517"/>
      <c r="GD8" s="1514"/>
      <c r="GE8" s="1514"/>
      <c r="GF8" s="1218" t="s">
        <v>661</v>
      </c>
      <c r="GG8" s="1218" t="s">
        <v>662</v>
      </c>
      <c r="GH8" s="1218" t="s">
        <v>1452</v>
      </c>
      <c r="GI8" s="1514"/>
      <c r="GJ8" s="1514"/>
      <c r="GK8" s="1514"/>
      <c r="GL8" s="1514"/>
      <c r="GM8" s="1514"/>
      <c r="GN8" s="1514"/>
      <c r="GO8" s="1218" t="s">
        <v>661</v>
      </c>
      <c r="GP8" s="1218" t="s">
        <v>719</v>
      </c>
      <c r="GQ8" s="1218" t="s">
        <v>907</v>
      </c>
      <c r="GR8" s="1514"/>
      <c r="GS8" s="1517"/>
      <c r="GT8" s="1517"/>
      <c r="GU8" s="1517"/>
      <c r="GV8" s="1517"/>
      <c r="GW8" s="1517"/>
      <c r="GX8" s="1514"/>
      <c r="GY8" s="1514"/>
      <c r="GZ8" s="1514"/>
      <c r="HA8" s="1218" t="s">
        <v>661</v>
      </c>
      <c r="HB8" s="1218" t="s">
        <v>662</v>
      </c>
      <c r="HC8" s="1218" t="s">
        <v>1452</v>
      </c>
      <c r="HD8" s="1514"/>
      <c r="HE8" s="1514"/>
      <c r="HF8" s="1514"/>
      <c r="HG8" s="1514"/>
      <c r="HH8" s="1514"/>
      <c r="HI8" s="1514"/>
      <c r="HJ8" s="1218" t="s">
        <v>661</v>
      </c>
      <c r="HK8" s="1218" t="s">
        <v>719</v>
      </c>
      <c r="HL8" s="1218" t="s">
        <v>907</v>
      </c>
      <c r="HM8" s="1514"/>
      <c r="HN8" s="1517"/>
      <c r="HO8" s="1517"/>
      <c r="HP8" s="1517"/>
      <c r="HQ8" s="1517"/>
      <c r="HR8" s="1517"/>
      <c r="HS8" s="1514"/>
      <c r="HT8" s="1514"/>
      <c r="HU8" s="1514"/>
      <c r="HV8" s="1218" t="s">
        <v>661</v>
      </c>
      <c r="HW8" s="1218" t="s">
        <v>662</v>
      </c>
      <c r="HX8" s="1218" t="s">
        <v>1452</v>
      </c>
      <c r="HY8" s="1514"/>
      <c r="HZ8" s="1514"/>
      <c r="IA8" s="1514"/>
      <c r="IB8" s="1514"/>
      <c r="IC8" s="1514"/>
      <c r="ID8" s="1514"/>
      <c r="IE8" s="1218" t="s">
        <v>661</v>
      </c>
      <c r="IF8" s="1218" t="s">
        <v>719</v>
      </c>
      <c r="IG8" s="1218" t="s">
        <v>907</v>
      </c>
      <c r="IH8" s="1514"/>
      <c r="II8" s="1517"/>
      <c r="IJ8" s="1517"/>
      <c r="IK8" s="1517"/>
      <c r="IL8" s="1517"/>
      <c r="IM8" s="1517"/>
      <c r="IN8" s="1514"/>
      <c r="IO8" s="1514"/>
      <c r="IP8" s="1514"/>
      <c r="IQ8" s="1218" t="s">
        <v>661</v>
      </c>
      <c r="IR8" s="1218" t="s">
        <v>662</v>
      </c>
      <c r="IS8" s="1218" t="s">
        <v>1452</v>
      </c>
      <c r="IT8" s="1514"/>
      <c r="IU8" s="1514"/>
      <c r="IV8" s="1514"/>
      <c r="IW8" s="1514"/>
      <c r="IX8" s="1514"/>
      <c r="IY8" s="1514"/>
      <c r="IZ8" s="1218" t="s">
        <v>661</v>
      </c>
      <c r="JA8" s="1218" t="s">
        <v>719</v>
      </c>
      <c r="JB8" s="1218" t="s">
        <v>907</v>
      </c>
      <c r="JC8" s="1514"/>
      <c r="JD8" s="1517"/>
      <c r="JE8" s="1517"/>
      <c r="JF8" s="1517"/>
      <c r="JG8" s="1517"/>
      <c r="JH8" s="1517"/>
      <c r="JI8" s="1514"/>
      <c r="JJ8" s="1514"/>
      <c r="JK8" s="1514"/>
      <c r="JL8" s="1218" t="s">
        <v>661</v>
      </c>
      <c r="JM8" s="1218" t="s">
        <v>662</v>
      </c>
      <c r="JN8" s="1218" t="s">
        <v>1452</v>
      </c>
      <c r="JO8" s="1514"/>
    </row>
    <row r="9" spans="1:275" ht="20.25" customHeight="1" x14ac:dyDescent="0.2">
      <c r="A9" s="525" t="s">
        <v>407</v>
      </c>
      <c r="B9" s="526" t="s">
        <v>422</v>
      </c>
      <c r="C9" s="525">
        <v>1</v>
      </c>
      <c r="D9" s="525">
        <v>2</v>
      </c>
      <c r="E9" s="525">
        <v>3</v>
      </c>
      <c r="F9" s="525">
        <v>4</v>
      </c>
      <c r="G9" s="525">
        <v>5</v>
      </c>
      <c r="H9" s="525">
        <v>6</v>
      </c>
      <c r="I9" s="525">
        <v>7</v>
      </c>
      <c r="J9" s="525">
        <v>8</v>
      </c>
      <c r="K9" s="525">
        <v>9</v>
      </c>
      <c r="L9" s="525">
        <v>10</v>
      </c>
      <c r="M9" s="525">
        <v>11</v>
      </c>
      <c r="N9" s="525">
        <v>12</v>
      </c>
      <c r="O9" s="525">
        <v>13</v>
      </c>
      <c r="P9" s="525">
        <v>14</v>
      </c>
      <c r="Q9" s="525">
        <v>15</v>
      </c>
      <c r="R9" s="525">
        <v>16</v>
      </c>
      <c r="S9" s="525">
        <v>17</v>
      </c>
      <c r="T9" s="525">
        <v>18</v>
      </c>
      <c r="U9" s="525">
        <v>19</v>
      </c>
      <c r="V9" s="525">
        <v>20</v>
      </c>
      <c r="W9" s="525">
        <v>21</v>
      </c>
      <c r="X9" s="525">
        <v>1</v>
      </c>
      <c r="Y9" s="525">
        <v>2</v>
      </c>
      <c r="Z9" s="525">
        <v>3</v>
      </c>
      <c r="AA9" s="525">
        <v>4</v>
      </c>
      <c r="AB9" s="525">
        <v>5</v>
      </c>
      <c r="AC9" s="525">
        <v>6</v>
      </c>
      <c r="AD9" s="525">
        <v>7</v>
      </c>
      <c r="AE9" s="525">
        <v>8</v>
      </c>
      <c r="AF9" s="525">
        <v>9</v>
      </c>
      <c r="AG9" s="525">
        <v>10</v>
      </c>
      <c r="AH9" s="525">
        <v>11</v>
      </c>
      <c r="AI9" s="525">
        <v>12</v>
      </c>
      <c r="AJ9" s="525">
        <v>13</v>
      </c>
      <c r="AK9" s="525">
        <v>14</v>
      </c>
      <c r="AL9" s="525">
        <v>15</v>
      </c>
      <c r="AM9" s="525">
        <v>16</v>
      </c>
      <c r="AN9" s="525">
        <v>17</v>
      </c>
      <c r="AO9" s="525">
        <v>18</v>
      </c>
      <c r="AP9" s="525">
        <v>19</v>
      </c>
      <c r="AQ9" s="525">
        <v>20</v>
      </c>
      <c r="AR9" s="525">
        <v>21</v>
      </c>
      <c r="AS9" s="525">
        <v>1</v>
      </c>
      <c r="AT9" s="525">
        <v>2</v>
      </c>
      <c r="AU9" s="525">
        <v>3</v>
      </c>
      <c r="AV9" s="525">
        <v>4</v>
      </c>
      <c r="AW9" s="525">
        <v>5</v>
      </c>
      <c r="AX9" s="525">
        <v>6</v>
      </c>
      <c r="AY9" s="525">
        <v>7</v>
      </c>
      <c r="AZ9" s="525">
        <v>8</v>
      </c>
      <c r="BA9" s="525">
        <v>9</v>
      </c>
      <c r="BB9" s="525">
        <v>10</v>
      </c>
      <c r="BC9" s="525">
        <v>11</v>
      </c>
      <c r="BD9" s="525">
        <v>12</v>
      </c>
      <c r="BE9" s="525">
        <v>13</v>
      </c>
      <c r="BF9" s="525">
        <v>14</v>
      </c>
      <c r="BG9" s="525">
        <v>15</v>
      </c>
      <c r="BH9" s="525">
        <v>16</v>
      </c>
      <c r="BI9" s="525">
        <v>17</v>
      </c>
      <c r="BJ9" s="525">
        <v>18</v>
      </c>
      <c r="BK9" s="525">
        <v>19</v>
      </c>
      <c r="BL9" s="525">
        <v>20</v>
      </c>
      <c r="BM9" s="525">
        <v>21</v>
      </c>
      <c r="BN9" s="525">
        <v>1</v>
      </c>
      <c r="BO9" s="525">
        <v>2</v>
      </c>
      <c r="BP9" s="525">
        <v>3</v>
      </c>
      <c r="BQ9" s="525">
        <v>4</v>
      </c>
      <c r="BR9" s="525">
        <v>5</v>
      </c>
      <c r="BS9" s="525">
        <v>6</v>
      </c>
      <c r="BT9" s="525">
        <v>7</v>
      </c>
      <c r="BU9" s="525">
        <v>8</v>
      </c>
      <c r="BV9" s="525">
        <v>9</v>
      </c>
      <c r="BW9" s="525">
        <v>10</v>
      </c>
      <c r="BX9" s="525">
        <v>11</v>
      </c>
      <c r="BY9" s="525">
        <v>12</v>
      </c>
      <c r="BZ9" s="525">
        <v>13</v>
      </c>
      <c r="CA9" s="525">
        <v>14</v>
      </c>
      <c r="CB9" s="525">
        <v>15</v>
      </c>
      <c r="CC9" s="525">
        <v>16</v>
      </c>
      <c r="CD9" s="525">
        <v>17</v>
      </c>
      <c r="CE9" s="525">
        <v>18</v>
      </c>
      <c r="CF9" s="525">
        <v>19</v>
      </c>
      <c r="CG9" s="525">
        <v>20</v>
      </c>
      <c r="CH9" s="525">
        <v>21</v>
      </c>
      <c r="CI9" s="525">
        <v>1</v>
      </c>
      <c r="CJ9" s="525">
        <v>2</v>
      </c>
      <c r="CK9" s="525">
        <v>3</v>
      </c>
      <c r="CL9" s="525">
        <v>4</v>
      </c>
      <c r="CM9" s="525">
        <v>5</v>
      </c>
      <c r="CN9" s="525">
        <v>6</v>
      </c>
      <c r="CO9" s="525">
        <v>7</v>
      </c>
      <c r="CP9" s="525">
        <v>8</v>
      </c>
      <c r="CQ9" s="525">
        <v>9</v>
      </c>
      <c r="CR9" s="525">
        <v>10</v>
      </c>
      <c r="CS9" s="525">
        <v>11</v>
      </c>
      <c r="CT9" s="525">
        <v>12</v>
      </c>
      <c r="CU9" s="525">
        <v>13</v>
      </c>
      <c r="CV9" s="525">
        <v>14</v>
      </c>
      <c r="CW9" s="525">
        <v>15</v>
      </c>
      <c r="CX9" s="525">
        <v>16</v>
      </c>
      <c r="CY9" s="525">
        <v>17</v>
      </c>
      <c r="CZ9" s="525">
        <v>18</v>
      </c>
      <c r="DA9" s="525">
        <v>19</v>
      </c>
      <c r="DB9" s="525">
        <v>20</v>
      </c>
      <c r="DC9" s="525">
        <v>21</v>
      </c>
      <c r="DD9" s="525">
        <v>1</v>
      </c>
      <c r="DE9" s="525">
        <v>2</v>
      </c>
      <c r="DF9" s="525">
        <v>3</v>
      </c>
      <c r="DG9" s="525">
        <v>4</v>
      </c>
      <c r="DH9" s="525">
        <v>5</v>
      </c>
      <c r="DI9" s="525">
        <v>6</v>
      </c>
      <c r="DJ9" s="525">
        <v>7</v>
      </c>
      <c r="DK9" s="525">
        <v>8</v>
      </c>
      <c r="DL9" s="525">
        <v>9</v>
      </c>
      <c r="DM9" s="525">
        <v>10</v>
      </c>
      <c r="DN9" s="525">
        <v>11</v>
      </c>
      <c r="DO9" s="525">
        <v>12</v>
      </c>
      <c r="DP9" s="525">
        <v>13</v>
      </c>
      <c r="DQ9" s="525">
        <v>14</v>
      </c>
      <c r="DR9" s="525">
        <v>15</v>
      </c>
      <c r="DS9" s="525">
        <v>16</v>
      </c>
      <c r="DT9" s="525">
        <v>17</v>
      </c>
      <c r="DU9" s="525">
        <v>18</v>
      </c>
      <c r="DV9" s="525">
        <v>19</v>
      </c>
      <c r="DW9" s="525">
        <v>20</v>
      </c>
      <c r="DX9" s="525">
        <v>21</v>
      </c>
      <c r="DY9" s="525">
        <v>1</v>
      </c>
      <c r="DZ9" s="525">
        <v>2</v>
      </c>
      <c r="EA9" s="525">
        <v>3</v>
      </c>
      <c r="EB9" s="525">
        <v>4</v>
      </c>
      <c r="EC9" s="525">
        <v>5</v>
      </c>
      <c r="ED9" s="525">
        <v>6</v>
      </c>
      <c r="EE9" s="525">
        <v>7</v>
      </c>
      <c r="EF9" s="525">
        <v>8</v>
      </c>
      <c r="EG9" s="525">
        <v>9</v>
      </c>
      <c r="EH9" s="525">
        <v>10</v>
      </c>
      <c r="EI9" s="525">
        <v>11</v>
      </c>
      <c r="EJ9" s="525">
        <v>12</v>
      </c>
      <c r="EK9" s="525">
        <v>13</v>
      </c>
      <c r="EL9" s="525">
        <v>14</v>
      </c>
      <c r="EM9" s="525">
        <v>15</v>
      </c>
      <c r="EN9" s="525">
        <v>16</v>
      </c>
      <c r="EO9" s="525">
        <v>17</v>
      </c>
      <c r="EP9" s="525">
        <v>18</v>
      </c>
      <c r="EQ9" s="525">
        <v>19</v>
      </c>
      <c r="ER9" s="525">
        <v>20</v>
      </c>
      <c r="ES9" s="525">
        <v>21</v>
      </c>
      <c r="ET9" s="525">
        <v>1</v>
      </c>
      <c r="EU9" s="525">
        <v>2</v>
      </c>
      <c r="EV9" s="525">
        <v>3</v>
      </c>
      <c r="EW9" s="525">
        <v>4</v>
      </c>
      <c r="EX9" s="525">
        <v>5</v>
      </c>
      <c r="EY9" s="525">
        <v>6</v>
      </c>
      <c r="EZ9" s="525">
        <v>7</v>
      </c>
      <c r="FA9" s="525">
        <v>8</v>
      </c>
      <c r="FB9" s="525">
        <v>9</v>
      </c>
      <c r="FC9" s="525">
        <v>10</v>
      </c>
      <c r="FD9" s="525">
        <v>11</v>
      </c>
      <c r="FE9" s="525">
        <v>12</v>
      </c>
      <c r="FF9" s="525">
        <v>13</v>
      </c>
      <c r="FG9" s="525">
        <v>14</v>
      </c>
      <c r="FH9" s="525">
        <v>15</v>
      </c>
      <c r="FI9" s="525">
        <v>16</v>
      </c>
      <c r="FJ9" s="525">
        <v>17</v>
      </c>
      <c r="FK9" s="525">
        <v>18</v>
      </c>
      <c r="FL9" s="525">
        <v>19</v>
      </c>
      <c r="FM9" s="525">
        <v>20</v>
      </c>
      <c r="FN9" s="525">
        <v>21</v>
      </c>
      <c r="FO9" s="525">
        <v>1</v>
      </c>
      <c r="FP9" s="525">
        <v>2</v>
      </c>
      <c r="FQ9" s="525">
        <v>3</v>
      </c>
      <c r="FR9" s="525">
        <v>4</v>
      </c>
      <c r="FS9" s="525">
        <v>5</v>
      </c>
      <c r="FT9" s="525">
        <v>6</v>
      </c>
      <c r="FU9" s="525">
        <v>7</v>
      </c>
      <c r="FV9" s="525">
        <v>8</v>
      </c>
      <c r="FW9" s="525">
        <v>9</v>
      </c>
      <c r="FX9" s="525">
        <v>10</v>
      </c>
      <c r="FY9" s="525">
        <v>11</v>
      </c>
      <c r="FZ9" s="525">
        <v>12</v>
      </c>
      <c r="GA9" s="525">
        <v>13</v>
      </c>
      <c r="GB9" s="525">
        <v>14</v>
      </c>
      <c r="GC9" s="525">
        <v>15</v>
      </c>
      <c r="GD9" s="525">
        <v>16</v>
      </c>
      <c r="GE9" s="525">
        <v>17</v>
      </c>
      <c r="GF9" s="525">
        <v>18</v>
      </c>
      <c r="GG9" s="525">
        <v>19</v>
      </c>
      <c r="GH9" s="525">
        <v>20</v>
      </c>
      <c r="GI9" s="525">
        <v>21</v>
      </c>
      <c r="GJ9" s="525">
        <v>1</v>
      </c>
      <c r="GK9" s="525">
        <v>2</v>
      </c>
      <c r="GL9" s="525">
        <v>3</v>
      </c>
      <c r="GM9" s="525">
        <v>4</v>
      </c>
      <c r="GN9" s="525">
        <v>5</v>
      </c>
      <c r="GO9" s="525">
        <v>6</v>
      </c>
      <c r="GP9" s="525">
        <v>7</v>
      </c>
      <c r="GQ9" s="525">
        <v>8</v>
      </c>
      <c r="GR9" s="525">
        <v>9</v>
      </c>
      <c r="GS9" s="525">
        <v>10</v>
      </c>
      <c r="GT9" s="525">
        <v>11</v>
      </c>
      <c r="GU9" s="525">
        <v>12</v>
      </c>
      <c r="GV9" s="525">
        <v>13</v>
      </c>
      <c r="GW9" s="525">
        <v>14</v>
      </c>
      <c r="GX9" s="525">
        <v>15</v>
      </c>
      <c r="GY9" s="525">
        <v>16</v>
      </c>
      <c r="GZ9" s="525">
        <v>17</v>
      </c>
      <c r="HA9" s="525">
        <v>18</v>
      </c>
      <c r="HB9" s="525">
        <v>19</v>
      </c>
      <c r="HC9" s="525">
        <v>20</v>
      </c>
      <c r="HD9" s="525">
        <v>21</v>
      </c>
      <c r="HE9" s="525">
        <v>1</v>
      </c>
      <c r="HF9" s="525">
        <v>2</v>
      </c>
      <c r="HG9" s="525">
        <v>3</v>
      </c>
      <c r="HH9" s="525">
        <v>4</v>
      </c>
      <c r="HI9" s="525">
        <v>5</v>
      </c>
      <c r="HJ9" s="525">
        <v>6</v>
      </c>
      <c r="HK9" s="525">
        <v>7</v>
      </c>
      <c r="HL9" s="525">
        <v>8</v>
      </c>
      <c r="HM9" s="525">
        <v>9</v>
      </c>
      <c r="HN9" s="525">
        <v>10</v>
      </c>
      <c r="HO9" s="525">
        <v>11</v>
      </c>
      <c r="HP9" s="525">
        <v>12</v>
      </c>
      <c r="HQ9" s="525">
        <v>13</v>
      </c>
      <c r="HR9" s="525">
        <v>14</v>
      </c>
      <c r="HS9" s="525">
        <v>15</v>
      </c>
      <c r="HT9" s="525">
        <v>16</v>
      </c>
      <c r="HU9" s="525">
        <v>17</v>
      </c>
      <c r="HV9" s="525">
        <v>18</v>
      </c>
      <c r="HW9" s="525">
        <v>19</v>
      </c>
      <c r="HX9" s="525">
        <v>20</v>
      </c>
      <c r="HY9" s="525">
        <v>21</v>
      </c>
      <c r="HZ9" s="525">
        <v>1</v>
      </c>
      <c r="IA9" s="525">
        <v>2</v>
      </c>
      <c r="IB9" s="525">
        <v>3</v>
      </c>
      <c r="IC9" s="525">
        <v>4</v>
      </c>
      <c r="ID9" s="525">
        <v>5</v>
      </c>
      <c r="IE9" s="525">
        <v>6</v>
      </c>
      <c r="IF9" s="525">
        <v>7</v>
      </c>
      <c r="IG9" s="525">
        <v>8</v>
      </c>
      <c r="IH9" s="525">
        <v>9</v>
      </c>
      <c r="II9" s="525">
        <v>10</v>
      </c>
      <c r="IJ9" s="525">
        <v>11</v>
      </c>
      <c r="IK9" s="525">
        <v>12</v>
      </c>
      <c r="IL9" s="525">
        <v>13</v>
      </c>
      <c r="IM9" s="525">
        <v>14</v>
      </c>
      <c r="IN9" s="525">
        <v>15</v>
      </c>
      <c r="IO9" s="525">
        <v>16</v>
      </c>
      <c r="IP9" s="525">
        <v>17</v>
      </c>
      <c r="IQ9" s="525">
        <v>18</v>
      </c>
      <c r="IR9" s="525">
        <v>19</v>
      </c>
      <c r="IS9" s="525">
        <v>20</v>
      </c>
      <c r="IT9" s="525">
        <v>21</v>
      </c>
      <c r="IU9" s="525">
        <v>1</v>
      </c>
      <c r="IV9" s="525">
        <v>2</v>
      </c>
      <c r="IW9" s="525">
        <v>3</v>
      </c>
      <c r="IX9" s="525">
        <v>4</v>
      </c>
      <c r="IY9" s="525">
        <v>5</v>
      </c>
      <c r="IZ9" s="525">
        <v>6</v>
      </c>
      <c r="JA9" s="525">
        <v>7</v>
      </c>
      <c r="JB9" s="525">
        <v>8</v>
      </c>
      <c r="JC9" s="525">
        <v>9</v>
      </c>
      <c r="JD9" s="525">
        <v>10</v>
      </c>
      <c r="JE9" s="525">
        <v>11</v>
      </c>
      <c r="JF9" s="525">
        <v>12</v>
      </c>
      <c r="JG9" s="525">
        <v>13</v>
      </c>
      <c r="JH9" s="525">
        <v>14</v>
      </c>
      <c r="JI9" s="525">
        <v>15</v>
      </c>
      <c r="JJ9" s="525">
        <v>16</v>
      </c>
      <c r="JK9" s="525">
        <v>17</v>
      </c>
      <c r="JL9" s="525">
        <v>18</v>
      </c>
      <c r="JM9" s="525">
        <v>19</v>
      </c>
      <c r="JN9" s="525">
        <v>20</v>
      </c>
      <c r="JO9" s="525">
        <v>21</v>
      </c>
    </row>
    <row r="10" spans="1:275" ht="46.5" customHeight="1" x14ac:dyDescent="0.2">
      <c r="A10" s="358" t="s">
        <v>409</v>
      </c>
      <c r="B10" s="359" t="s">
        <v>698</v>
      </c>
      <c r="C10" s="533">
        <f t="shared" ref="C10:BN10" si="0">SUM(C11:C14)</f>
        <v>32052</v>
      </c>
      <c r="D10" s="533">
        <f t="shared" si="0"/>
        <v>18431.839999999997</v>
      </c>
      <c r="E10" s="533">
        <f t="shared" si="0"/>
        <v>29503</v>
      </c>
      <c r="F10" s="533">
        <f t="shared" si="0"/>
        <v>21984</v>
      </c>
      <c r="G10" s="533">
        <f t="shared" si="0"/>
        <v>54708.017</v>
      </c>
      <c r="H10" s="533">
        <f t="shared" si="0"/>
        <v>8230</v>
      </c>
      <c r="I10" s="533">
        <f t="shared" si="0"/>
        <v>33002.017</v>
      </c>
      <c r="J10" s="533">
        <f t="shared" si="0"/>
        <v>13476</v>
      </c>
      <c r="K10" s="533">
        <f t="shared" si="0"/>
        <v>-647</v>
      </c>
      <c r="L10" s="533">
        <f t="shared" si="0"/>
        <v>33341.017</v>
      </c>
      <c r="M10" s="533">
        <f t="shared" si="0"/>
        <v>0</v>
      </c>
      <c r="N10" s="533">
        <f t="shared" si="0"/>
        <v>9776.58</v>
      </c>
      <c r="O10" s="533">
        <f t="shared" si="0"/>
        <v>271</v>
      </c>
      <c r="P10" s="533">
        <f t="shared" si="0"/>
        <v>23563.957000000002</v>
      </c>
      <c r="Q10" s="533">
        <f t="shared" si="0"/>
        <v>24115</v>
      </c>
      <c r="R10" s="533">
        <f t="shared" si="0"/>
        <v>18974</v>
      </c>
      <c r="S10" s="533">
        <f t="shared" si="0"/>
        <v>40077.957000000002</v>
      </c>
      <c r="T10" s="533">
        <f t="shared" si="0"/>
        <v>8230</v>
      </c>
      <c r="U10" s="533">
        <f t="shared" si="0"/>
        <v>23563.957000000002</v>
      </c>
      <c r="V10" s="533">
        <f t="shared" si="0"/>
        <v>12247</v>
      </c>
      <c r="W10" s="533">
        <f t="shared" si="0"/>
        <v>21103.957000000002</v>
      </c>
      <c r="X10" s="533">
        <f t="shared" si="0"/>
        <v>3730</v>
      </c>
      <c r="Y10" s="533">
        <f t="shared" si="0"/>
        <v>2679</v>
      </c>
      <c r="Z10" s="533">
        <f t="shared" si="0"/>
        <v>2354</v>
      </c>
      <c r="AA10" s="533">
        <f t="shared" si="0"/>
        <v>1527</v>
      </c>
      <c r="AB10" s="533">
        <f t="shared" si="0"/>
        <v>7953.0169999999998</v>
      </c>
      <c r="AC10" s="533">
        <f t="shared" si="0"/>
        <v>1787</v>
      </c>
      <c r="AD10" s="533">
        <f t="shared" si="0"/>
        <v>4004.0169999999998</v>
      </c>
      <c r="AE10" s="533">
        <f t="shared" si="0"/>
        <v>2162</v>
      </c>
      <c r="AF10" s="533">
        <f t="shared" si="0"/>
        <v>-15</v>
      </c>
      <c r="AG10" s="533">
        <f t="shared" si="0"/>
        <v>6411.0169999999998</v>
      </c>
      <c r="AH10" s="533">
        <f t="shared" si="0"/>
        <v>0</v>
      </c>
      <c r="AI10" s="533">
        <f t="shared" si="0"/>
        <v>944</v>
      </c>
      <c r="AJ10" s="533">
        <f t="shared" si="0"/>
        <v>0</v>
      </c>
      <c r="AK10" s="533">
        <f t="shared" si="0"/>
        <v>5467.0169999999998</v>
      </c>
      <c r="AL10" s="533">
        <f t="shared" si="0"/>
        <v>2267</v>
      </c>
      <c r="AM10" s="533">
        <f t="shared" si="0"/>
        <v>1811</v>
      </c>
      <c r="AN10" s="533">
        <f t="shared" si="0"/>
        <v>7551.0169999999998</v>
      </c>
      <c r="AO10" s="533">
        <f t="shared" si="0"/>
        <v>1787</v>
      </c>
      <c r="AP10" s="533">
        <f t="shared" si="0"/>
        <v>5467.0169999999998</v>
      </c>
      <c r="AQ10" s="533">
        <f t="shared" si="0"/>
        <v>297</v>
      </c>
      <c r="AR10" s="533">
        <f t="shared" si="0"/>
        <v>5740.0169999999998</v>
      </c>
      <c r="AS10" s="533">
        <f t="shared" si="0"/>
        <v>1379</v>
      </c>
      <c r="AT10" s="533">
        <f t="shared" si="0"/>
        <v>492</v>
      </c>
      <c r="AU10" s="533">
        <f t="shared" si="0"/>
        <v>576</v>
      </c>
      <c r="AV10" s="533">
        <f t="shared" si="0"/>
        <v>467</v>
      </c>
      <c r="AW10" s="533">
        <f t="shared" si="0"/>
        <v>2132</v>
      </c>
      <c r="AX10" s="533">
        <f t="shared" si="0"/>
        <v>1011</v>
      </c>
      <c r="AY10" s="533">
        <f t="shared" si="0"/>
        <v>919</v>
      </c>
      <c r="AZ10" s="533">
        <f t="shared" si="0"/>
        <v>202</v>
      </c>
      <c r="BA10" s="533">
        <f t="shared" si="0"/>
        <v>-92</v>
      </c>
      <c r="BB10" s="533">
        <f t="shared" si="0"/>
        <v>1757</v>
      </c>
      <c r="BC10" s="533">
        <f t="shared" si="0"/>
        <v>0</v>
      </c>
      <c r="BD10" s="533">
        <f t="shared" si="0"/>
        <v>1757</v>
      </c>
      <c r="BE10" s="533">
        <f t="shared" si="0"/>
        <v>0</v>
      </c>
      <c r="BF10" s="533">
        <f t="shared" si="0"/>
        <v>0</v>
      </c>
      <c r="BG10" s="533">
        <f t="shared" si="0"/>
        <v>636</v>
      </c>
      <c r="BH10" s="533">
        <f t="shared" si="0"/>
        <v>500</v>
      </c>
      <c r="BI10" s="533">
        <f t="shared" si="0"/>
        <v>1339</v>
      </c>
      <c r="BJ10" s="533">
        <f t="shared" si="0"/>
        <v>1011</v>
      </c>
      <c r="BK10" s="533">
        <f t="shared" si="0"/>
        <v>0</v>
      </c>
      <c r="BL10" s="533">
        <f t="shared" si="0"/>
        <v>1118</v>
      </c>
      <c r="BM10" s="533">
        <f t="shared" si="0"/>
        <v>839</v>
      </c>
      <c r="BN10" s="533">
        <f t="shared" si="0"/>
        <v>1292</v>
      </c>
      <c r="BO10" s="533">
        <f t="shared" ref="BO10:DZ10" si="1">SUM(BO11:BO14)</f>
        <v>1430</v>
      </c>
      <c r="BP10" s="533">
        <f t="shared" si="1"/>
        <v>1349</v>
      </c>
      <c r="BQ10" s="533">
        <f t="shared" si="1"/>
        <v>1707</v>
      </c>
      <c r="BR10" s="533">
        <f t="shared" si="1"/>
        <v>8707</v>
      </c>
      <c r="BS10" s="533">
        <f t="shared" si="1"/>
        <v>1720</v>
      </c>
      <c r="BT10" s="533">
        <f t="shared" si="1"/>
        <v>6987</v>
      </c>
      <c r="BU10" s="533">
        <f t="shared" si="1"/>
        <v>0</v>
      </c>
      <c r="BV10" s="533">
        <f t="shared" si="1"/>
        <v>-53</v>
      </c>
      <c r="BW10" s="533">
        <f t="shared" si="1"/>
        <v>7053</v>
      </c>
      <c r="BX10" s="533">
        <f t="shared" si="1"/>
        <v>0</v>
      </c>
      <c r="BY10" s="533">
        <f t="shared" si="1"/>
        <v>53</v>
      </c>
      <c r="BZ10" s="533">
        <f t="shared" si="1"/>
        <v>0</v>
      </c>
      <c r="CA10" s="533">
        <f t="shared" si="1"/>
        <v>7000</v>
      </c>
      <c r="CB10" s="533">
        <f t="shared" si="1"/>
        <v>1168</v>
      </c>
      <c r="CC10" s="533">
        <f t="shared" si="1"/>
        <v>1537</v>
      </c>
      <c r="CD10" s="533">
        <f t="shared" si="1"/>
        <v>8838</v>
      </c>
      <c r="CE10" s="533">
        <f t="shared" si="1"/>
        <v>1720</v>
      </c>
      <c r="CF10" s="533">
        <f t="shared" si="1"/>
        <v>7000</v>
      </c>
      <c r="CG10" s="533">
        <f t="shared" si="1"/>
        <v>649</v>
      </c>
      <c r="CH10" s="533">
        <f t="shared" si="1"/>
        <v>7301</v>
      </c>
      <c r="CI10" s="533">
        <f t="shared" si="1"/>
        <v>4728</v>
      </c>
      <c r="CJ10" s="533">
        <f t="shared" si="1"/>
        <v>1790.96</v>
      </c>
      <c r="CK10" s="533">
        <f t="shared" si="1"/>
        <v>2491</v>
      </c>
      <c r="CL10" s="533">
        <f t="shared" si="1"/>
        <v>1682</v>
      </c>
      <c r="CM10" s="533">
        <f t="shared" si="1"/>
        <v>5823</v>
      </c>
      <c r="CN10" s="533">
        <f t="shared" si="1"/>
        <v>556</v>
      </c>
      <c r="CO10" s="533">
        <f t="shared" si="1"/>
        <v>2337</v>
      </c>
      <c r="CP10" s="533">
        <f t="shared" si="1"/>
        <v>2930</v>
      </c>
      <c r="CQ10" s="533">
        <f t="shared" si="1"/>
        <v>0</v>
      </c>
      <c r="CR10" s="533">
        <f t="shared" si="1"/>
        <v>4141</v>
      </c>
      <c r="CS10" s="533">
        <f t="shared" si="1"/>
        <v>0</v>
      </c>
      <c r="CT10" s="533">
        <f t="shared" si="1"/>
        <v>0</v>
      </c>
      <c r="CU10" s="533">
        <f t="shared" si="1"/>
        <v>0</v>
      </c>
      <c r="CV10" s="533">
        <f t="shared" si="1"/>
        <v>4141</v>
      </c>
      <c r="CW10" s="533">
        <f t="shared" si="1"/>
        <v>2491</v>
      </c>
      <c r="CX10" s="533">
        <f t="shared" si="1"/>
        <v>2176</v>
      </c>
      <c r="CY10" s="533">
        <f t="shared" si="1"/>
        <v>4895</v>
      </c>
      <c r="CZ10" s="533">
        <f t="shared" si="1"/>
        <v>556</v>
      </c>
      <c r="DA10" s="533">
        <f t="shared" si="1"/>
        <v>4141</v>
      </c>
      <c r="DB10" s="533">
        <f t="shared" si="1"/>
        <v>988</v>
      </c>
      <c r="DC10" s="533">
        <f t="shared" si="1"/>
        <v>2719</v>
      </c>
      <c r="DD10" s="533">
        <f t="shared" si="1"/>
        <v>4928</v>
      </c>
      <c r="DE10" s="533">
        <f t="shared" si="1"/>
        <v>1741</v>
      </c>
      <c r="DF10" s="533">
        <f t="shared" si="1"/>
        <v>9068</v>
      </c>
      <c r="DG10" s="533">
        <f t="shared" si="1"/>
        <v>7681</v>
      </c>
      <c r="DH10" s="533">
        <f t="shared" si="1"/>
        <v>10468</v>
      </c>
      <c r="DI10" s="533">
        <f t="shared" si="1"/>
        <v>492</v>
      </c>
      <c r="DJ10" s="533">
        <f t="shared" si="1"/>
        <v>6545</v>
      </c>
      <c r="DK10" s="533">
        <f t="shared" si="1"/>
        <v>3431</v>
      </c>
      <c r="DL10" s="533">
        <f t="shared" si="1"/>
        <v>-2</v>
      </c>
      <c r="DM10" s="533">
        <f t="shared" si="1"/>
        <v>2789</v>
      </c>
      <c r="DN10" s="533">
        <f t="shared" si="1"/>
        <v>0</v>
      </c>
      <c r="DO10" s="533">
        <f t="shared" si="1"/>
        <v>2789</v>
      </c>
      <c r="DP10" s="533">
        <f t="shared" si="1"/>
        <v>0</v>
      </c>
      <c r="DQ10" s="533">
        <f t="shared" si="1"/>
        <v>0</v>
      </c>
      <c r="DR10" s="533">
        <f t="shared" si="1"/>
        <v>3314</v>
      </c>
      <c r="DS10" s="533">
        <f t="shared" si="1"/>
        <v>2958</v>
      </c>
      <c r="DT10" s="533">
        <f t="shared" si="1"/>
        <v>2958</v>
      </c>
      <c r="DU10" s="533">
        <f t="shared" si="1"/>
        <v>492</v>
      </c>
      <c r="DV10" s="533">
        <f t="shared" si="1"/>
        <v>0</v>
      </c>
      <c r="DW10" s="533">
        <f t="shared" si="1"/>
        <v>2466</v>
      </c>
      <c r="DX10" s="533">
        <f t="shared" si="1"/>
        <v>0</v>
      </c>
      <c r="DY10" s="533">
        <f t="shared" si="1"/>
        <v>1147</v>
      </c>
      <c r="DZ10" s="533">
        <f t="shared" si="1"/>
        <v>578.52</v>
      </c>
      <c r="EA10" s="533">
        <f t="shared" ref="EA10:GL10" si="2">SUM(EA11:EA14)</f>
        <v>1019</v>
      </c>
      <c r="EB10" s="533">
        <f t="shared" si="2"/>
        <v>547</v>
      </c>
      <c r="EC10" s="533">
        <f t="shared" si="2"/>
        <v>4503</v>
      </c>
      <c r="ED10" s="533">
        <f t="shared" si="2"/>
        <v>97</v>
      </c>
      <c r="EE10" s="533">
        <f t="shared" si="2"/>
        <v>4406</v>
      </c>
      <c r="EF10" s="533">
        <f t="shared" si="2"/>
        <v>0</v>
      </c>
      <c r="EG10" s="533">
        <f t="shared" si="2"/>
        <v>0</v>
      </c>
      <c r="EH10" s="533">
        <f t="shared" si="2"/>
        <v>3956</v>
      </c>
      <c r="EI10" s="533">
        <f t="shared" si="2"/>
        <v>0</v>
      </c>
      <c r="EJ10" s="533">
        <f t="shared" si="2"/>
        <v>2283.52</v>
      </c>
      <c r="EK10" s="533">
        <f t="shared" si="2"/>
        <v>0</v>
      </c>
      <c r="EL10" s="533">
        <f t="shared" si="2"/>
        <v>1672</v>
      </c>
      <c r="EM10" s="533">
        <f t="shared" si="2"/>
        <v>1880</v>
      </c>
      <c r="EN10" s="533">
        <f t="shared" si="2"/>
        <v>1002</v>
      </c>
      <c r="EO10" s="533">
        <f t="shared" si="2"/>
        <v>1769</v>
      </c>
      <c r="EP10" s="533">
        <f t="shared" si="2"/>
        <v>97</v>
      </c>
      <c r="EQ10" s="533">
        <f t="shared" si="2"/>
        <v>1672</v>
      </c>
      <c r="ER10" s="533">
        <f t="shared" si="2"/>
        <v>790</v>
      </c>
      <c r="ES10" s="533">
        <f t="shared" si="2"/>
        <v>767</v>
      </c>
      <c r="ET10" s="533">
        <f t="shared" si="2"/>
        <v>4453</v>
      </c>
      <c r="EU10" s="533">
        <f t="shared" si="2"/>
        <v>2566.62</v>
      </c>
      <c r="EV10" s="533">
        <f t="shared" si="2"/>
        <v>4357</v>
      </c>
      <c r="EW10" s="533">
        <f t="shared" si="2"/>
        <v>2557</v>
      </c>
      <c r="EX10" s="533">
        <f t="shared" si="2"/>
        <v>2341</v>
      </c>
      <c r="EY10" s="533">
        <f t="shared" si="2"/>
        <v>551</v>
      </c>
      <c r="EZ10" s="533">
        <f t="shared" si="2"/>
        <v>0</v>
      </c>
      <c r="FA10" s="533">
        <f t="shared" si="2"/>
        <v>1790</v>
      </c>
      <c r="FB10" s="533">
        <f t="shared" si="2"/>
        <v>-216</v>
      </c>
      <c r="FC10" s="533">
        <f t="shared" si="2"/>
        <v>0</v>
      </c>
      <c r="FD10" s="533">
        <f t="shared" si="2"/>
        <v>0</v>
      </c>
      <c r="FE10" s="533">
        <f t="shared" si="2"/>
        <v>0</v>
      </c>
      <c r="FF10" s="533">
        <f t="shared" si="2"/>
        <v>216</v>
      </c>
      <c r="FG10" s="533">
        <f t="shared" si="2"/>
        <v>0</v>
      </c>
      <c r="FH10" s="533">
        <f t="shared" si="2"/>
        <v>4235</v>
      </c>
      <c r="FI10" s="533">
        <f t="shared" si="2"/>
        <v>2514</v>
      </c>
      <c r="FJ10" s="533">
        <f t="shared" si="2"/>
        <v>2514</v>
      </c>
      <c r="FK10" s="533">
        <f t="shared" si="2"/>
        <v>551</v>
      </c>
      <c r="FL10" s="533">
        <f t="shared" si="2"/>
        <v>0</v>
      </c>
      <c r="FM10" s="533">
        <f t="shared" si="2"/>
        <v>1963</v>
      </c>
      <c r="FN10" s="533">
        <f t="shared" si="2"/>
        <v>0</v>
      </c>
      <c r="FO10" s="533">
        <f t="shared" si="2"/>
        <v>2238</v>
      </c>
      <c r="FP10" s="533">
        <f t="shared" si="2"/>
        <v>2685.31</v>
      </c>
      <c r="FQ10" s="533">
        <f t="shared" si="2"/>
        <v>2348</v>
      </c>
      <c r="FR10" s="533">
        <f t="shared" si="2"/>
        <v>1295</v>
      </c>
      <c r="FS10" s="533">
        <f t="shared" si="2"/>
        <v>1303</v>
      </c>
      <c r="FT10" s="533">
        <f t="shared" si="2"/>
        <v>312</v>
      </c>
      <c r="FU10" s="533">
        <f t="shared" si="2"/>
        <v>0</v>
      </c>
      <c r="FV10" s="533">
        <f t="shared" si="2"/>
        <v>991</v>
      </c>
      <c r="FW10" s="533">
        <f t="shared" si="2"/>
        <v>-44</v>
      </c>
      <c r="FX10" s="533">
        <f t="shared" si="2"/>
        <v>52</v>
      </c>
      <c r="FY10" s="533">
        <f t="shared" si="2"/>
        <v>0</v>
      </c>
      <c r="FZ10" s="533">
        <f t="shared" si="2"/>
        <v>52</v>
      </c>
      <c r="GA10" s="533">
        <f t="shared" si="2"/>
        <v>8</v>
      </c>
      <c r="GB10" s="533">
        <f t="shared" si="2"/>
        <v>0</v>
      </c>
      <c r="GC10" s="533">
        <f t="shared" si="2"/>
        <v>2106</v>
      </c>
      <c r="GD10" s="533">
        <f t="shared" si="2"/>
        <v>1785</v>
      </c>
      <c r="GE10" s="533">
        <f t="shared" si="2"/>
        <v>1785</v>
      </c>
      <c r="GF10" s="533">
        <f t="shared" si="2"/>
        <v>312</v>
      </c>
      <c r="GG10" s="533">
        <f t="shared" si="2"/>
        <v>0</v>
      </c>
      <c r="GH10" s="533">
        <f t="shared" si="2"/>
        <v>2004</v>
      </c>
      <c r="GI10" s="533">
        <f t="shared" si="2"/>
        <v>0</v>
      </c>
      <c r="GJ10" s="533">
        <f t="shared" si="2"/>
        <v>1008</v>
      </c>
      <c r="GK10" s="533">
        <f t="shared" si="2"/>
        <v>1467</v>
      </c>
      <c r="GL10" s="533">
        <f t="shared" si="2"/>
        <v>1049</v>
      </c>
      <c r="GM10" s="533">
        <f t="shared" ref="GM10:IX10" si="3">SUM(GM11:GM14)</f>
        <v>1557</v>
      </c>
      <c r="GN10" s="533">
        <f t="shared" si="3"/>
        <v>1510</v>
      </c>
      <c r="GO10" s="533">
        <f t="shared" si="3"/>
        <v>388</v>
      </c>
      <c r="GP10" s="533">
        <f t="shared" si="3"/>
        <v>0</v>
      </c>
      <c r="GQ10" s="533">
        <f t="shared" si="3"/>
        <v>1122</v>
      </c>
      <c r="GR10" s="533">
        <f t="shared" si="3"/>
        <v>-47</v>
      </c>
      <c r="GS10" s="533">
        <f t="shared" si="3"/>
        <v>0</v>
      </c>
      <c r="GT10" s="533">
        <f t="shared" si="3"/>
        <v>0</v>
      </c>
      <c r="GU10" s="533">
        <f t="shared" si="3"/>
        <v>0</v>
      </c>
      <c r="GV10" s="533">
        <f t="shared" si="3"/>
        <v>47</v>
      </c>
      <c r="GW10" s="533">
        <f t="shared" si="3"/>
        <v>0</v>
      </c>
      <c r="GX10" s="533">
        <f t="shared" si="3"/>
        <v>925</v>
      </c>
      <c r="GY10" s="533">
        <f t="shared" si="3"/>
        <v>1506</v>
      </c>
      <c r="GZ10" s="533">
        <f t="shared" si="3"/>
        <v>1506</v>
      </c>
      <c r="HA10" s="533">
        <f t="shared" si="3"/>
        <v>388</v>
      </c>
      <c r="HB10" s="533">
        <f t="shared" si="3"/>
        <v>0</v>
      </c>
      <c r="HC10" s="533">
        <f t="shared" si="3"/>
        <v>1118</v>
      </c>
      <c r="HD10" s="533">
        <f t="shared" si="3"/>
        <v>0</v>
      </c>
      <c r="HE10" s="533">
        <f t="shared" si="3"/>
        <v>3494</v>
      </c>
      <c r="HF10" s="533">
        <f t="shared" si="3"/>
        <v>1308.02</v>
      </c>
      <c r="HG10" s="533">
        <f t="shared" si="3"/>
        <v>2166</v>
      </c>
      <c r="HH10" s="533">
        <f t="shared" si="3"/>
        <v>1469</v>
      </c>
      <c r="HI10" s="533">
        <f t="shared" si="3"/>
        <v>3871</v>
      </c>
      <c r="HJ10" s="533">
        <f t="shared" si="3"/>
        <v>450</v>
      </c>
      <c r="HK10" s="533">
        <f t="shared" si="3"/>
        <v>2633</v>
      </c>
      <c r="HL10" s="533">
        <f t="shared" si="3"/>
        <v>788</v>
      </c>
      <c r="HM10" s="533">
        <f t="shared" si="3"/>
        <v>-178</v>
      </c>
      <c r="HN10" s="533">
        <f t="shared" si="3"/>
        <v>2580</v>
      </c>
      <c r="HO10" s="533">
        <f t="shared" si="3"/>
        <v>0</v>
      </c>
      <c r="HP10" s="533">
        <f t="shared" si="3"/>
        <v>1467.06</v>
      </c>
      <c r="HQ10" s="533">
        <f t="shared" si="3"/>
        <v>0</v>
      </c>
      <c r="HR10" s="533">
        <f t="shared" si="3"/>
        <v>1112.94</v>
      </c>
      <c r="HS10" s="533">
        <f t="shared" si="3"/>
        <v>2224</v>
      </c>
      <c r="HT10" s="533">
        <f t="shared" si="3"/>
        <v>1523</v>
      </c>
      <c r="HU10" s="533">
        <f t="shared" si="3"/>
        <v>1752.94</v>
      </c>
      <c r="HV10" s="533">
        <f t="shared" si="3"/>
        <v>450</v>
      </c>
      <c r="HW10" s="533">
        <f t="shared" si="3"/>
        <v>1112.94</v>
      </c>
      <c r="HX10" s="533">
        <f t="shared" si="3"/>
        <v>190</v>
      </c>
      <c r="HY10" s="533">
        <f t="shared" si="3"/>
        <v>229.94000000000005</v>
      </c>
      <c r="HZ10" s="533">
        <f t="shared" si="3"/>
        <v>1919</v>
      </c>
      <c r="IA10" s="533">
        <f t="shared" si="3"/>
        <v>725.69</v>
      </c>
      <c r="IB10" s="533">
        <f t="shared" si="3"/>
        <v>1008</v>
      </c>
      <c r="IC10" s="533">
        <f t="shared" si="3"/>
        <v>791</v>
      </c>
      <c r="ID10" s="533">
        <f t="shared" si="3"/>
        <v>3081</v>
      </c>
      <c r="IE10" s="533">
        <f t="shared" si="3"/>
        <v>490</v>
      </c>
      <c r="IF10" s="533">
        <f t="shared" si="3"/>
        <v>2591</v>
      </c>
      <c r="IG10" s="533">
        <f t="shared" si="3"/>
        <v>0</v>
      </c>
      <c r="IH10" s="533">
        <f t="shared" si="3"/>
        <v>0</v>
      </c>
      <c r="II10" s="533">
        <f t="shared" si="3"/>
        <v>2290</v>
      </c>
      <c r="IJ10" s="533">
        <f t="shared" si="3"/>
        <v>0</v>
      </c>
      <c r="IK10" s="533">
        <f t="shared" si="3"/>
        <v>0</v>
      </c>
      <c r="IL10" s="533">
        <f t="shared" si="3"/>
        <v>0</v>
      </c>
      <c r="IM10" s="533">
        <f t="shared" si="3"/>
        <v>2290</v>
      </c>
      <c r="IN10" s="533">
        <f t="shared" si="3"/>
        <v>1063</v>
      </c>
      <c r="IO10" s="533">
        <f t="shared" si="3"/>
        <v>898</v>
      </c>
      <c r="IP10" s="533">
        <f t="shared" si="3"/>
        <v>2858</v>
      </c>
      <c r="IQ10" s="533">
        <f t="shared" si="3"/>
        <v>490</v>
      </c>
      <c r="IR10" s="533">
        <f t="shared" si="3"/>
        <v>2290</v>
      </c>
      <c r="IS10" s="533">
        <f t="shared" si="3"/>
        <v>78</v>
      </c>
      <c r="IT10" s="533">
        <f t="shared" si="3"/>
        <v>1960</v>
      </c>
      <c r="IU10" s="533">
        <f t="shared" si="3"/>
        <v>1736</v>
      </c>
      <c r="IV10" s="533">
        <f t="shared" si="3"/>
        <v>967.72</v>
      </c>
      <c r="IW10" s="533">
        <f t="shared" si="3"/>
        <v>1718</v>
      </c>
      <c r="IX10" s="533">
        <f t="shared" si="3"/>
        <v>704</v>
      </c>
      <c r="IY10" s="533">
        <f t="shared" ref="IY10:JO10" si="4">SUM(IY11:IY14)</f>
        <v>3016</v>
      </c>
      <c r="IZ10" s="533">
        <f t="shared" si="4"/>
        <v>376</v>
      </c>
      <c r="JA10" s="533">
        <f t="shared" si="4"/>
        <v>2580</v>
      </c>
      <c r="JB10" s="533">
        <f t="shared" si="4"/>
        <v>60</v>
      </c>
      <c r="JC10" s="533">
        <f t="shared" si="4"/>
        <v>0</v>
      </c>
      <c r="JD10" s="533">
        <f t="shared" si="4"/>
        <v>2312</v>
      </c>
      <c r="JE10" s="533">
        <f t="shared" si="4"/>
        <v>0</v>
      </c>
      <c r="JF10" s="533">
        <f t="shared" si="4"/>
        <v>431</v>
      </c>
      <c r="JG10" s="533">
        <f t="shared" si="4"/>
        <v>0</v>
      </c>
      <c r="JH10" s="533">
        <f t="shared" si="4"/>
        <v>1881</v>
      </c>
      <c r="JI10" s="533">
        <f t="shared" si="4"/>
        <v>1806</v>
      </c>
      <c r="JJ10" s="533">
        <f t="shared" si="4"/>
        <v>764</v>
      </c>
      <c r="JK10" s="533">
        <f t="shared" si="4"/>
        <v>2312</v>
      </c>
      <c r="JL10" s="533">
        <f t="shared" si="4"/>
        <v>376</v>
      </c>
      <c r="JM10" s="533">
        <f t="shared" si="4"/>
        <v>1881</v>
      </c>
      <c r="JN10" s="533">
        <f t="shared" si="4"/>
        <v>586</v>
      </c>
      <c r="JO10" s="533">
        <f t="shared" si="4"/>
        <v>1548</v>
      </c>
    </row>
    <row r="11" spans="1:275" ht="31.5" customHeight="1" x14ac:dyDescent="0.2">
      <c r="A11" s="360">
        <v>1</v>
      </c>
      <c r="B11" s="361" t="s">
        <v>663</v>
      </c>
      <c r="C11" s="534">
        <f t="shared" ref="C11:R14" si="5">SUM(X11,AS11,BN11,CI11,DD11,DY11,ET11,FO11,GJ11,HE11,HZ11,IU11)</f>
        <v>27738</v>
      </c>
      <c r="D11" s="534">
        <f t="shared" si="5"/>
        <v>12795.4</v>
      </c>
      <c r="E11" s="534">
        <f t="shared" si="5"/>
        <v>25640</v>
      </c>
      <c r="F11" s="534">
        <f t="shared" si="5"/>
        <v>15365</v>
      </c>
      <c r="G11" s="534">
        <f t="shared" si="5"/>
        <v>31816</v>
      </c>
      <c r="H11" s="534">
        <f t="shared" si="5"/>
        <v>0</v>
      </c>
      <c r="I11" s="534">
        <f t="shared" si="5"/>
        <v>20854</v>
      </c>
      <c r="J11" s="534">
        <f t="shared" si="5"/>
        <v>10962</v>
      </c>
      <c r="K11" s="534">
        <f t="shared" si="5"/>
        <v>-356</v>
      </c>
      <c r="L11" s="534">
        <f t="shared" si="5"/>
        <v>16807</v>
      </c>
      <c r="M11" s="534">
        <f t="shared" si="5"/>
        <v>0</v>
      </c>
      <c r="N11" s="534">
        <f t="shared" si="5"/>
        <v>4732.5200000000004</v>
      </c>
      <c r="O11" s="534">
        <f t="shared" si="5"/>
        <v>228</v>
      </c>
      <c r="P11" s="534">
        <f t="shared" si="5"/>
        <v>12074</v>
      </c>
      <c r="Q11" s="534">
        <f t="shared" si="5"/>
        <v>20729</v>
      </c>
      <c r="R11" s="534">
        <f t="shared" si="5"/>
        <v>12507</v>
      </c>
      <c r="S11" s="534">
        <f t="shared" ref="Q11:W14" si="6">SUM(AN11,BI11,CD11,CY11,DT11,EO11,FJ11,GE11,GZ11,HU11,IP11,JK11)</f>
        <v>18252</v>
      </c>
      <c r="T11" s="534">
        <f t="shared" si="6"/>
        <v>0</v>
      </c>
      <c r="U11" s="534">
        <f t="shared" si="6"/>
        <v>12074</v>
      </c>
      <c r="V11" s="534">
        <f t="shared" si="6"/>
        <v>6178</v>
      </c>
      <c r="W11" s="534">
        <f t="shared" si="6"/>
        <v>5745</v>
      </c>
      <c r="X11" s="534">
        <v>3303</v>
      </c>
      <c r="Y11" s="534">
        <v>1962</v>
      </c>
      <c r="Z11" s="534">
        <v>2064</v>
      </c>
      <c r="AA11" s="534">
        <v>883</v>
      </c>
      <c r="AB11" s="534">
        <f>AC11+AD11+AE11</f>
        <v>3441</v>
      </c>
      <c r="AC11" s="534"/>
      <c r="AD11" s="534">
        <v>1591</v>
      </c>
      <c r="AE11" s="534">
        <v>1850</v>
      </c>
      <c r="AF11" s="534"/>
      <c r="AG11" s="534">
        <f>INT(AB11-AA11)</f>
        <v>2558</v>
      </c>
      <c r="AH11" s="534">
        <v>0</v>
      </c>
      <c r="AI11" s="534">
        <f>INT(AG11+AF16+AF17-AF12)</f>
        <v>944</v>
      </c>
      <c r="AJ11" s="534"/>
      <c r="AK11" s="534">
        <f>AG11-AI11</f>
        <v>1614</v>
      </c>
      <c r="AL11" s="534">
        <v>1987</v>
      </c>
      <c r="AM11" s="534">
        <v>1103</v>
      </c>
      <c r="AN11" s="534">
        <f>AO11+AP11+AQ11</f>
        <v>1614</v>
      </c>
      <c r="AO11" s="534"/>
      <c r="AP11" s="534">
        <f>AK11</f>
        <v>1614</v>
      </c>
      <c r="AQ11" s="534">
        <f>IF((AM11-AO11-AP11)&lt;0,0,(AM11-AO11-AP11))</f>
        <v>0</v>
      </c>
      <c r="AR11" s="534">
        <f>+AN11-AM11</f>
        <v>511</v>
      </c>
      <c r="AS11" s="534">
        <v>1249</v>
      </c>
      <c r="AT11" s="534">
        <v>398</v>
      </c>
      <c r="AU11" s="534">
        <v>455</v>
      </c>
      <c r="AV11" s="534">
        <v>294</v>
      </c>
      <c r="AW11" s="534">
        <f>AX11+AY11+AZ11</f>
        <v>202</v>
      </c>
      <c r="AX11" s="534">
        <v>0</v>
      </c>
      <c r="AY11" s="534"/>
      <c r="AZ11" s="534">
        <v>202</v>
      </c>
      <c r="BA11" s="534">
        <f>AW11-AV11</f>
        <v>-92</v>
      </c>
      <c r="BB11" s="534"/>
      <c r="BC11" s="534"/>
      <c r="BD11" s="534">
        <f>BB11</f>
        <v>0</v>
      </c>
      <c r="BE11" s="534"/>
      <c r="BF11" s="534">
        <f>BB11-BD11</f>
        <v>0</v>
      </c>
      <c r="BG11" s="534">
        <v>516</v>
      </c>
      <c r="BH11" s="534">
        <v>328</v>
      </c>
      <c r="BI11" s="534">
        <f>+BJ11+BK11+BL11</f>
        <v>328</v>
      </c>
      <c r="BJ11" s="534"/>
      <c r="BK11" s="534">
        <f>IF(BA11&lt;0,0,BA11)</f>
        <v>0</v>
      </c>
      <c r="BL11" s="534">
        <f>IF((BH11-BJ11-BK11)&lt;0,0,(BH11-BJ11-BK11))</f>
        <v>328</v>
      </c>
      <c r="BM11" s="534">
        <f>+BI11-BH11</f>
        <v>0</v>
      </c>
      <c r="BN11" s="534">
        <v>1074</v>
      </c>
      <c r="BO11" s="534">
        <v>989</v>
      </c>
      <c r="BP11" s="534">
        <v>1096</v>
      </c>
      <c r="BQ11" s="534">
        <v>1158</v>
      </c>
      <c r="BR11" s="534">
        <f t="shared" ref="BR11:BR18" si="7">BS11+BT11+BU11</f>
        <v>4074</v>
      </c>
      <c r="BS11" s="534"/>
      <c r="BT11" s="534">
        <v>4074</v>
      </c>
      <c r="BU11" s="534"/>
      <c r="BV11" s="534"/>
      <c r="BW11" s="534">
        <f>INT(BR11-BQ11)</f>
        <v>2916</v>
      </c>
      <c r="BX11" s="534"/>
      <c r="BY11" s="534"/>
      <c r="BZ11" s="534"/>
      <c r="CA11" s="534">
        <f>INT(BW11-BY11)</f>
        <v>2916</v>
      </c>
      <c r="CB11" s="534">
        <v>1041</v>
      </c>
      <c r="CC11" s="534">
        <v>1110</v>
      </c>
      <c r="CD11" s="534">
        <f>+CE11+CF11+CG11</f>
        <v>2916</v>
      </c>
      <c r="CE11" s="534"/>
      <c r="CF11" s="534">
        <f>CA11</f>
        <v>2916</v>
      </c>
      <c r="CG11" s="534">
        <f>IF((CC11-CE11-CF11)&lt;0,0,(CC11-CE11-CF11))</f>
        <v>0</v>
      </c>
      <c r="CH11" s="534">
        <f>INT(CD11-CC11)</f>
        <v>1806</v>
      </c>
      <c r="CI11" s="1231">
        <v>3851</v>
      </c>
      <c r="CJ11" s="534">
        <v>1073</v>
      </c>
      <c r="CK11" s="534">
        <v>1994</v>
      </c>
      <c r="CL11" s="534">
        <v>900</v>
      </c>
      <c r="CM11" s="534">
        <f>CN11+CO11+CP11</f>
        <v>4206</v>
      </c>
      <c r="CN11" s="534">
        <v>0</v>
      </c>
      <c r="CO11" s="534">
        <v>1773</v>
      </c>
      <c r="CP11" s="534">
        <v>2433</v>
      </c>
      <c r="CQ11" s="534"/>
      <c r="CR11" s="534">
        <f>CM11-CL11</f>
        <v>3306</v>
      </c>
      <c r="CS11" s="534"/>
      <c r="CT11" s="534"/>
      <c r="CU11" s="534"/>
      <c r="CV11" s="534">
        <f>+CR11-CT11</f>
        <v>3306</v>
      </c>
      <c r="CW11" s="534">
        <v>1994</v>
      </c>
      <c r="CX11" s="534">
        <v>1260</v>
      </c>
      <c r="CY11" s="534">
        <f>SUM(CZ11:DB11)</f>
        <v>3306</v>
      </c>
      <c r="CZ11" s="534"/>
      <c r="DA11" s="534">
        <f>CV11</f>
        <v>3306</v>
      </c>
      <c r="DB11" s="534">
        <f>IF((CX11-CZ11-DA11)&lt;0,0,(CX11-CZ11-DA11))</f>
        <v>0</v>
      </c>
      <c r="DC11" s="1232">
        <f>+CY11-CX11</f>
        <v>2046</v>
      </c>
      <c r="DD11" s="534">
        <v>4467</v>
      </c>
      <c r="DE11" s="534">
        <v>1383</v>
      </c>
      <c r="DF11" s="1231">
        <v>8266</v>
      </c>
      <c r="DG11" s="534">
        <v>6557</v>
      </c>
      <c r="DH11" s="534">
        <f>DI11+DJ11+DK11</f>
        <v>7884</v>
      </c>
      <c r="DI11" s="534"/>
      <c r="DJ11" s="534">
        <v>5083</v>
      </c>
      <c r="DK11" s="534">
        <v>2801</v>
      </c>
      <c r="DL11" s="534"/>
      <c r="DM11" s="534">
        <f>DH11-DG11</f>
        <v>1327</v>
      </c>
      <c r="DN11" s="534"/>
      <c r="DO11" s="534">
        <f>DM11</f>
        <v>1327</v>
      </c>
      <c r="DP11" s="534"/>
      <c r="DQ11" s="534"/>
      <c r="DR11" s="534">
        <v>2844</v>
      </c>
      <c r="DS11" s="534">
        <v>2277</v>
      </c>
      <c r="DT11" s="534">
        <f>+DU11+DV11+DW11</f>
        <v>2277</v>
      </c>
      <c r="DU11" s="534"/>
      <c r="DV11" s="534">
        <f>DL11</f>
        <v>0</v>
      </c>
      <c r="DW11" s="534">
        <f>IF((DS11-DU11-DV11)&lt;0,0,(DS11-DU11-DV11))</f>
        <v>2277</v>
      </c>
      <c r="DX11" s="534">
        <f>+DT11-DS11</f>
        <v>0</v>
      </c>
      <c r="DY11" s="1231">
        <v>1070</v>
      </c>
      <c r="DZ11" s="534">
        <v>525</v>
      </c>
      <c r="EA11" s="1231">
        <v>932</v>
      </c>
      <c r="EB11" s="534">
        <v>450</v>
      </c>
      <c r="EC11" s="534">
        <f>ED11+EE11+EF11</f>
        <v>4266</v>
      </c>
      <c r="ED11" s="534"/>
      <c r="EE11" s="534">
        <v>4266</v>
      </c>
      <c r="EF11" s="534"/>
      <c r="EG11" s="534"/>
      <c r="EH11" s="534">
        <f>INT(EC11-EB11)</f>
        <v>3816</v>
      </c>
      <c r="EI11" s="534"/>
      <c r="EJ11" s="534">
        <f>-EG16-EG17</f>
        <v>2283.52</v>
      </c>
      <c r="EK11" s="534"/>
      <c r="EL11" s="534">
        <f>INT(EH11-EJ11)</f>
        <v>1532</v>
      </c>
      <c r="EM11" s="1231">
        <v>1800</v>
      </c>
      <c r="EN11" s="534">
        <v>909</v>
      </c>
      <c r="EO11" s="534">
        <f>SUM(EP11:ER11)</f>
        <v>1532</v>
      </c>
      <c r="EP11" s="534"/>
      <c r="EQ11" s="534">
        <f>EL11</f>
        <v>1532</v>
      </c>
      <c r="ER11" s="534">
        <f>IF((EN11-EP11-EQ11)&lt;0,0,(EN11-EP11-EQ11))</f>
        <v>0</v>
      </c>
      <c r="ES11" s="534">
        <f>+EO11-EN11</f>
        <v>623</v>
      </c>
      <c r="ET11" s="534">
        <v>3780</v>
      </c>
      <c r="EU11" s="534">
        <v>1420.35</v>
      </c>
      <c r="EV11" s="534">
        <v>3696</v>
      </c>
      <c r="EW11" s="534">
        <v>1427</v>
      </c>
      <c r="EX11" s="534">
        <f>EY11+EZ11+FA11</f>
        <v>1254</v>
      </c>
      <c r="EY11" s="534"/>
      <c r="EZ11" s="534">
        <v>0</v>
      </c>
      <c r="FA11" s="534">
        <v>1254</v>
      </c>
      <c r="FB11" s="534">
        <f>EX11-EW11</f>
        <v>-173</v>
      </c>
      <c r="FC11" s="534"/>
      <c r="FD11" s="534"/>
      <c r="FE11" s="534"/>
      <c r="FF11" s="534">
        <f>-FB11</f>
        <v>173</v>
      </c>
      <c r="FG11" s="534"/>
      <c r="FH11" s="534">
        <v>3604</v>
      </c>
      <c r="FI11" s="534">
        <v>1412</v>
      </c>
      <c r="FJ11" s="534">
        <f>+FK11+FL11+FM11</f>
        <v>1412</v>
      </c>
      <c r="FK11" s="534"/>
      <c r="FL11" s="534">
        <v>0</v>
      </c>
      <c r="FM11" s="534">
        <f>IF((FI11-FK11-FL11)&lt;0,0,(FI11-FK11-FL11))</f>
        <v>1412</v>
      </c>
      <c r="FN11" s="534">
        <f>+FJ11-FI11</f>
        <v>0</v>
      </c>
      <c r="FO11" s="534">
        <v>1987</v>
      </c>
      <c r="FP11" s="534">
        <v>2386.31</v>
      </c>
      <c r="FQ11" s="534">
        <v>2084</v>
      </c>
      <c r="FR11" s="534">
        <v>1035</v>
      </c>
      <c r="FS11" s="534">
        <f>FT11+FU11+FV11</f>
        <v>991</v>
      </c>
      <c r="FT11" s="534"/>
      <c r="FU11" s="534"/>
      <c r="FV11" s="534">
        <v>991</v>
      </c>
      <c r="FW11" s="534">
        <f>FS11-FR11</f>
        <v>-44</v>
      </c>
      <c r="FX11" s="534"/>
      <c r="FY11" s="534"/>
      <c r="FZ11" s="534">
        <f>FX11</f>
        <v>0</v>
      </c>
      <c r="GA11" s="534">
        <f>+FZ13+FW11</f>
        <v>8</v>
      </c>
      <c r="GB11" s="534"/>
      <c r="GC11" s="534">
        <v>1822</v>
      </c>
      <c r="GD11" s="534">
        <v>1391</v>
      </c>
      <c r="GE11" s="534">
        <f>SUM(GF11:GH11)</f>
        <v>1391</v>
      </c>
      <c r="GF11" s="534"/>
      <c r="GG11" s="534"/>
      <c r="GH11" s="534">
        <f>IF((GD11-GF11-GG11)&lt;0,0,(GD11-GF11-GG11))</f>
        <v>1391</v>
      </c>
      <c r="GI11" s="534">
        <f>+GE11-GD11</f>
        <v>0</v>
      </c>
      <c r="GJ11" s="534">
        <v>715</v>
      </c>
      <c r="GK11" s="534">
        <v>806</v>
      </c>
      <c r="GL11" s="534">
        <v>724</v>
      </c>
      <c r="GM11" s="534">
        <v>750</v>
      </c>
      <c r="GN11" s="534">
        <f>SUM(GO11:GQ11)</f>
        <v>703</v>
      </c>
      <c r="GO11" s="534">
        <v>0</v>
      </c>
      <c r="GP11" s="534"/>
      <c r="GQ11" s="534">
        <v>703</v>
      </c>
      <c r="GR11" s="534">
        <f>+GN11-GM11</f>
        <v>-47</v>
      </c>
      <c r="GS11" s="534"/>
      <c r="GT11" s="534"/>
      <c r="GU11" s="534"/>
      <c r="GV11" s="534">
        <f>-GR11</f>
        <v>47</v>
      </c>
      <c r="GW11" s="534"/>
      <c r="GX11" s="534">
        <v>668</v>
      </c>
      <c r="GY11" s="534">
        <v>692</v>
      </c>
      <c r="GZ11" s="534">
        <f>SUM(HA11:HC11)</f>
        <v>692</v>
      </c>
      <c r="HA11" s="534"/>
      <c r="HB11" s="534">
        <v>0</v>
      </c>
      <c r="HC11" s="534">
        <f>IF((GY11-HA11-HB11)&lt;0,0,(GY11-HA11-HB11))</f>
        <v>692</v>
      </c>
      <c r="HD11" s="534">
        <f>+GZ11-GY11</f>
        <v>0</v>
      </c>
      <c r="HE11" s="534">
        <v>3010</v>
      </c>
      <c r="HF11" s="534">
        <v>858.02</v>
      </c>
      <c r="HG11" s="534">
        <v>1868</v>
      </c>
      <c r="HH11" s="534">
        <v>973</v>
      </c>
      <c r="HI11" s="534">
        <f>SUM(HJ11:HL11)</f>
        <v>2197</v>
      </c>
      <c r="HJ11" s="534">
        <v>0</v>
      </c>
      <c r="HK11" s="534">
        <v>1469</v>
      </c>
      <c r="HL11" s="534">
        <v>728</v>
      </c>
      <c r="HM11" s="534"/>
      <c r="HN11" s="534">
        <f>HI11-HH11</f>
        <v>1224</v>
      </c>
      <c r="HO11" s="534"/>
      <c r="HP11" s="534">
        <f>-HM12</f>
        <v>178</v>
      </c>
      <c r="HQ11" s="534"/>
      <c r="HR11" s="534">
        <f>+HN11-HP11</f>
        <v>1046</v>
      </c>
      <c r="HS11" s="534">
        <v>1900</v>
      </c>
      <c r="HT11" s="534">
        <v>990</v>
      </c>
      <c r="HU11" s="534">
        <f>SUM(HV11:HX11)</f>
        <v>1046</v>
      </c>
      <c r="HV11" s="534"/>
      <c r="HW11" s="534">
        <f>HR11</f>
        <v>1046</v>
      </c>
      <c r="HX11" s="534">
        <f>IF((HT11-HV11-HW11)&lt;0,0,(HT11-HV11-HW11))</f>
        <v>0</v>
      </c>
      <c r="HY11" s="534">
        <f>HU11-HT11</f>
        <v>56</v>
      </c>
      <c r="HZ11" s="534">
        <v>1767</v>
      </c>
      <c r="IA11" s="534">
        <v>522</v>
      </c>
      <c r="IB11" s="534">
        <v>915</v>
      </c>
      <c r="IC11" s="534">
        <v>548</v>
      </c>
      <c r="ID11" s="534">
        <f>SUM(IE11:IG11)</f>
        <v>1055</v>
      </c>
      <c r="IE11" s="534">
        <v>0</v>
      </c>
      <c r="IF11" s="534">
        <f>530+525</f>
        <v>1055</v>
      </c>
      <c r="IG11" s="1231">
        <v>0</v>
      </c>
      <c r="IH11" s="534"/>
      <c r="II11" s="534">
        <f>ID11-IC11</f>
        <v>507</v>
      </c>
      <c r="IJ11" s="534"/>
      <c r="IK11" s="534">
        <v>0</v>
      </c>
      <c r="IL11" s="534">
        <f>-IH11</f>
        <v>0</v>
      </c>
      <c r="IM11" s="534">
        <f>II11-IK11</f>
        <v>507</v>
      </c>
      <c r="IN11" s="534">
        <v>919</v>
      </c>
      <c r="IO11" s="534">
        <v>585</v>
      </c>
      <c r="IP11" s="534">
        <f>SUM(IQ11:IS11)</f>
        <v>585</v>
      </c>
      <c r="IQ11" s="534"/>
      <c r="IR11" s="534">
        <f>IM11</f>
        <v>507</v>
      </c>
      <c r="IS11" s="534">
        <f>IF((IO11-IQ11-IR11)&lt;0,0,(IO11-IQ11-IR11))</f>
        <v>78</v>
      </c>
      <c r="IT11" s="534">
        <f>+IP11-IO11</f>
        <v>0</v>
      </c>
      <c r="IU11" s="534">
        <v>1465</v>
      </c>
      <c r="IV11" s="534">
        <v>472.72</v>
      </c>
      <c r="IW11" s="534">
        <v>1546</v>
      </c>
      <c r="IX11" s="534">
        <v>390</v>
      </c>
      <c r="IY11" s="534">
        <f>+IZ11+JA11+JB11</f>
        <v>1543</v>
      </c>
      <c r="IZ11" s="534"/>
      <c r="JA11" s="534">
        <v>1543</v>
      </c>
      <c r="JB11" s="534"/>
      <c r="JC11" s="534"/>
      <c r="JD11" s="534">
        <f>IY11-IX11</f>
        <v>1153</v>
      </c>
      <c r="JE11" s="534"/>
      <c r="JF11" s="534">
        <v>0</v>
      </c>
      <c r="JG11" s="534"/>
      <c r="JH11" s="534">
        <f>JD11-JF11</f>
        <v>1153</v>
      </c>
      <c r="JI11" s="534">
        <v>1634</v>
      </c>
      <c r="JJ11" s="534">
        <v>450</v>
      </c>
      <c r="JK11" s="534">
        <f>SUM(JL11:JN11)</f>
        <v>1153</v>
      </c>
      <c r="JL11" s="534">
        <v>0</v>
      </c>
      <c r="JM11" s="534">
        <f>JH11</f>
        <v>1153</v>
      </c>
      <c r="JN11" s="534">
        <f>IF((JJ11-JL11-JM11)&lt;0,0,(JJ11-JL11-JM11))</f>
        <v>0</v>
      </c>
      <c r="JO11" s="534">
        <f>+JK11-JJ11</f>
        <v>703</v>
      </c>
    </row>
    <row r="12" spans="1:275" ht="47.25" x14ac:dyDescent="0.2">
      <c r="A12" s="362">
        <v>2</v>
      </c>
      <c r="B12" s="363" t="s">
        <v>667</v>
      </c>
      <c r="C12" s="534">
        <f t="shared" si="5"/>
        <v>299</v>
      </c>
      <c r="D12" s="534">
        <f t="shared" si="5"/>
        <v>1957.29</v>
      </c>
      <c r="E12" s="534">
        <f t="shared" si="5"/>
        <v>384</v>
      </c>
      <c r="F12" s="534">
        <f t="shared" si="5"/>
        <v>2535</v>
      </c>
      <c r="G12" s="534">
        <f t="shared" si="5"/>
        <v>3679</v>
      </c>
      <c r="H12" s="534">
        <f t="shared" si="5"/>
        <v>1175</v>
      </c>
      <c r="I12" s="534">
        <f t="shared" si="5"/>
        <v>1263</v>
      </c>
      <c r="J12" s="534">
        <f t="shared" si="5"/>
        <v>1241</v>
      </c>
      <c r="K12" s="534">
        <f t="shared" si="5"/>
        <v>-272</v>
      </c>
      <c r="L12" s="534">
        <f t="shared" si="5"/>
        <v>1386</v>
      </c>
      <c r="M12" s="534">
        <f t="shared" si="5"/>
        <v>0</v>
      </c>
      <c r="N12" s="534">
        <f t="shared" si="5"/>
        <v>17</v>
      </c>
      <c r="O12" s="534">
        <f t="shared" si="5"/>
        <v>24</v>
      </c>
      <c r="P12" s="534">
        <f t="shared" si="5"/>
        <v>1369</v>
      </c>
      <c r="Q12" s="534">
        <f t="shared" si="6"/>
        <v>393</v>
      </c>
      <c r="R12" s="534">
        <f t="shared" si="6"/>
        <v>2591</v>
      </c>
      <c r="S12" s="534">
        <f t="shared" si="6"/>
        <v>4117</v>
      </c>
      <c r="T12" s="534">
        <f t="shared" si="6"/>
        <v>1175</v>
      </c>
      <c r="U12" s="534">
        <f t="shared" si="6"/>
        <v>1369</v>
      </c>
      <c r="V12" s="534">
        <f t="shared" si="6"/>
        <v>1573</v>
      </c>
      <c r="W12" s="534">
        <f t="shared" si="6"/>
        <v>1526</v>
      </c>
      <c r="X12" s="534">
        <v>29</v>
      </c>
      <c r="Y12" s="534">
        <v>272</v>
      </c>
      <c r="Z12" s="534">
        <v>32</v>
      </c>
      <c r="AA12" s="534">
        <v>375</v>
      </c>
      <c r="AB12" s="534">
        <f>AC12+AD12+AE12</f>
        <v>390</v>
      </c>
      <c r="AC12" s="534">
        <v>78</v>
      </c>
      <c r="AD12" s="534">
        <v>0</v>
      </c>
      <c r="AE12" s="534">
        <v>312</v>
      </c>
      <c r="AF12" s="534">
        <f>AA12-AB12</f>
        <v>-15</v>
      </c>
      <c r="AG12" s="534"/>
      <c r="AH12" s="534"/>
      <c r="AI12" s="534"/>
      <c r="AJ12" s="534"/>
      <c r="AK12" s="534">
        <f>AG12-AI12</f>
        <v>0</v>
      </c>
      <c r="AL12" s="534">
        <v>32</v>
      </c>
      <c r="AM12" s="534">
        <v>375</v>
      </c>
      <c r="AN12" s="534">
        <f>AO12+AP12+AQ12</f>
        <v>375</v>
      </c>
      <c r="AO12" s="534">
        <v>78</v>
      </c>
      <c r="AP12" s="534">
        <f>AK12</f>
        <v>0</v>
      </c>
      <c r="AQ12" s="1233">
        <f>IF((AM12-AO12-AP12)&lt;0,0,(AM12-AO12-AP12))</f>
        <v>297</v>
      </c>
      <c r="AR12" s="534">
        <f>+AN12-AM12</f>
        <v>0</v>
      </c>
      <c r="AS12" s="534">
        <v>1</v>
      </c>
      <c r="AT12" s="534">
        <v>11</v>
      </c>
      <c r="AU12" s="534">
        <v>1</v>
      </c>
      <c r="AV12" s="534">
        <v>12</v>
      </c>
      <c r="AW12" s="534">
        <f>AX12+AY12+AZ12</f>
        <v>29</v>
      </c>
      <c r="AX12" s="534">
        <v>29</v>
      </c>
      <c r="AY12" s="534"/>
      <c r="AZ12" s="534"/>
      <c r="BA12" s="534"/>
      <c r="BB12" s="534">
        <f>AW12-AV12</f>
        <v>17</v>
      </c>
      <c r="BC12" s="534"/>
      <c r="BD12" s="534">
        <f>BB12</f>
        <v>17</v>
      </c>
      <c r="BE12" s="534"/>
      <c r="BF12" s="534">
        <f>BB12-BD12</f>
        <v>0</v>
      </c>
      <c r="BG12" s="534">
        <v>1</v>
      </c>
      <c r="BH12" s="534">
        <v>12</v>
      </c>
      <c r="BI12" s="534">
        <f t="shared" ref="BI12:BI18" si="8">+BJ12+BK12+BL12</f>
        <v>29</v>
      </c>
      <c r="BJ12" s="534">
        <v>29</v>
      </c>
      <c r="BK12" s="534">
        <f>IF(BA12&lt;0,0,BA12)</f>
        <v>0</v>
      </c>
      <c r="BL12" s="534">
        <f>IF((BH12-BJ12-BK12)&lt;0,0,(BH12-BJ12-BK12))</f>
        <v>0</v>
      </c>
      <c r="BM12" s="534">
        <f>+BI12-BH12</f>
        <v>17</v>
      </c>
      <c r="BN12" s="534">
        <v>20</v>
      </c>
      <c r="BO12" s="534">
        <v>215</v>
      </c>
      <c r="BP12" s="534">
        <v>20</v>
      </c>
      <c r="BQ12" s="534">
        <v>236</v>
      </c>
      <c r="BR12" s="534">
        <f t="shared" si="7"/>
        <v>183</v>
      </c>
      <c r="BS12" s="534">
        <v>117</v>
      </c>
      <c r="BT12" s="534">
        <v>66</v>
      </c>
      <c r="BU12" s="534">
        <v>0</v>
      </c>
      <c r="BV12" s="534">
        <f>+BR12-BQ12</f>
        <v>-53</v>
      </c>
      <c r="BW12" s="534"/>
      <c r="BX12" s="534"/>
      <c r="BY12" s="534"/>
      <c r="BZ12" s="534"/>
      <c r="CA12" s="534">
        <f t="shared" ref="CA12:CA18" si="9">INT(BW12-BY12)</f>
        <v>0</v>
      </c>
      <c r="CB12" s="534">
        <v>20</v>
      </c>
      <c r="CC12" s="534">
        <v>235</v>
      </c>
      <c r="CD12" s="534">
        <f>+CE12+CF12+CG12</f>
        <v>235</v>
      </c>
      <c r="CE12" s="534">
        <v>117</v>
      </c>
      <c r="CF12" s="534"/>
      <c r="CG12" s="534">
        <f>IF((CC12-CE12-CF12)&lt;0,0,(CC12-CE12-CF12))</f>
        <v>118</v>
      </c>
      <c r="CH12" s="534">
        <f>INT(CD12-CC12)</f>
        <v>0</v>
      </c>
      <c r="CI12" s="534">
        <v>15</v>
      </c>
      <c r="CJ12" s="534">
        <f>163.8</f>
        <v>163.80000000000001</v>
      </c>
      <c r="CK12" s="534">
        <v>24</v>
      </c>
      <c r="CL12" s="534">
        <v>282</v>
      </c>
      <c r="CM12" s="534">
        <f>CN12+CO12+CP12</f>
        <v>298</v>
      </c>
      <c r="CN12" s="534">
        <v>68</v>
      </c>
      <c r="CO12" s="534">
        <v>16</v>
      </c>
      <c r="CP12" s="534">
        <v>214</v>
      </c>
      <c r="CQ12" s="534"/>
      <c r="CR12" s="534">
        <f>CM12-CL12</f>
        <v>16</v>
      </c>
      <c r="CS12" s="534"/>
      <c r="CT12" s="534"/>
      <c r="CU12" s="534"/>
      <c r="CV12" s="534">
        <f>+CR12-CT12</f>
        <v>16</v>
      </c>
      <c r="CW12" s="534">
        <v>24</v>
      </c>
      <c r="CX12" s="534">
        <v>282</v>
      </c>
      <c r="CY12" s="534">
        <f>SUM(CZ12:DB12)</f>
        <v>282</v>
      </c>
      <c r="CZ12" s="534">
        <v>68</v>
      </c>
      <c r="DA12" s="534">
        <f>CV12</f>
        <v>16</v>
      </c>
      <c r="DB12" s="534">
        <f>IF((CX12-CZ12-DA12)&lt;0,0,(CX12-CZ12-DA12))</f>
        <v>198</v>
      </c>
      <c r="DC12" s="534">
        <f>+CY12-CX12</f>
        <v>0</v>
      </c>
      <c r="DD12" s="534">
        <v>6</v>
      </c>
      <c r="DE12" s="534">
        <v>60</v>
      </c>
      <c r="DF12" s="534">
        <v>5</v>
      </c>
      <c r="DG12" s="534">
        <v>55</v>
      </c>
      <c r="DH12" s="534">
        <f>DI12+DJ12+DK12</f>
        <v>53</v>
      </c>
      <c r="DI12" s="534">
        <v>29</v>
      </c>
      <c r="DJ12" s="534"/>
      <c r="DK12" s="534">
        <v>24</v>
      </c>
      <c r="DL12" s="534">
        <f>DH12-DG12</f>
        <v>-2</v>
      </c>
      <c r="DM12" s="534"/>
      <c r="DN12" s="534"/>
      <c r="DO12" s="534"/>
      <c r="DP12" s="534"/>
      <c r="DQ12" s="534"/>
      <c r="DR12" s="534">
        <v>5</v>
      </c>
      <c r="DS12" s="534">
        <v>57</v>
      </c>
      <c r="DT12" s="534">
        <f>+DU12+DV12+DW12</f>
        <v>57</v>
      </c>
      <c r="DU12" s="534">
        <v>29</v>
      </c>
      <c r="DV12" s="534">
        <f>IF(DL12&lt;0,0,DL12)</f>
        <v>0</v>
      </c>
      <c r="DW12" s="534">
        <f>IF((DS12-DU12-DV12)&lt;0,0,(DS12-DU12-DV12))</f>
        <v>28</v>
      </c>
      <c r="DX12" s="534">
        <f>+DT12-DS12</f>
        <v>0</v>
      </c>
      <c r="DY12" s="534">
        <v>0</v>
      </c>
      <c r="DZ12" s="534">
        <v>0</v>
      </c>
      <c r="EA12" s="1231"/>
      <c r="EB12" s="534"/>
      <c r="EC12" s="534">
        <f>ED12+EE12+EF12</f>
        <v>0</v>
      </c>
      <c r="ED12" s="534"/>
      <c r="EE12" s="534">
        <v>0</v>
      </c>
      <c r="EF12" s="534"/>
      <c r="EG12" s="534">
        <f>EC12-EB12</f>
        <v>0</v>
      </c>
      <c r="EH12" s="534">
        <f>INT(EC12-EB12)</f>
        <v>0</v>
      </c>
      <c r="EI12" s="534"/>
      <c r="EJ12" s="534"/>
      <c r="EK12" s="534"/>
      <c r="EL12" s="534">
        <f t="shared" ref="EL12:EL18" si="10">INT(EH12-EJ12)</f>
        <v>0</v>
      </c>
      <c r="EM12" s="1231"/>
      <c r="EN12" s="534"/>
      <c r="EO12" s="534">
        <f>SUM(EP12:ER12)</f>
        <v>0</v>
      </c>
      <c r="EP12" s="534"/>
      <c r="EQ12" s="534">
        <f>EL12</f>
        <v>0</v>
      </c>
      <c r="ER12" s="534">
        <f>IF((EN12-EP12-EQ12)&lt;0,0,(EN12-EP12-EQ12))</f>
        <v>0</v>
      </c>
      <c r="ES12" s="534">
        <f>+EO12-EN12</f>
        <v>0</v>
      </c>
      <c r="ET12" s="534">
        <v>107</v>
      </c>
      <c r="EU12" s="534">
        <v>578.79999999999995</v>
      </c>
      <c r="EV12" s="534">
        <v>105</v>
      </c>
      <c r="EW12" s="534">
        <v>574</v>
      </c>
      <c r="EX12" s="534">
        <f>EY12+EZ12+FA12</f>
        <v>550</v>
      </c>
      <c r="EY12" s="534">
        <v>204</v>
      </c>
      <c r="EZ12" s="534"/>
      <c r="FA12" s="534">
        <v>346</v>
      </c>
      <c r="FB12" s="534">
        <f>EX12-EW12</f>
        <v>-24</v>
      </c>
      <c r="FC12" s="534"/>
      <c r="FD12" s="534"/>
      <c r="FE12" s="534"/>
      <c r="FF12" s="534">
        <f t="shared" ref="FF12:FF18" si="11">-FB12</f>
        <v>24</v>
      </c>
      <c r="FG12" s="534"/>
      <c r="FH12" s="534">
        <v>103</v>
      </c>
      <c r="FI12" s="534">
        <v>562</v>
      </c>
      <c r="FJ12" s="534">
        <f>+FK12+FL12+FM12</f>
        <v>562</v>
      </c>
      <c r="FK12" s="534">
        <v>204</v>
      </c>
      <c r="FL12" s="534">
        <f>IF(FB12&lt;0,0,FB12)</f>
        <v>0</v>
      </c>
      <c r="FM12" s="534">
        <f>IF((FI12-FK12-FL12)&lt;0,0,(FI12-FK12-FL12))</f>
        <v>358</v>
      </c>
      <c r="FN12" s="534">
        <f>+FJ12-FI12</f>
        <v>0</v>
      </c>
      <c r="FO12" s="534">
        <v>0</v>
      </c>
      <c r="FP12" s="534">
        <v>0</v>
      </c>
      <c r="FQ12" s="534"/>
      <c r="FR12" s="534"/>
      <c r="FS12" s="534">
        <f>FT12+FU12+FV12</f>
        <v>0</v>
      </c>
      <c r="FT12" s="534"/>
      <c r="FU12" s="534"/>
      <c r="FV12" s="534"/>
      <c r="FW12" s="534">
        <f>+FS12-FR12</f>
        <v>0</v>
      </c>
      <c r="FX12" s="534">
        <f>FS12-FR12</f>
        <v>0</v>
      </c>
      <c r="FY12" s="534"/>
      <c r="FZ12" s="534"/>
      <c r="GA12" s="534"/>
      <c r="GB12" s="534"/>
      <c r="GC12" s="534"/>
      <c r="GD12" s="534"/>
      <c r="GE12" s="534">
        <f>SUM(GF12:GH12)</f>
        <v>0</v>
      </c>
      <c r="GF12" s="534"/>
      <c r="GG12" s="534">
        <f>IF(FW12&lt;0,0,FW12)</f>
        <v>0</v>
      </c>
      <c r="GH12" s="534">
        <f>IF((GD12-GF12-GG12)&lt;0,0,(GD12-GF12-GG12))</f>
        <v>0</v>
      </c>
      <c r="GI12" s="534">
        <f>+GE12-GD12</f>
        <v>0</v>
      </c>
      <c r="GJ12" s="534">
        <v>83</v>
      </c>
      <c r="GK12" s="534">
        <v>457</v>
      </c>
      <c r="GL12" s="534">
        <v>102</v>
      </c>
      <c r="GM12" s="534">
        <v>566</v>
      </c>
      <c r="GN12" s="534">
        <f>SUM(GO12:GQ12)</f>
        <v>566</v>
      </c>
      <c r="GO12" s="534">
        <v>291</v>
      </c>
      <c r="GP12" s="534"/>
      <c r="GQ12" s="534">
        <v>275</v>
      </c>
      <c r="GR12" s="534">
        <f>+GN12-GM12</f>
        <v>0</v>
      </c>
      <c r="GS12" s="534">
        <f>GN12-GM12</f>
        <v>0</v>
      </c>
      <c r="GT12" s="534"/>
      <c r="GU12" s="534">
        <f>GS12</f>
        <v>0</v>
      </c>
      <c r="GV12" s="534">
        <f t="shared" ref="GV12:GV18" si="12">-GR12</f>
        <v>0</v>
      </c>
      <c r="GW12" s="534"/>
      <c r="GX12" s="534">
        <v>112</v>
      </c>
      <c r="GY12" s="534">
        <v>620</v>
      </c>
      <c r="GZ12" s="534">
        <f>SUM(HA12:HC12)</f>
        <v>620</v>
      </c>
      <c r="HA12" s="534">
        <v>291</v>
      </c>
      <c r="HB12" s="534">
        <f>IF(GR12&lt;0,0,GR12)</f>
        <v>0</v>
      </c>
      <c r="HC12" s="534">
        <f>IF((GY12-HA12-HB12)&lt;0,0,(GY12-HA12-HB12))</f>
        <v>329</v>
      </c>
      <c r="HD12" s="534">
        <f>+GZ12-GY12</f>
        <v>0</v>
      </c>
      <c r="HE12" s="534">
        <v>10</v>
      </c>
      <c r="HF12" s="534">
        <v>10</v>
      </c>
      <c r="HG12" s="534">
        <v>74</v>
      </c>
      <c r="HH12" s="534">
        <v>198</v>
      </c>
      <c r="HI12" s="534">
        <f t="shared" ref="HI12:HI18" si="13">SUM(HJ12:HL12)</f>
        <v>20</v>
      </c>
      <c r="HJ12" s="534">
        <v>10</v>
      </c>
      <c r="HK12" s="534"/>
      <c r="HL12" s="534">
        <v>10</v>
      </c>
      <c r="HM12" s="534">
        <f>+HI12-HH12</f>
        <v>-178</v>
      </c>
      <c r="HN12" s="534"/>
      <c r="HO12" s="534"/>
      <c r="HP12" s="534"/>
      <c r="HQ12" s="534"/>
      <c r="HR12" s="534">
        <f>+HN12-HP12</f>
        <v>0</v>
      </c>
      <c r="HS12" s="534">
        <v>74</v>
      </c>
      <c r="HT12" s="534">
        <v>200</v>
      </c>
      <c r="HU12" s="534">
        <f>SUM(HV12:HX12)</f>
        <v>200</v>
      </c>
      <c r="HV12" s="534">
        <v>10</v>
      </c>
      <c r="HW12" s="534">
        <f>HM12-HM12</f>
        <v>0</v>
      </c>
      <c r="HX12" s="534">
        <f>IF((HT12-HV12-HW12)&lt;0,0,(HT12-HV12-HW12))</f>
        <v>190</v>
      </c>
      <c r="HY12" s="534">
        <f t="shared" ref="HY12:HY18" si="14">HU12-HT12</f>
        <v>0</v>
      </c>
      <c r="HZ12" s="534">
        <v>21</v>
      </c>
      <c r="IA12" s="534">
        <v>116.69</v>
      </c>
      <c r="IB12" s="534">
        <v>13</v>
      </c>
      <c r="IC12" s="534">
        <v>143</v>
      </c>
      <c r="ID12" s="534">
        <f t="shared" ref="ID12:ID18" si="15">SUM(IE12:IG12)</f>
        <v>1486</v>
      </c>
      <c r="IE12" s="534">
        <v>320</v>
      </c>
      <c r="IF12" s="534">
        <v>1166</v>
      </c>
      <c r="IG12" s="1231"/>
      <c r="IH12" s="534"/>
      <c r="II12" s="534">
        <f>ID12-IC12</f>
        <v>1343</v>
      </c>
      <c r="IJ12" s="534"/>
      <c r="IK12" s="534"/>
      <c r="IL12" s="534"/>
      <c r="IM12" s="534">
        <f t="shared" ref="IM12:IM18" si="16">II12-IK12</f>
        <v>1343</v>
      </c>
      <c r="IN12" s="534">
        <v>14</v>
      </c>
      <c r="IO12" s="534">
        <v>154</v>
      </c>
      <c r="IP12" s="534">
        <f>SUM(IQ12:IS12)</f>
        <v>1663</v>
      </c>
      <c r="IQ12" s="534">
        <v>320</v>
      </c>
      <c r="IR12" s="534">
        <f t="shared" ref="IR12:IR18" si="17">IM12</f>
        <v>1343</v>
      </c>
      <c r="IS12" s="534">
        <f>IF((IO12-IQ12-IR12)&lt;0,0,(IO12-IQ12-IR12))</f>
        <v>0</v>
      </c>
      <c r="IT12" s="534">
        <f>+IP12-IO12</f>
        <v>1509</v>
      </c>
      <c r="IU12" s="534">
        <v>7</v>
      </c>
      <c r="IV12" s="534">
        <v>73</v>
      </c>
      <c r="IW12" s="534">
        <v>8</v>
      </c>
      <c r="IX12" s="534">
        <v>94</v>
      </c>
      <c r="IY12" s="534">
        <f t="shared" ref="IY12:IY18" si="18">+IZ12+JA12+JB12</f>
        <v>104</v>
      </c>
      <c r="IZ12" s="534">
        <v>29</v>
      </c>
      <c r="JA12" s="534">
        <v>15</v>
      </c>
      <c r="JB12" s="534">
        <v>60</v>
      </c>
      <c r="JC12" s="534"/>
      <c r="JD12" s="534">
        <f>IY12-IX12</f>
        <v>10</v>
      </c>
      <c r="JE12" s="534"/>
      <c r="JF12" s="534"/>
      <c r="JG12" s="534"/>
      <c r="JH12" s="534">
        <f>JD12-JF12</f>
        <v>10</v>
      </c>
      <c r="JI12" s="534">
        <v>8</v>
      </c>
      <c r="JJ12" s="534">
        <v>94</v>
      </c>
      <c r="JK12" s="534">
        <f>SUM(JL12:JN12)</f>
        <v>94</v>
      </c>
      <c r="JL12" s="534">
        <f>IZ12</f>
        <v>29</v>
      </c>
      <c r="JM12" s="534">
        <f t="shared" ref="JM12:JM18" si="19">JH12</f>
        <v>10</v>
      </c>
      <c r="JN12" s="534">
        <f>IF((JJ12-JL12-JM12)&lt;0,0,(JJ12-JL12-JM12))</f>
        <v>55</v>
      </c>
      <c r="JO12" s="534">
        <f t="shared" ref="JO12:JO18" si="20">+JK12-JJ12</f>
        <v>0</v>
      </c>
    </row>
    <row r="13" spans="1:275" ht="47.25" x14ac:dyDescent="0.2">
      <c r="A13" s="362">
        <v>3</v>
      </c>
      <c r="B13" s="361" t="s">
        <v>666</v>
      </c>
      <c r="C13" s="534">
        <f t="shared" si="5"/>
        <v>4015</v>
      </c>
      <c r="D13" s="534">
        <f t="shared" si="5"/>
        <v>3679.1499999999996</v>
      </c>
      <c r="E13" s="534">
        <f t="shared" si="5"/>
        <v>3479</v>
      </c>
      <c r="F13" s="534">
        <f t="shared" si="5"/>
        <v>4084</v>
      </c>
      <c r="G13" s="534">
        <f t="shared" si="5"/>
        <v>19213.017</v>
      </c>
      <c r="H13" s="534">
        <f t="shared" si="5"/>
        <v>7055</v>
      </c>
      <c r="I13" s="534">
        <f t="shared" si="5"/>
        <v>10885.017</v>
      </c>
      <c r="J13" s="534">
        <f t="shared" si="5"/>
        <v>1273</v>
      </c>
      <c r="K13" s="534">
        <f t="shared" si="5"/>
        <v>-19</v>
      </c>
      <c r="L13" s="534">
        <f t="shared" si="5"/>
        <v>15148.017</v>
      </c>
      <c r="M13" s="534">
        <f t="shared" si="5"/>
        <v>0</v>
      </c>
      <c r="N13" s="534">
        <f t="shared" si="5"/>
        <v>5027.0599999999995</v>
      </c>
      <c r="O13" s="534">
        <f t="shared" si="5"/>
        <v>19</v>
      </c>
      <c r="P13" s="534">
        <f t="shared" si="5"/>
        <v>10120.957</v>
      </c>
      <c r="Q13" s="534">
        <f t="shared" si="6"/>
        <v>2993</v>
      </c>
      <c r="R13" s="534">
        <f t="shared" si="6"/>
        <v>3876</v>
      </c>
      <c r="S13" s="534">
        <f t="shared" si="6"/>
        <v>17708.957000000002</v>
      </c>
      <c r="T13" s="534">
        <f t="shared" si="6"/>
        <v>7055</v>
      </c>
      <c r="U13" s="534">
        <f t="shared" si="6"/>
        <v>10120.957</v>
      </c>
      <c r="V13" s="534">
        <f t="shared" si="6"/>
        <v>533</v>
      </c>
      <c r="W13" s="534">
        <f t="shared" si="6"/>
        <v>13832.957</v>
      </c>
      <c r="X13" s="534">
        <v>398</v>
      </c>
      <c r="Y13" s="534">
        <v>445</v>
      </c>
      <c r="Z13" s="534">
        <v>258</v>
      </c>
      <c r="AA13" s="534">
        <v>269</v>
      </c>
      <c r="AB13" s="534">
        <f>AC13+AD13+AE13</f>
        <v>4122.0169999999998</v>
      </c>
      <c r="AC13" s="534">
        <v>1709</v>
      </c>
      <c r="AD13" s="1234">
        <v>2413.0169999999998</v>
      </c>
      <c r="AE13" s="534"/>
      <c r="AF13" s="534">
        <v>0</v>
      </c>
      <c r="AG13" s="534">
        <f>AB13-AA13</f>
        <v>3853.0169999999998</v>
      </c>
      <c r="AH13" s="534"/>
      <c r="AI13" s="534">
        <v>0</v>
      </c>
      <c r="AJ13" s="534"/>
      <c r="AK13" s="534">
        <f>AG13-AI13</f>
        <v>3853.0169999999998</v>
      </c>
      <c r="AL13" s="534">
        <v>248</v>
      </c>
      <c r="AM13" s="534">
        <v>333</v>
      </c>
      <c r="AN13" s="534">
        <f>AO13+AP13+AQ13</f>
        <v>5562.0169999999998</v>
      </c>
      <c r="AO13" s="534">
        <v>1709</v>
      </c>
      <c r="AP13" s="534">
        <f>AK13</f>
        <v>3853.0169999999998</v>
      </c>
      <c r="AQ13" s="534">
        <f>IF((AM13-AO13-AP13)&lt;0,0,(AM13-AO13-AP13))</f>
        <v>0</v>
      </c>
      <c r="AR13" s="534">
        <f>+AN13-AM13</f>
        <v>5229.0169999999998</v>
      </c>
      <c r="AS13" s="534">
        <v>129</v>
      </c>
      <c r="AT13" s="534">
        <v>83</v>
      </c>
      <c r="AU13" s="534">
        <v>120</v>
      </c>
      <c r="AV13" s="534">
        <v>161</v>
      </c>
      <c r="AW13" s="534">
        <f>AX13+AY13+AZ13</f>
        <v>1901</v>
      </c>
      <c r="AX13" s="534">
        <v>982</v>
      </c>
      <c r="AY13" s="534">
        <v>919</v>
      </c>
      <c r="AZ13" s="534"/>
      <c r="BA13" s="534"/>
      <c r="BB13" s="534">
        <f>AW13-AV13</f>
        <v>1740</v>
      </c>
      <c r="BC13" s="534"/>
      <c r="BD13" s="534">
        <f>BB13</f>
        <v>1740</v>
      </c>
      <c r="BE13" s="534"/>
      <c r="BF13" s="1233"/>
      <c r="BG13" s="534">
        <v>119</v>
      </c>
      <c r="BH13" s="534">
        <v>160</v>
      </c>
      <c r="BI13" s="534">
        <f>+BJ13+BK13+BL13</f>
        <v>982</v>
      </c>
      <c r="BJ13" s="534">
        <v>982</v>
      </c>
      <c r="BK13" s="534">
        <f>BF13</f>
        <v>0</v>
      </c>
      <c r="BL13" s="534">
        <f>IF((BH13-BJ13-BK13)&lt;0,0,(BH13-BJ13-BK13))</f>
        <v>0</v>
      </c>
      <c r="BM13" s="534">
        <f>+BI13-BH13</f>
        <v>822</v>
      </c>
      <c r="BN13" s="534">
        <v>198</v>
      </c>
      <c r="BO13" s="534">
        <v>226</v>
      </c>
      <c r="BP13" s="534">
        <v>233</v>
      </c>
      <c r="BQ13" s="534">
        <v>313</v>
      </c>
      <c r="BR13" s="534">
        <f>BS13+BT13+BU13</f>
        <v>4450</v>
      </c>
      <c r="BS13" s="534">
        <v>1603</v>
      </c>
      <c r="BT13" s="534">
        <v>2847</v>
      </c>
      <c r="BU13" s="534"/>
      <c r="BV13" s="534"/>
      <c r="BW13" s="534">
        <f t="shared" ref="BW13:BW18" si="21">INT(BR13-BQ13)</f>
        <v>4137</v>
      </c>
      <c r="BX13" s="534"/>
      <c r="BY13" s="534">
        <f>-BV12</f>
        <v>53</v>
      </c>
      <c r="BZ13" s="534"/>
      <c r="CA13" s="534">
        <f t="shared" si="9"/>
        <v>4084</v>
      </c>
      <c r="CB13" s="534">
        <v>107</v>
      </c>
      <c r="CC13" s="534">
        <v>192</v>
      </c>
      <c r="CD13" s="534">
        <f>+CE13+CF13+CG13</f>
        <v>5687</v>
      </c>
      <c r="CE13" s="534">
        <v>1603</v>
      </c>
      <c r="CF13" s="534">
        <f>CA13</f>
        <v>4084</v>
      </c>
      <c r="CG13" s="534">
        <f>IF((CC13-CE13-CF13)&lt;0,0,(CC13-CE13-CF13))</f>
        <v>0</v>
      </c>
      <c r="CH13" s="534">
        <f>INT(CD13-CC13)</f>
        <v>5495</v>
      </c>
      <c r="CI13" s="534">
        <v>862</v>
      </c>
      <c r="CJ13" s="534">
        <v>554.16</v>
      </c>
      <c r="CK13" s="534">
        <v>473</v>
      </c>
      <c r="CL13" s="534">
        <v>500</v>
      </c>
      <c r="CM13" s="534">
        <f>CN13+CO13+CP13</f>
        <v>1319</v>
      </c>
      <c r="CN13" s="534">
        <v>488</v>
      </c>
      <c r="CO13" s="534">
        <v>548</v>
      </c>
      <c r="CP13" s="534">
        <v>283</v>
      </c>
      <c r="CQ13" s="534"/>
      <c r="CR13" s="534">
        <f>CM13-CL13</f>
        <v>819</v>
      </c>
      <c r="CS13" s="534"/>
      <c r="CT13" s="534"/>
      <c r="CU13" s="534"/>
      <c r="CV13" s="534">
        <f>+CR13-CT13</f>
        <v>819</v>
      </c>
      <c r="CW13" s="534">
        <v>473</v>
      </c>
      <c r="CX13" s="534">
        <v>634</v>
      </c>
      <c r="CY13" s="534">
        <f>SUM(CZ13:DB13)</f>
        <v>1307</v>
      </c>
      <c r="CZ13" s="534">
        <v>488</v>
      </c>
      <c r="DA13" s="534">
        <f>CV13</f>
        <v>819</v>
      </c>
      <c r="DB13" s="534">
        <f>IF((CX13-CZ13-DA13)&lt;0,0,(CX13-CZ13-DA13))</f>
        <v>0</v>
      </c>
      <c r="DC13" s="534">
        <f>+CY13-CX13</f>
        <v>673</v>
      </c>
      <c r="DD13" s="534">
        <v>455</v>
      </c>
      <c r="DE13" s="534">
        <v>298</v>
      </c>
      <c r="DF13" s="534">
        <v>797</v>
      </c>
      <c r="DG13" s="534">
        <v>1069</v>
      </c>
      <c r="DH13" s="534">
        <f>DI13+DJ13+DK13</f>
        <v>2531</v>
      </c>
      <c r="DI13" s="534">
        <v>463</v>
      </c>
      <c r="DJ13" s="534">
        <v>1462</v>
      </c>
      <c r="DK13" s="534">
        <v>606</v>
      </c>
      <c r="DL13" s="534"/>
      <c r="DM13" s="534">
        <f>DH13-DG13</f>
        <v>1462</v>
      </c>
      <c r="DN13" s="534"/>
      <c r="DO13" s="534">
        <f>DM13</f>
        <v>1462</v>
      </c>
      <c r="DP13" s="534"/>
      <c r="DQ13" s="534"/>
      <c r="DR13" s="534">
        <v>465</v>
      </c>
      <c r="DS13" s="534">
        <v>624</v>
      </c>
      <c r="DT13" s="534">
        <f>+DU13+DV13+DW13</f>
        <v>624</v>
      </c>
      <c r="DU13" s="534">
        <v>463</v>
      </c>
      <c r="DV13" s="534">
        <f>IF(DL13&lt;0,0,DL13)</f>
        <v>0</v>
      </c>
      <c r="DW13" s="534">
        <f>IF((DS13-DU13-DV13)&lt;0,0,(DS13-DU13-DV13))</f>
        <v>161</v>
      </c>
      <c r="DX13" s="534">
        <f>+DT13-DS13</f>
        <v>0</v>
      </c>
      <c r="DY13" s="1231">
        <v>77</v>
      </c>
      <c r="DZ13" s="534">
        <v>53.52</v>
      </c>
      <c r="EA13" s="1231">
        <v>87</v>
      </c>
      <c r="EB13" s="534">
        <v>97</v>
      </c>
      <c r="EC13" s="534">
        <f>ED13+EE13+EF13</f>
        <v>237</v>
      </c>
      <c r="ED13" s="534">
        <v>97</v>
      </c>
      <c r="EE13" s="534">
        <v>140</v>
      </c>
      <c r="EF13" s="534">
        <v>0</v>
      </c>
      <c r="EG13" s="534"/>
      <c r="EH13" s="534">
        <f>INT(EC13-EB13)</f>
        <v>140</v>
      </c>
      <c r="EI13" s="534"/>
      <c r="EJ13" s="534"/>
      <c r="EK13" s="534"/>
      <c r="EL13" s="534">
        <f t="shared" si="10"/>
        <v>140</v>
      </c>
      <c r="EM13" s="1231">
        <v>80</v>
      </c>
      <c r="EN13" s="534">
        <v>93</v>
      </c>
      <c r="EO13" s="534">
        <f>SUM(EP13:ER13)</f>
        <v>237</v>
      </c>
      <c r="EP13" s="534">
        <v>97</v>
      </c>
      <c r="EQ13" s="534">
        <f>EL13</f>
        <v>140</v>
      </c>
      <c r="ER13" s="534">
        <f>IF((EN13-EP13-EQ13)&lt;0,0,(EN13-EP13-EQ13))</f>
        <v>0</v>
      </c>
      <c r="ES13" s="534">
        <f>+EO13-EN13</f>
        <v>144</v>
      </c>
      <c r="ET13" s="534">
        <v>566</v>
      </c>
      <c r="EU13" s="534">
        <v>567.47</v>
      </c>
      <c r="EV13" s="534">
        <v>556</v>
      </c>
      <c r="EW13" s="534">
        <v>556</v>
      </c>
      <c r="EX13" s="534">
        <f>EY13+EZ13+FA13</f>
        <v>537</v>
      </c>
      <c r="EY13" s="534">
        <v>347</v>
      </c>
      <c r="EZ13" s="534"/>
      <c r="FA13" s="534">
        <v>190</v>
      </c>
      <c r="FB13" s="534">
        <f>EX13-EW13</f>
        <v>-19</v>
      </c>
      <c r="FC13" s="534"/>
      <c r="FD13" s="534"/>
      <c r="FE13" s="534"/>
      <c r="FF13" s="534">
        <f t="shared" si="11"/>
        <v>19</v>
      </c>
      <c r="FG13" s="534"/>
      <c r="FH13" s="534">
        <v>528</v>
      </c>
      <c r="FI13" s="534">
        <v>540</v>
      </c>
      <c r="FJ13" s="534">
        <f>+FK13+FL13+FM13</f>
        <v>540</v>
      </c>
      <c r="FK13" s="534">
        <v>347</v>
      </c>
      <c r="FL13" s="534">
        <f>IF(FB13&lt;0,0,FB13)</f>
        <v>0</v>
      </c>
      <c r="FM13" s="534">
        <f>IF((FI13-FK13-FL13)&lt;0,0,(FI13-FK13-FL13))</f>
        <v>193</v>
      </c>
      <c r="FN13" s="534">
        <f>+FJ13-FI13</f>
        <v>0</v>
      </c>
      <c r="FO13" s="534">
        <v>251</v>
      </c>
      <c r="FP13" s="534">
        <v>299</v>
      </c>
      <c r="FQ13" s="534">
        <v>264</v>
      </c>
      <c r="FR13" s="534">
        <v>260</v>
      </c>
      <c r="FS13" s="534">
        <f>FT13+FU13+FV13</f>
        <v>312</v>
      </c>
      <c r="FT13" s="534">
        <v>312</v>
      </c>
      <c r="FU13" s="534"/>
      <c r="FV13" s="534"/>
      <c r="FW13" s="534"/>
      <c r="FX13" s="534">
        <f>FS13-FR13</f>
        <v>52</v>
      </c>
      <c r="FY13" s="534"/>
      <c r="FZ13" s="534">
        <f>52</f>
        <v>52</v>
      </c>
      <c r="GA13" s="534"/>
      <c r="GB13" s="534"/>
      <c r="GC13" s="534">
        <v>284</v>
      </c>
      <c r="GD13" s="534">
        <v>394</v>
      </c>
      <c r="GE13" s="534">
        <f>SUM(GF13:GH13)</f>
        <v>394</v>
      </c>
      <c r="GF13" s="534">
        <v>312</v>
      </c>
      <c r="GG13" s="534">
        <f>FW13</f>
        <v>0</v>
      </c>
      <c r="GH13" s="534">
        <f>IF((GD13-GF13-GG13)&lt;0,0,(GD13-GF13-GG13))</f>
        <v>82</v>
      </c>
      <c r="GI13" s="534">
        <f>+GE13-GD13</f>
        <v>0</v>
      </c>
      <c r="GJ13" s="534">
        <v>210</v>
      </c>
      <c r="GK13" s="534">
        <v>204</v>
      </c>
      <c r="GL13" s="534">
        <v>223</v>
      </c>
      <c r="GM13" s="534">
        <v>241</v>
      </c>
      <c r="GN13" s="534">
        <f>SUM(GO13:GQ13)</f>
        <v>241</v>
      </c>
      <c r="GO13" s="534">
        <v>97</v>
      </c>
      <c r="GP13" s="534">
        <v>0</v>
      </c>
      <c r="GQ13" s="534">
        <v>144</v>
      </c>
      <c r="GR13" s="534">
        <f>+GN13-GM13</f>
        <v>0</v>
      </c>
      <c r="GS13" s="534"/>
      <c r="GT13" s="534"/>
      <c r="GU13" s="534"/>
      <c r="GV13" s="534">
        <f t="shared" si="12"/>
        <v>0</v>
      </c>
      <c r="GW13" s="534"/>
      <c r="GX13" s="534">
        <v>145</v>
      </c>
      <c r="GY13" s="534">
        <v>194</v>
      </c>
      <c r="GZ13" s="534">
        <f>SUM(HA13:HC13)</f>
        <v>194</v>
      </c>
      <c r="HA13" s="534">
        <v>97</v>
      </c>
      <c r="HB13" s="534">
        <v>0</v>
      </c>
      <c r="HC13" s="534">
        <f>IF((GY13-HA13-HB13)&lt;0,0,(GY13-HA13-HB13))</f>
        <v>97</v>
      </c>
      <c r="HD13" s="534">
        <f>+GZ13-GY13</f>
        <v>0</v>
      </c>
      <c r="HE13" s="534">
        <v>474</v>
      </c>
      <c r="HF13" s="534">
        <v>440</v>
      </c>
      <c r="HG13" s="534">
        <v>224</v>
      </c>
      <c r="HH13" s="534">
        <v>298</v>
      </c>
      <c r="HI13" s="534">
        <f t="shared" si="13"/>
        <v>1654</v>
      </c>
      <c r="HJ13" s="534">
        <v>440</v>
      </c>
      <c r="HK13" s="534">
        <v>1164</v>
      </c>
      <c r="HL13" s="534">
        <v>50</v>
      </c>
      <c r="HM13" s="534"/>
      <c r="HN13" s="534">
        <f>HI13-HH13</f>
        <v>1356</v>
      </c>
      <c r="HO13" s="534"/>
      <c r="HP13" s="534">
        <f>-HM16-HM17</f>
        <v>1289.06</v>
      </c>
      <c r="HQ13" s="534"/>
      <c r="HR13" s="534">
        <f>+HN13-HP13</f>
        <v>66.940000000000055</v>
      </c>
      <c r="HS13" s="534">
        <v>250</v>
      </c>
      <c r="HT13" s="534">
        <v>333</v>
      </c>
      <c r="HU13" s="534">
        <f>SUM(HV13:HX13)</f>
        <v>506.94000000000005</v>
      </c>
      <c r="HV13" s="534">
        <v>440</v>
      </c>
      <c r="HW13" s="534">
        <f>HR13</f>
        <v>66.940000000000055</v>
      </c>
      <c r="HX13" s="534">
        <f>IF((HT13-HV13-HW13)&lt;0,0,(HT13-HV13-HW13))</f>
        <v>0</v>
      </c>
      <c r="HY13" s="534">
        <f t="shared" si="14"/>
        <v>173.94000000000005</v>
      </c>
      <c r="HZ13" s="534">
        <v>131</v>
      </c>
      <c r="IA13" s="534">
        <v>87</v>
      </c>
      <c r="IB13" s="534">
        <v>80</v>
      </c>
      <c r="IC13" s="534">
        <v>100</v>
      </c>
      <c r="ID13" s="534">
        <f t="shared" si="15"/>
        <v>540</v>
      </c>
      <c r="IE13" s="534">
        <v>170</v>
      </c>
      <c r="IF13" s="534">
        <v>370</v>
      </c>
      <c r="IG13" s="1231"/>
      <c r="IH13" s="534"/>
      <c r="II13" s="534">
        <f>ID13-IC13</f>
        <v>440</v>
      </c>
      <c r="IJ13" s="534"/>
      <c r="IK13" s="534"/>
      <c r="IL13" s="534"/>
      <c r="IM13" s="534">
        <f t="shared" si="16"/>
        <v>440</v>
      </c>
      <c r="IN13" s="534">
        <v>130</v>
      </c>
      <c r="IO13" s="534">
        <v>159</v>
      </c>
      <c r="IP13" s="534">
        <f>SUM(IQ13:IS13)</f>
        <v>610</v>
      </c>
      <c r="IQ13" s="534">
        <v>170</v>
      </c>
      <c r="IR13" s="534">
        <f t="shared" si="17"/>
        <v>440</v>
      </c>
      <c r="IS13" s="534">
        <f>IF((IO13-IQ13-IR13)&lt;0,0,(IO13-IQ13-IR13))</f>
        <v>0</v>
      </c>
      <c r="IT13" s="534">
        <f>+IP13-IO13</f>
        <v>451</v>
      </c>
      <c r="IU13" s="534">
        <v>264</v>
      </c>
      <c r="IV13" s="534">
        <v>422</v>
      </c>
      <c r="IW13" s="534">
        <v>164</v>
      </c>
      <c r="IX13" s="534">
        <v>220</v>
      </c>
      <c r="IY13" s="534">
        <f t="shared" si="18"/>
        <v>1369</v>
      </c>
      <c r="IZ13" s="534">
        <v>347</v>
      </c>
      <c r="JA13" s="534">
        <v>1022</v>
      </c>
      <c r="JB13" s="534"/>
      <c r="JC13" s="534"/>
      <c r="JD13" s="534">
        <f>IY13-IX13</f>
        <v>1149</v>
      </c>
      <c r="JE13" s="534"/>
      <c r="JF13" s="534">
        <f>-JC17</f>
        <v>431</v>
      </c>
      <c r="JG13" s="534"/>
      <c r="JH13" s="534">
        <f>JD13-JF13</f>
        <v>718</v>
      </c>
      <c r="JI13" s="534">
        <v>164</v>
      </c>
      <c r="JJ13" s="534">
        <v>220</v>
      </c>
      <c r="JK13" s="534">
        <f>+JL13+JM13+JN13</f>
        <v>1065</v>
      </c>
      <c r="JL13" s="534">
        <f>IZ13</f>
        <v>347</v>
      </c>
      <c r="JM13" s="534">
        <f t="shared" si="19"/>
        <v>718</v>
      </c>
      <c r="JN13" s="534">
        <f>IF((JJ13-JL13-JM13)&lt;0,0,(JJ13-JL13-JM13))</f>
        <v>0</v>
      </c>
      <c r="JO13" s="534">
        <f>+JK13-JJ13</f>
        <v>845</v>
      </c>
    </row>
    <row r="14" spans="1:275" ht="31.5" x14ac:dyDescent="0.2">
      <c r="A14" s="362">
        <v>4</v>
      </c>
      <c r="B14" s="361" t="s">
        <v>1499</v>
      </c>
      <c r="C14" s="534">
        <f t="shared" si="5"/>
        <v>0</v>
      </c>
      <c r="D14" s="534">
        <f t="shared" si="5"/>
        <v>0</v>
      </c>
      <c r="E14" s="534">
        <f t="shared" si="5"/>
        <v>0</v>
      </c>
      <c r="F14" s="534">
        <f t="shared" si="5"/>
        <v>0</v>
      </c>
      <c r="G14" s="534">
        <f t="shared" si="5"/>
        <v>0</v>
      </c>
      <c r="H14" s="534">
        <f t="shared" si="5"/>
        <v>0</v>
      </c>
      <c r="I14" s="534">
        <f t="shared" si="5"/>
        <v>0</v>
      </c>
      <c r="J14" s="534">
        <f t="shared" si="5"/>
        <v>0</v>
      </c>
      <c r="K14" s="534">
        <f t="shared" si="5"/>
        <v>0</v>
      </c>
      <c r="L14" s="534">
        <f t="shared" si="5"/>
        <v>0</v>
      </c>
      <c r="M14" s="534">
        <f t="shared" si="5"/>
        <v>0</v>
      </c>
      <c r="N14" s="534">
        <f t="shared" si="5"/>
        <v>0</v>
      </c>
      <c r="O14" s="534">
        <f t="shared" si="5"/>
        <v>0</v>
      </c>
      <c r="P14" s="534">
        <f t="shared" si="5"/>
        <v>0</v>
      </c>
      <c r="Q14" s="534">
        <f t="shared" si="6"/>
        <v>0</v>
      </c>
      <c r="R14" s="534">
        <f t="shared" si="6"/>
        <v>0</v>
      </c>
      <c r="S14" s="534">
        <f t="shared" si="6"/>
        <v>0</v>
      </c>
      <c r="T14" s="534">
        <f t="shared" si="6"/>
        <v>0</v>
      </c>
      <c r="U14" s="534">
        <f t="shared" si="6"/>
        <v>0</v>
      </c>
      <c r="V14" s="534">
        <f t="shared" si="6"/>
        <v>3963</v>
      </c>
      <c r="W14" s="534">
        <f t="shared" si="6"/>
        <v>0</v>
      </c>
      <c r="X14" s="534"/>
      <c r="Y14" s="534"/>
      <c r="Z14" s="534"/>
      <c r="AA14" s="534"/>
      <c r="AB14" s="534"/>
      <c r="AC14" s="534"/>
      <c r="AD14" s="534"/>
      <c r="AE14" s="534"/>
      <c r="AF14" s="534"/>
      <c r="AG14" s="534"/>
      <c r="AH14" s="534"/>
      <c r="AI14" s="534"/>
      <c r="AJ14" s="534"/>
      <c r="AK14" s="534">
        <f>AG14-AI14</f>
        <v>0</v>
      </c>
      <c r="AL14" s="534"/>
      <c r="AM14" s="534"/>
      <c r="AN14" s="534"/>
      <c r="AO14" s="534"/>
      <c r="AP14" s="534">
        <f>AK14</f>
        <v>0</v>
      </c>
      <c r="AQ14" s="534"/>
      <c r="AR14" s="534"/>
      <c r="AS14" s="534"/>
      <c r="AT14" s="534"/>
      <c r="AU14" s="534"/>
      <c r="AV14" s="534"/>
      <c r="AW14" s="534"/>
      <c r="AX14" s="534"/>
      <c r="AY14" s="534"/>
      <c r="AZ14" s="534"/>
      <c r="BA14" s="534"/>
      <c r="BB14" s="534">
        <f>AW14-AV14</f>
        <v>0</v>
      </c>
      <c r="BC14" s="534"/>
      <c r="BD14" s="534"/>
      <c r="BE14" s="534"/>
      <c r="BF14" s="534">
        <f>BB14-BD14</f>
        <v>0</v>
      </c>
      <c r="BG14" s="534"/>
      <c r="BH14" s="534"/>
      <c r="BI14" s="534"/>
      <c r="BJ14" s="534"/>
      <c r="BK14" s="534"/>
      <c r="BL14" s="534">
        <f>INT(790574400/1000000)</f>
        <v>790</v>
      </c>
      <c r="BM14" s="534"/>
      <c r="BN14" s="534"/>
      <c r="BO14" s="534"/>
      <c r="BP14" s="534"/>
      <c r="BQ14" s="534"/>
      <c r="BR14" s="534"/>
      <c r="BS14" s="534"/>
      <c r="BT14" s="534"/>
      <c r="BU14" s="534"/>
      <c r="BV14" s="534"/>
      <c r="BW14" s="534">
        <f t="shared" si="21"/>
        <v>0</v>
      </c>
      <c r="BX14" s="534"/>
      <c r="BY14" s="534"/>
      <c r="BZ14" s="534"/>
      <c r="CA14" s="534">
        <f t="shared" si="9"/>
        <v>0</v>
      </c>
      <c r="CB14" s="534"/>
      <c r="CC14" s="534"/>
      <c r="CD14" s="534"/>
      <c r="CE14" s="534"/>
      <c r="CF14" s="534"/>
      <c r="CG14" s="534">
        <f>INT(531471600/1000000)</f>
        <v>531</v>
      </c>
      <c r="CH14" s="534"/>
      <c r="CI14" s="534"/>
      <c r="CJ14" s="534"/>
      <c r="CK14" s="534"/>
      <c r="CL14" s="534"/>
      <c r="CM14" s="534"/>
      <c r="CN14" s="534"/>
      <c r="CO14" s="534"/>
      <c r="CP14" s="534"/>
      <c r="CQ14" s="534"/>
      <c r="CR14" s="534">
        <f>CM14-CL14</f>
        <v>0</v>
      </c>
      <c r="CS14" s="534"/>
      <c r="CT14" s="534"/>
      <c r="CU14" s="534"/>
      <c r="CV14" s="534">
        <f>+CR14-CT14</f>
        <v>0</v>
      </c>
      <c r="CW14" s="534"/>
      <c r="CX14" s="534"/>
      <c r="CY14" s="534"/>
      <c r="CZ14" s="534"/>
      <c r="DA14" s="534">
        <f>CV14</f>
        <v>0</v>
      </c>
      <c r="DB14" s="534">
        <f>INT(790574400/1000000)</f>
        <v>790</v>
      </c>
      <c r="DC14" s="534"/>
      <c r="DD14" s="534"/>
      <c r="DE14" s="534"/>
      <c r="DF14" s="534"/>
      <c r="DG14" s="534"/>
      <c r="DH14" s="534"/>
      <c r="DI14" s="534"/>
      <c r="DJ14" s="534"/>
      <c r="DK14" s="534"/>
      <c r="DL14" s="534"/>
      <c r="DM14" s="534">
        <f>DH14-DG14</f>
        <v>0</v>
      </c>
      <c r="DN14" s="534"/>
      <c r="DO14" s="534"/>
      <c r="DP14" s="534"/>
      <c r="DQ14" s="534"/>
      <c r="DR14" s="534"/>
      <c r="DS14" s="534"/>
      <c r="DT14" s="534"/>
      <c r="DU14" s="534"/>
      <c r="DV14" s="534"/>
      <c r="DW14" s="534"/>
      <c r="DX14" s="534"/>
      <c r="DY14" s="1231"/>
      <c r="DZ14" s="534"/>
      <c r="EA14" s="1231"/>
      <c r="EB14" s="534"/>
      <c r="EC14" s="534"/>
      <c r="ED14" s="534"/>
      <c r="EE14" s="534"/>
      <c r="EF14" s="534"/>
      <c r="EG14" s="534"/>
      <c r="EH14" s="534">
        <f>INT(EC14-EB14)</f>
        <v>0</v>
      </c>
      <c r="EI14" s="534"/>
      <c r="EJ14" s="534"/>
      <c r="EK14" s="534"/>
      <c r="EL14" s="534">
        <f t="shared" si="10"/>
        <v>0</v>
      </c>
      <c r="EM14" s="1231"/>
      <c r="EN14" s="534"/>
      <c r="EO14" s="534"/>
      <c r="EP14" s="534"/>
      <c r="EQ14" s="534">
        <f>EL14</f>
        <v>0</v>
      </c>
      <c r="ER14" s="534">
        <f>INT(790574400/1000000)</f>
        <v>790</v>
      </c>
      <c r="ES14" s="534"/>
      <c r="ET14" s="534"/>
      <c r="EU14" s="534"/>
      <c r="EV14" s="534"/>
      <c r="EW14" s="534"/>
      <c r="EX14" s="534"/>
      <c r="EY14" s="534"/>
      <c r="EZ14" s="534"/>
      <c r="FA14" s="534"/>
      <c r="FB14" s="534"/>
      <c r="FC14" s="534"/>
      <c r="FD14" s="534"/>
      <c r="FE14" s="534"/>
      <c r="FF14" s="534">
        <f t="shared" si="11"/>
        <v>0</v>
      </c>
      <c r="FG14" s="534"/>
      <c r="FH14" s="534"/>
      <c r="FI14" s="534"/>
      <c r="FJ14" s="534"/>
      <c r="FK14" s="534"/>
      <c r="FL14" s="534"/>
      <c r="FM14" s="534">
        <f>0</f>
        <v>0</v>
      </c>
      <c r="FN14" s="534"/>
      <c r="FO14" s="534"/>
      <c r="FP14" s="534"/>
      <c r="FQ14" s="534"/>
      <c r="FR14" s="534"/>
      <c r="FS14" s="534"/>
      <c r="FT14" s="534"/>
      <c r="FU14" s="534"/>
      <c r="FV14" s="534"/>
      <c r="FW14" s="534"/>
      <c r="FX14" s="534">
        <f>FS14-FR14</f>
        <v>0</v>
      </c>
      <c r="FY14" s="534"/>
      <c r="FZ14" s="534"/>
      <c r="GA14" s="534"/>
      <c r="GB14" s="534"/>
      <c r="GC14" s="534"/>
      <c r="GD14" s="534"/>
      <c r="GE14" s="534"/>
      <c r="GF14" s="534"/>
      <c r="GG14" s="534"/>
      <c r="GH14" s="534">
        <f>INT(531471600/1000000)</f>
        <v>531</v>
      </c>
      <c r="GI14" s="534"/>
      <c r="GJ14" s="534"/>
      <c r="GK14" s="534"/>
      <c r="GL14" s="534"/>
      <c r="GM14" s="534"/>
      <c r="GN14" s="534"/>
      <c r="GO14" s="534"/>
      <c r="GP14" s="534"/>
      <c r="GQ14" s="534"/>
      <c r="GR14" s="534">
        <f>+GN14-GM14</f>
        <v>0</v>
      </c>
      <c r="GS14" s="534"/>
      <c r="GT14" s="534"/>
      <c r="GU14" s="534"/>
      <c r="GV14" s="534">
        <f t="shared" si="12"/>
        <v>0</v>
      </c>
      <c r="GW14" s="534"/>
      <c r="GX14" s="534"/>
      <c r="GY14" s="534"/>
      <c r="GZ14" s="534"/>
      <c r="HA14" s="534"/>
      <c r="HB14" s="534"/>
      <c r="HC14" s="534"/>
      <c r="HD14" s="534"/>
      <c r="HE14" s="534"/>
      <c r="HF14" s="534"/>
      <c r="HG14" s="534"/>
      <c r="HH14" s="534"/>
      <c r="HI14" s="534"/>
      <c r="HJ14" s="534"/>
      <c r="HK14" s="534"/>
      <c r="HL14" s="534"/>
      <c r="HM14" s="534"/>
      <c r="HN14" s="534"/>
      <c r="HO14" s="534"/>
      <c r="HP14" s="534"/>
      <c r="HQ14" s="534"/>
      <c r="HR14" s="534">
        <f>+HN14-HP14</f>
        <v>0</v>
      </c>
      <c r="HS14" s="534"/>
      <c r="HT14" s="534"/>
      <c r="HU14" s="534"/>
      <c r="HV14" s="534"/>
      <c r="HW14" s="534"/>
      <c r="HX14" s="534"/>
      <c r="HY14" s="534"/>
      <c r="HZ14" s="534"/>
      <c r="IA14" s="534"/>
      <c r="IB14" s="534"/>
      <c r="IC14" s="534"/>
      <c r="ID14" s="534"/>
      <c r="IE14" s="534"/>
      <c r="IF14" s="534"/>
      <c r="IG14" s="1231"/>
      <c r="IH14" s="534"/>
      <c r="II14" s="534">
        <f>ID14-IC14</f>
        <v>0</v>
      </c>
      <c r="IJ14" s="534"/>
      <c r="IK14" s="534"/>
      <c r="IL14" s="534"/>
      <c r="IM14" s="534">
        <f t="shared" si="16"/>
        <v>0</v>
      </c>
      <c r="IN14" s="534"/>
      <c r="IO14" s="534"/>
      <c r="IP14" s="534"/>
      <c r="IQ14" s="534"/>
      <c r="IR14" s="534">
        <f t="shared" si="17"/>
        <v>0</v>
      </c>
      <c r="IS14" s="534"/>
      <c r="IT14" s="534"/>
      <c r="IU14" s="534"/>
      <c r="IV14" s="534"/>
      <c r="IW14" s="534"/>
      <c r="IX14" s="534"/>
      <c r="IY14" s="534"/>
      <c r="IZ14" s="534"/>
      <c r="JA14" s="534"/>
      <c r="JB14" s="534"/>
      <c r="JC14" s="534"/>
      <c r="JD14" s="534">
        <f>IY14-IX14</f>
        <v>0</v>
      </c>
      <c r="JE14" s="534"/>
      <c r="JF14" s="534"/>
      <c r="JG14" s="534"/>
      <c r="JH14" s="534">
        <f>JD14-JF14</f>
        <v>0</v>
      </c>
      <c r="JI14" s="534"/>
      <c r="JJ14" s="534"/>
      <c r="JK14" s="534"/>
      <c r="JL14" s="534"/>
      <c r="JM14" s="534">
        <f t="shared" si="19"/>
        <v>0</v>
      </c>
      <c r="JN14" s="534">
        <f>INT(531471600/1000000)</f>
        <v>531</v>
      </c>
      <c r="JO14" s="534"/>
    </row>
    <row r="15" spans="1:275" ht="15.75" x14ac:dyDescent="0.2">
      <c r="A15" s="364" t="s">
        <v>421</v>
      </c>
      <c r="B15" s="365" t="s">
        <v>699</v>
      </c>
      <c r="C15" s="535">
        <f t="shared" ref="C15:CD15" si="22">SUM(C16:C18)</f>
        <v>82750</v>
      </c>
      <c r="D15" s="535">
        <f t="shared" si="22"/>
        <v>311137.45</v>
      </c>
      <c r="E15" s="535">
        <f t="shared" si="22"/>
        <v>79926.399999999994</v>
      </c>
      <c r="F15" s="535">
        <f t="shared" si="22"/>
        <v>327358.56799999997</v>
      </c>
      <c r="G15" s="535">
        <f t="shared" si="22"/>
        <v>310331</v>
      </c>
      <c r="H15" s="535">
        <f t="shared" si="22"/>
        <v>186570</v>
      </c>
      <c r="I15" s="535">
        <f t="shared" si="22"/>
        <v>22592</v>
      </c>
      <c r="J15" s="535">
        <f t="shared" si="22"/>
        <v>101169</v>
      </c>
      <c r="K15" s="535">
        <f t="shared" si="22"/>
        <v>-26819.567999999999</v>
      </c>
      <c r="L15" s="535">
        <f t="shared" si="22"/>
        <v>9792</v>
      </c>
      <c r="M15" s="535">
        <f t="shared" si="22"/>
        <v>0</v>
      </c>
      <c r="N15" s="535">
        <f t="shared" si="22"/>
        <v>1993.9839999999999</v>
      </c>
      <c r="O15" s="535">
        <f t="shared" si="22"/>
        <v>15443</v>
      </c>
      <c r="P15" s="535">
        <f t="shared" si="22"/>
        <v>7367.0159999999996</v>
      </c>
      <c r="Q15" s="535">
        <f t="shared" si="22"/>
        <v>66749</v>
      </c>
      <c r="R15" s="535">
        <f t="shared" si="22"/>
        <v>323353</v>
      </c>
      <c r="S15" s="535">
        <f t="shared" si="22"/>
        <v>324933</v>
      </c>
      <c r="T15" s="535">
        <f t="shared" si="22"/>
        <v>186570</v>
      </c>
      <c r="U15" s="535">
        <f t="shared" si="22"/>
        <v>7798.0159999999996</v>
      </c>
      <c r="V15" s="535">
        <f t="shared" si="22"/>
        <v>130564.984</v>
      </c>
      <c r="W15" s="535">
        <f t="shared" si="22"/>
        <v>1580</v>
      </c>
      <c r="X15" s="535">
        <f t="shared" si="22"/>
        <v>9744</v>
      </c>
      <c r="Y15" s="535">
        <f t="shared" si="22"/>
        <v>27399</v>
      </c>
      <c r="Z15" s="535">
        <f>SUM(Z16:Z18)</f>
        <v>8810</v>
      </c>
      <c r="AA15" s="535">
        <f t="shared" si="22"/>
        <v>31132</v>
      </c>
      <c r="AB15" s="535">
        <f t="shared" si="22"/>
        <v>30205</v>
      </c>
      <c r="AC15" s="535">
        <f t="shared" si="22"/>
        <v>16351</v>
      </c>
      <c r="AD15" s="535">
        <f t="shared" si="22"/>
        <v>351</v>
      </c>
      <c r="AE15" s="535">
        <f t="shared" si="22"/>
        <v>13503</v>
      </c>
      <c r="AF15" s="535">
        <f t="shared" si="22"/>
        <v>-1629</v>
      </c>
      <c r="AG15" s="535">
        <f t="shared" si="22"/>
        <v>702</v>
      </c>
      <c r="AH15" s="535">
        <f t="shared" si="22"/>
        <v>0</v>
      </c>
      <c r="AI15" s="535">
        <f t="shared" si="22"/>
        <v>702</v>
      </c>
      <c r="AJ15" s="535">
        <f t="shared" si="22"/>
        <v>0</v>
      </c>
      <c r="AK15" s="535">
        <f t="shared" si="22"/>
        <v>0</v>
      </c>
      <c r="AL15" s="535">
        <f t="shared" si="22"/>
        <v>6810</v>
      </c>
      <c r="AM15" s="535">
        <f t="shared" si="22"/>
        <v>32200</v>
      </c>
      <c r="AN15" s="535">
        <f t="shared" si="22"/>
        <v>32551</v>
      </c>
      <c r="AO15" s="535">
        <f t="shared" si="22"/>
        <v>16351</v>
      </c>
      <c r="AP15" s="535">
        <f t="shared" si="22"/>
        <v>0</v>
      </c>
      <c r="AQ15" s="535">
        <f t="shared" si="22"/>
        <v>16200</v>
      </c>
      <c r="AR15" s="535">
        <f t="shared" si="22"/>
        <v>351</v>
      </c>
      <c r="AS15" s="535">
        <f t="shared" si="22"/>
        <v>2880</v>
      </c>
      <c r="AT15" s="535">
        <f t="shared" si="22"/>
        <v>12746</v>
      </c>
      <c r="AU15" s="535">
        <f t="shared" si="22"/>
        <v>3686</v>
      </c>
      <c r="AV15" s="535">
        <f t="shared" si="22"/>
        <v>14811.004000000001</v>
      </c>
      <c r="AW15" s="535">
        <f t="shared" si="22"/>
        <v>12460</v>
      </c>
      <c r="AX15" s="535">
        <f t="shared" si="22"/>
        <v>9548</v>
      </c>
      <c r="AY15" s="535">
        <f t="shared" si="22"/>
        <v>58</v>
      </c>
      <c r="AZ15" s="535">
        <f t="shared" si="22"/>
        <v>2854</v>
      </c>
      <c r="BA15" s="535">
        <f t="shared" si="22"/>
        <v>-2467.0039999999999</v>
      </c>
      <c r="BB15" s="535">
        <f t="shared" si="22"/>
        <v>116</v>
      </c>
      <c r="BC15" s="535">
        <f t="shared" si="22"/>
        <v>0</v>
      </c>
      <c r="BD15" s="535">
        <f t="shared" si="22"/>
        <v>116</v>
      </c>
      <c r="BE15" s="535">
        <f t="shared" si="22"/>
        <v>686</v>
      </c>
      <c r="BF15" s="535">
        <f t="shared" si="22"/>
        <v>0</v>
      </c>
      <c r="BG15" s="535">
        <f t="shared" si="22"/>
        <v>3119</v>
      </c>
      <c r="BH15" s="535">
        <f t="shared" si="22"/>
        <v>14460</v>
      </c>
      <c r="BI15" s="535">
        <f t="shared" si="22"/>
        <v>14518</v>
      </c>
      <c r="BJ15" s="535">
        <f t="shared" si="22"/>
        <v>9548</v>
      </c>
      <c r="BK15" s="535">
        <f t="shared" si="22"/>
        <v>0</v>
      </c>
      <c r="BL15" s="535">
        <f t="shared" si="22"/>
        <v>4970</v>
      </c>
      <c r="BM15" s="535">
        <f t="shared" si="22"/>
        <v>58</v>
      </c>
      <c r="BN15" s="535">
        <f t="shared" si="22"/>
        <v>4571</v>
      </c>
      <c r="BO15" s="535">
        <f t="shared" si="22"/>
        <v>12092</v>
      </c>
      <c r="BP15" s="535">
        <f t="shared" si="22"/>
        <v>3636</v>
      </c>
      <c r="BQ15" s="535">
        <f>SUM(BQ16:BQ18)</f>
        <v>13421</v>
      </c>
      <c r="BR15" s="535">
        <f t="shared" si="22"/>
        <v>15175</v>
      </c>
      <c r="BS15" s="535">
        <f t="shared" si="22"/>
        <v>8814</v>
      </c>
      <c r="BT15" s="535">
        <f t="shared" si="22"/>
        <v>1121</v>
      </c>
      <c r="BU15" s="535">
        <f t="shared" si="22"/>
        <v>5240</v>
      </c>
      <c r="BV15" s="535">
        <f t="shared" si="22"/>
        <v>-371</v>
      </c>
      <c r="BW15" s="535">
        <f t="shared" si="22"/>
        <v>2125</v>
      </c>
      <c r="BX15" s="535">
        <f t="shared" si="22"/>
        <v>0</v>
      </c>
      <c r="BY15" s="535">
        <f t="shared" si="22"/>
        <v>371</v>
      </c>
      <c r="BZ15" s="535">
        <f t="shared" si="22"/>
        <v>0</v>
      </c>
      <c r="CA15" s="535">
        <f t="shared" si="22"/>
        <v>1754</v>
      </c>
      <c r="CB15" s="535">
        <f t="shared" si="22"/>
        <v>3020</v>
      </c>
      <c r="CC15" s="535">
        <f t="shared" si="22"/>
        <v>13127</v>
      </c>
      <c r="CD15" s="535">
        <f t="shared" si="22"/>
        <v>14298</v>
      </c>
      <c r="CE15" s="535">
        <f t="shared" ref="CE15:FJ15" si="23">SUM(CE16:CE18)</f>
        <v>8814</v>
      </c>
      <c r="CF15" s="535">
        <f t="shared" si="23"/>
        <v>1754</v>
      </c>
      <c r="CG15" s="535">
        <f t="shared" si="23"/>
        <v>3730</v>
      </c>
      <c r="CH15" s="535">
        <f t="shared" si="23"/>
        <v>1171</v>
      </c>
      <c r="CI15" s="535">
        <f t="shared" si="23"/>
        <v>6614</v>
      </c>
      <c r="CJ15" s="535">
        <f t="shared" si="23"/>
        <v>18365</v>
      </c>
      <c r="CK15" s="535">
        <f t="shared" si="23"/>
        <v>4217</v>
      </c>
      <c r="CL15" s="535">
        <f t="shared" si="23"/>
        <v>21447.984</v>
      </c>
      <c r="CM15" s="535">
        <f t="shared" si="23"/>
        <v>25070</v>
      </c>
      <c r="CN15" s="535">
        <f t="shared" si="23"/>
        <v>11527</v>
      </c>
      <c r="CO15" s="535">
        <f t="shared" si="23"/>
        <v>1007</v>
      </c>
      <c r="CP15" s="535">
        <f t="shared" si="23"/>
        <v>12536</v>
      </c>
      <c r="CQ15" s="535">
        <f t="shared" si="23"/>
        <v>-447.98399999999998</v>
      </c>
      <c r="CR15" s="535">
        <f t="shared" si="23"/>
        <v>4070</v>
      </c>
      <c r="CS15" s="535">
        <f t="shared" si="23"/>
        <v>0</v>
      </c>
      <c r="CT15" s="535">
        <f t="shared" si="23"/>
        <v>447.98399999999998</v>
      </c>
      <c r="CU15" s="535">
        <f t="shared" si="23"/>
        <v>0</v>
      </c>
      <c r="CV15" s="535">
        <f t="shared" si="23"/>
        <v>3622.0160000000001</v>
      </c>
      <c r="CW15" s="535">
        <f t="shared" si="23"/>
        <v>3850</v>
      </c>
      <c r="CX15" s="535">
        <f t="shared" si="23"/>
        <v>19500</v>
      </c>
      <c r="CY15" s="535">
        <f t="shared" si="23"/>
        <v>19500</v>
      </c>
      <c r="CZ15" s="535">
        <f t="shared" si="23"/>
        <v>11527</v>
      </c>
      <c r="DA15" s="535">
        <f t="shared" si="23"/>
        <v>3622.0160000000001</v>
      </c>
      <c r="DB15" s="535">
        <f>SUM(DB16:DB18)</f>
        <v>4350.9840000000004</v>
      </c>
      <c r="DC15" s="535">
        <f t="shared" si="23"/>
        <v>0</v>
      </c>
      <c r="DD15" s="535">
        <f t="shared" si="23"/>
        <v>9165</v>
      </c>
      <c r="DE15" s="535">
        <f t="shared" si="23"/>
        <v>32123</v>
      </c>
      <c r="DF15" s="535">
        <f t="shared" si="23"/>
        <v>8719</v>
      </c>
      <c r="DG15" s="535">
        <f t="shared" si="23"/>
        <v>32229</v>
      </c>
      <c r="DH15" s="535">
        <f t="shared" si="23"/>
        <v>26105</v>
      </c>
      <c r="DI15" s="535">
        <f t="shared" si="23"/>
        <v>20210</v>
      </c>
      <c r="DJ15" s="535">
        <f t="shared" si="23"/>
        <v>0</v>
      </c>
      <c r="DK15" s="535">
        <f t="shared" si="23"/>
        <v>5895</v>
      </c>
      <c r="DL15" s="535">
        <f t="shared" si="23"/>
        <v>-6124</v>
      </c>
      <c r="DM15" s="535">
        <f t="shared" si="23"/>
        <v>0</v>
      </c>
      <c r="DN15" s="535">
        <f t="shared" si="23"/>
        <v>0</v>
      </c>
      <c r="DO15" s="535">
        <f t="shared" si="23"/>
        <v>0</v>
      </c>
      <c r="DP15" s="535">
        <f t="shared" si="23"/>
        <v>3337</v>
      </c>
      <c r="DQ15" s="535">
        <f t="shared" si="23"/>
        <v>0</v>
      </c>
      <c r="DR15" s="535">
        <f t="shared" si="23"/>
        <v>6649</v>
      </c>
      <c r="DS15" s="535">
        <f t="shared" si="23"/>
        <v>31339</v>
      </c>
      <c r="DT15" s="535">
        <f t="shared" si="23"/>
        <v>31339</v>
      </c>
      <c r="DU15" s="535">
        <f t="shared" si="23"/>
        <v>20210</v>
      </c>
      <c r="DV15" s="535">
        <f t="shared" si="23"/>
        <v>0</v>
      </c>
      <c r="DW15" s="535">
        <f t="shared" si="23"/>
        <v>11129</v>
      </c>
      <c r="DX15" s="535">
        <f t="shared" si="23"/>
        <v>0</v>
      </c>
      <c r="DY15" s="535">
        <f t="shared" si="23"/>
        <v>5548</v>
      </c>
      <c r="DZ15" s="535">
        <f t="shared" si="23"/>
        <v>24341</v>
      </c>
      <c r="EA15" s="1235">
        <f t="shared" si="23"/>
        <v>5565</v>
      </c>
      <c r="EB15" s="535">
        <f t="shared" si="23"/>
        <v>26283.52</v>
      </c>
      <c r="EC15" s="535">
        <f t="shared" si="23"/>
        <v>24000</v>
      </c>
      <c r="ED15" s="535">
        <f t="shared" si="23"/>
        <v>14950</v>
      </c>
      <c r="EE15" s="535">
        <f t="shared" si="23"/>
        <v>9050</v>
      </c>
      <c r="EF15" s="535">
        <f t="shared" si="23"/>
        <v>0</v>
      </c>
      <c r="EG15" s="535">
        <f t="shared" si="23"/>
        <v>-2283.52</v>
      </c>
      <c r="EH15" s="535">
        <f t="shared" si="23"/>
        <v>0</v>
      </c>
      <c r="EI15" s="535">
        <f t="shared" si="23"/>
        <v>0</v>
      </c>
      <c r="EJ15" s="535">
        <f t="shared" si="23"/>
        <v>0</v>
      </c>
      <c r="EK15" s="535">
        <f t="shared" si="23"/>
        <v>0</v>
      </c>
      <c r="EL15" s="535">
        <f t="shared" si="23"/>
        <v>0</v>
      </c>
      <c r="EM15" s="535">
        <f t="shared" si="23"/>
        <v>5382</v>
      </c>
      <c r="EN15" s="535">
        <f t="shared" si="23"/>
        <v>26064</v>
      </c>
      <c r="EO15" s="535">
        <f t="shared" si="23"/>
        <v>26064</v>
      </c>
      <c r="EP15" s="535">
        <f t="shared" si="23"/>
        <v>14950</v>
      </c>
      <c r="EQ15" s="535">
        <f t="shared" si="23"/>
        <v>0</v>
      </c>
      <c r="ER15" s="535">
        <f t="shared" si="23"/>
        <v>11114</v>
      </c>
      <c r="ES15" s="535">
        <f t="shared" si="23"/>
        <v>0</v>
      </c>
      <c r="ET15" s="535">
        <f t="shared" si="23"/>
        <v>10140</v>
      </c>
      <c r="EU15" s="535">
        <f t="shared" si="23"/>
        <v>41099.620000000003</v>
      </c>
      <c r="EV15" s="535">
        <f t="shared" si="23"/>
        <v>9269</v>
      </c>
      <c r="EW15" s="535">
        <f t="shared" si="23"/>
        <v>37361</v>
      </c>
      <c r="EX15" s="535">
        <f t="shared" si="23"/>
        <v>30503</v>
      </c>
      <c r="EY15" s="535">
        <f t="shared" si="23"/>
        <v>21000</v>
      </c>
      <c r="EZ15" s="535">
        <f t="shared" si="23"/>
        <v>-4497</v>
      </c>
      <c r="FA15" s="535">
        <f t="shared" si="23"/>
        <v>14000</v>
      </c>
      <c r="FB15" s="535">
        <f t="shared" si="23"/>
        <v>-6858</v>
      </c>
      <c r="FC15" s="535">
        <f t="shared" si="23"/>
        <v>0</v>
      </c>
      <c r="FD15" s="535">
        <f t="shared" si="23"/>
        <v>0</v>
      </c>
      <c r="FE15" s="535">
        <f t="shared" si="23"/>
        <v>0</v>
      </c>
      <c r="FF15" s="535">
        <f t="shared" si="23"/>
        <v>6858</v>
      </c>
      <c r="FG15" s="535">
        <f t="shared" si="23"/>
        <v>0</v>
      </c>
      <c r="FH15" s="535">
        <f t="shared" si="23"/>
        <v>8306</v>
      </c>
      <c r="FI15" s="535">
        <f t="shared" si="23"/>
        <v>37986</v>
      </c>
      <c r="FJ15" s="535">
        <f t="shared" si="23"/>
        <v>37986</v>
      </c>
      <c r="FK15" s="535">
        <f t="shared" ref="FK15:IP15" si="24">SUM(FK16:FK18)</f>
        <v>21000</v>
      </c>
      <c r="FL15" s="535">
        <f t="shared" si="24"/>
        <v>0</v>
      </c>
      <c r="FM15" s="535">
        <f t="shared" si="24"/>
        <v>16986</v>
      </c>
      <c r="FN15" s="535">
        <f t="shared" si="24"/>
        <v>0</v>
      </c>
      <c r="FO15" s="535">
        <f t="shared" si="24"/>
        <v>6130</v>
      </c>
      <c r="FP15" s="535">
        <f t="shared" si="24"/>
        <v>21190</v>
      </c>
      <c r="FQ15" s="535">
        <f t="shared" si="24"/>
        <v>6715</v>
      </c>
      <c r="FR15" s="535">
        <f t="shared" si="24"/>
        <v>22217</v>
      </c>
      <c r="FS15" s="535">
        <f t="shared" si="24"/>
        <v>20160</v>
      </c>
      <c r="FT15" s="535">
        <f t="shared" si="24"/>
        <v>13680</v>
      </c>
      <c r="FU15" s="535">
        <f t="shared" si="24"/>
        <v>-1397</v>
      </c>
      <c r="FV15" s="535">
        <f t="shared" si="24"/>
        <v>7877</v>
      </c>
      <c r="FW15" s="535">
        <f t="shared" si="24"/>
        <v>-2057</v>
      </c>
      <c r="FX15" s="535">
        <f t="shared" si="24"/>
        <v>0</v>
      </c>
      <c r="FY15" s="535">
        <f t="shared" si="24"/>
        <v>0</v>
      </c>
      <c r="FZ15" s="535">
        <f t="shared" si="24"/>
        <v>0</v>
      </c>
      <c r="GA15" s="535">
        <f t="shared" si="24"/>
        <v>2057</v>
      </c>
      <c r="GB15" s="535">
        <f t="shared" si="24"/>
        <v>0</v>
      </c>
      <c r="GC15" s="535">
        <f t="shared" si="24"/>
        <v>5530</v>
      </c>
      <c r="GD15" s="535">
        <f t="shared" si="24"/>
        <v>21557</v>
      </c>
      <c r="GE15" s="535">
        <f t="shared" si="24"/>
        <v>21557</v>
      </c>
      <c r="GF15" s="535">
        <f t="shared" si="24"/>
        <v>13680</v>
      </c>
      <c r="GG15" s="535">
        <f t="shared" si="24"/>
        <v>0</v>
      </c>
      <c r="GH15" s="535">
        <f t="shared" si="24"/>
        <v>7877</v>
      </c>
      <c r="GI15" s="535">
        <f t="shared" si="24"/>
        <v>0</v>
      </c>
      <c r="GJ15" s="535">
        <f t="shared" si="24"/>
        <v>5554</v>
      </c>
      <c r="GK15" s="535">
        <f t="shared" si="24"/>
        <v>32249.83</v>
      </c>
      <c r="GL15" s="535">
        <f t="shared" si="24"/>
        <v>5954.4</v>
      </c>
      <c r="GM15" s="535">
        <f t="shared" si="24"/>
        <v>36764</v>
      </c>
      <c r="GN15" s="535">
        <f t="shared" si="24"/>
        <v>34259</v>
      </c>
      <c r="GO15" s="535">
        <f t="shared" si="24"/>
        <v>20270</v>
      </c>
      <c r="GP15" s="535">
        <f t="shared" si="24"/>
        <v>-551</v>
      </c>
      <c r="GQ15" s="535">
        <f t="shared" si="24"/>
        <v>14540</v>
      </c>
      <c r="GR15" s="535">
        <f t="shared" si="24"/>
        <v>-2505</v>
      </c>
      <c r="GS15" s="535">
        <f t="shared" si="24"/>
        <v>0</v>
      </c>
      <c r="GT15" s="535">
        <f t="shared" si="24"/>
        <v>0</v>
      </c>
      <c r="GU15" s="535">
        <f t="shared" si="24"/>
        <v>0</v>
      </c>
      <c r="GV15" s="535">
        <f t="shared" si="24"/>
        <v>2505</v>
      </c>
      <c r="GW15" s="535">
        <f t="shared" si="24"/>
        <v>0</v>
      </c>
      <c r="GX15" s="535">
        <f t="shared" si="24"/>
        <v>5280</v>
      </c>
      <c r="GY15" s="535">
        <f t="shared" si="24"/>
        <v>35750</v>
      </c>
      <c r="GZ15" s="535">
        <f t="shared" si="24"/>
        <v>35750</v>
      </c>
      <c r="HA15" s="535">
        <f t="shared" si="24"/>
        <v>20270</v>
      </c>
      <c r="HB15" s="535">
        <f t="shared" si="24"/>
        <v>0</v>
      </c>
      <c r="HC15" s="535">
        <f t="shared" si="24"/>
        <v>15480</v>
      </c>
      <c r="HD15" s="535">
        <f t="shared" si="24"/>
        <v>0</v>
      </c>
      <c r="HE15" s="535">
        <f t="shared" si="24"/>
        <v>9233</v>
      </c>
      <c r="HF15" s="535">
        <f t="shared" si="24"/>
        <v>34582</v>
      </c>
      <c r="HG15" s="535">
        <f t="shared" si="24"/>
        <v>10794</v>
      </c>
      <c r="HH15" s="535">
        <f t="shared" si="24"/>
        <v>34588.06</v>
      </c>
      <c r="HI15" s="535">
        <f t="shared" si="24"/>
        <v>33299</v>
      </c>
      <c r="HJ15" s="535">
        <f t="shared" si="24"/>
        <v>20520</v>
      </c>
      <c r="HK15" s="535">
        <f t="shared" si="24"/>
        <v>2521</v>
      </c>
      <c r="HL15" s="535">
        <f t="shared" si="24"/>
        <v>10258</v>
      </c>
      <c r="HM15" s="535">
        <f t="shared" si="24"/>
        <v>-1289.06</v>
      </c>
      <c r="HN15" s="535">
        <f t="shared" si="24"/>
        <v>0</v>
      </c>
      <c r="HO15" s="535">
        <f t="shared" si="24"/>
        <v>0</v>
      </c>
      <c r="HP15" s="535">
        <f t="shared" si="24"/>
        <v>0</v>
      </c>
      <c r="HQ15" s="535">
        <f t="shared" si="24"/>
        <v>0</v>
      </c>
      <c r="HR15" s="535">
        <f t="shared" si="24"/>
        <v>0</v>
      </c>
      <c r="HS15" s="535">
        <f t="shared" si="24"/>
        <v>7200</v>
      </c>
      <c r="HT15" s="535">
        <f t="shared" si="24"/>
        <v>33870</v>
      </c>
      <c r="HU15" s="535">
        <f t="shared" si="24"/>
        <v>33870</v>
      </c>
      <c r="HV15" s="535">
        <f t="shared" si="24"/>
        <v>20520</v>
      </c>
      <c r="HW15" s="535">
        <f t="shared" si="24"/>
        <v>0</v>
      </c>
      <c r="HX15" s="535">
        <f t="shared" si="24"/>
        <v>13350</v>
      </c>
      <c r="HY15" s="535">
        <f t="shared" si="24"/>
        <v>0</v>
      </c>
      <c r="HZ15" s="535">
        <f t="shared" si="24"/>
        <v>5252</v>
      </c>
      <c r="IA15" s="535">
        <f t="shared" si="24"/>
        <v>20859</v>
      </c>
      <c r="IB15" s="535">
        <f t="shared" si="24"/>
        <v>5235</v>
      </c>
      <c r="IC15" s="535">
        <f t="shared" si="24"/>
        <v>22658</v>
      </c>
      <c r="ID15" s="535">
        <f t="shared" si="24"/>
        <v>25080</v>
      </c>
      <c r="IE15" s="535">
        <f t="shared" si="24"/>
        <v>10200</v>
      </c>
      <c r="IF15" s="535">
        <f t="shared" si="24"/>
        <v>14880</v>
      </c>
      <c r="IG15" s="1235">
        <f t="shared" si="24"/>
        <v>0</v>
      </c>
      <c r="IH15" s="535">
        <f t="shared" si="24"/>
        <v>-357</v>
      </c>
      <c r="II15" s="535">
        <f t="shared" si="24"/>
        <v>2779</v>
      </c>
      <c r="IJ15" s="535">
        <f t="shared" si="24"/>
        <v>0</v>
      </c>
      <c r="IK15" s="535">
        <f t="shared" si="24"/>
        <v>357</v>
      </c>
      <c r="IL15" s="535">
        <f t="shared" si="24"/>
        <v>0</v>
      </c>
      <c r="IM15" s="535">
        <f t="shared" si="24"/>
        <v>2422</v>
      </c>
      <c r="IN15" s="535">
        <f t="shared" si="24"/>
        <v>4985</v>
      </c>
      <c r="IO15" s="535">
        <f t="shared" si="24"/>
        <v>23500</v>
      </c>
      <c r="IP15" s="535">
        <f t="shared" si="24"/>
        <v>23500</v>
      </c>
      <c r="IQ15" s="535">
        <f t="shared" ref="IQ15:JO15" si="25">SUM(IQ16:IQ18)</f>
        <v>10200</v>
      </c>
      <c r="IR15" s="535">
        <f t="shared" si="25"/>
        <v>2422</v>
      </c>
      <c r="IS15" s="535">
        <f t="shared" si="25"/>
        <v>10878</v>
      </c>
      <c r="IT15" s="535">
        <f t="shared" si="25"/>
        <v>0</v>
      </c>
      <c r="IU15" s="535">
        <f t="shared" si="25"/>
        <v>7919</v>
      </c>
      <c r="IV15" s="535">
        <f t="shared" si="25"/>
        <v>34091</v>
      </c>
      <c r="IW15" s="535">
        <f t="shared" si="25"/>
        <v>7326</v>
      </c>
      <c r="IX15" s="535">
        <f t="shared" si="25"/>
        <v>34446</v>
      </c>
      <c r="IY15" s="535">
        <f t="shared" si="25"/>
        <v>34015</v>
      </c>
      <c r="IZ15" s="535">
        <f t="shared" si="25"/>
        <v>19500</v>
      </c>
      <c r="JA15" s="535">
        <f t="shared" si="25"/>
        <v>49</v>
      </c>
      <c r="JB15" s="535">
        <f t="shared" si="25"/>
        <v>14466</v>
      </c>
      <c r="JC15" s="535">
        <f t="shared" si="25"/>
        <v>-431</v>
      </c>
      <c r="JD15" s="535">
        <f t="shared" si="25"/>
        <v>0</v>
      </c>
      <c r="JE15" s="535">
        <f t="shared" si="25"/>
        <v>0</v>
      </c>
      <c r="JF15" s="535">
        <f t="shared" si="25"/>
        <v>0</v>
      </c>
      <c r="JG15" s="535">
        <f t="shared" si="25"/>
        <v>0</v>
      </c>
      <c r="JH15" s="535">
        <f t="shared" si="25"/>
        <v>-431</v>
      </c>
      <c r="JI15" s="535">
        <f t="shared" si="25"/>
        <v>6618</v>
      </c>
      <c r="JJ15" s="535">
        <f t="shared" si="25"/>
        <v>34000</v>
      </c>
      <c r="JK15" s="535">
        <f t="shared" si="25"/>
        <v>34000</v>
      </c>
      <c r="JL15" s="535">
        <f t="shared" si="25"/>
        <v>19500</v>
      </c>
      <c r="JM15" s="535">
        <f t="shared" si="25"/>
        <v>0</v>
      </c>
      <c r="JN15" s="535">
        <f t="shared" si="25"/>
        <v>14500</v>
      </c>
      <c r="JO15" s="535">
        <f t="shared" si="25"/>
        <v>0</v>
      </c>
    </row>
    <row r="16" spans="1:275" ht="110.25" x14ac:dyDescent="0.2">
      <c r="A16" s="362">
        <v>1</v>
      </c>
      <c r="B16" s="361" t="s">
        <v>697</v>
      </c>
      <c r="C16" s="534">
        <f t="shared" ref="C16:R18" si="26">SUM(X16,AS16,BN16,CI16,DD16,DY16,ET16,FO16,GJ16,HE16,HZ16,IU16)</f>
        <v>63148</v>
      </c>
      <c r="D16" s="534">
        <f t="shared" si="26"/>
        <v>300136</v>
      </c>
      <c r="E16" s="534">
        <f t="shared" si="26"/>
        <v>67436.399999999994</v>
      </c>
      <c r="F16" s="534">
        <f t="shared" si="26"/>
        <v>320139</v>
      </c>
      <c r="G16" s="534">
        <f t="shared" si="26"/>
        <v>310534</v>
      </c>
      <c r="H16" s="534">
        <f t="shared" si="26"/>
        <v>185647</v>
      </c>
      <c r="I16" s="534">
        <f t="shared" si="26"/>
        <v>23718</v>
      </c>
      <c r="J16" s="534">
        <f t="shared" si="26"/>
        <v>101169</v>
      </c>
      <c r="K16" s="534">
        <f t="shared" si="26"/>
        <v>-17551</v>
      </c>
      <c r="L16" s="534">
        <f t="shared" si="26"/>
        <v>7946</v>
      </c>
      <c r="M16" s="534">
        <f t="shared" si="26"/>
        <v>0</v>
      </c>
      <c r="N16" s="534">
        <f t="shared" si="26"/>
        <v>804.98399999999992</v>
      </c>
      <c r="O16" s="534">
        <f t="shared" si="26"/>
        <v>11179</v>
      </c>
      <c r="P16" s="534">
        <f t="shared" si="26"/>
        <v>6710.0159999999996</v>
      </c>
      <c r="Q16" s="534">
        <f t="shared" si="26"/>
        <v>66749</v>
      </c>
      <c r="R16" s="534">
        <f t="shared" si="26"/>
        <v>323353</v>
      </c>
      <c r="S16" s="534">
        <f t="shared" ref="Q16:W18" si="27">SUM(AN16,BI16,CD16,CY16,DT16,EO16,FJ16,GE16,GZ16,HU16,IP16,JK16)</f>
        <v>323353</v>
      </c>
      <c r="T16" s="534">
        <f t="shared" si="27"/>
        <v>185647</v>
      </c>
      <c r="U16" s="534">
        <f t="shared" si="27"/>
        <v>7141.0159999999996</v>
      </c>
      <c r="V16" s="534">
        <f t="shared" si="27"/>
        <v>130564.984</v>
      </c>
      <c r="W16" s="534">
        <f t="shared" si="27"/>
        <v>0</v>
      </c>
      <c r="X16" s="534">
        <v>6144</v>
      </c>
      <c r="Y16" s="534">
        <v>25641</v>
      </c>
      <c r="Z16" s="778">
        <v>6989</v>
      </c>
      <c r="AA16" s="534">
        <v>30023</v>
      </c>
      <c r="AB16" s="534">
        <f>AC16+AD16+AE16</f>
        <v>29503</v>
      </c>
      <c r="AC16" s="534">
        <v>16000</v>
      </c>
      <c r="AD16" s="534">
        <v>0</v>
      </c>
      <c r="AE16" s="534">
        <v>13503</v>
      </c>
      <c r="AF16" s="534">
        <f>+AB16-AA16</f>
        <v>-520</v>
      </c>
      <c r="AG16" s="534"/>
      <c r="AH16" s="534"/>
      <c r="AI16" s="534"/>
      <c r="AJ16" s="534"/>
      <c r="AK16" s="534">
        <f>AG16-AI16</f>
        <v>0</v>
      </c>
      <c r="AL16" s="778">
        <v>6810</v>
      </c>
      <c r="AM16" s="534">
        <v>32200</v>
      </c>
      <c r="AN16" s="534">
        <f>AO16+AP16+AQ16</f>
        <v>32200</v>
      </c>
      <c r="AO16" s="534">
        <v>16000</v>
      </c>
      <c r="AP16" s="534">
        <f>AK16</f>
        <v>0</v>
      </c>
      <c r="AQ16" s="534">
        <f>IF((AM16-AO16-AP16)&lt;0,0,(AM16-AO16-AP16))</f>
        <v>16200</v>
      </c>
      <c r="AR16" s="534">
        <f>+AN16-AM16</f>
        <v>0</v>
      </c>
      <c r="AS16" s="534">
        <v>2294</v>
      </c>
      <c r="AT16" s="534">
        <v>11695</v>
      </c>
      <c r="AU16" s="534">
        <v>3119</v>
      </c>
      <c r="AV16" s="534">
        <v>14464</v>
      </c>
      <c r="AW16" s="534">
        <f>+AX16+AY16+AZ16</f>
        <v>12344</v>
      </c>
      <c r="AX16" s="534">
        <v>9490</v>
      </c>
      <c r="AY16" s="534"/>
      <c r="AZ16" s="534">
        <v>2854</v>
      </c>
      <c r="BA16" s="534">
        <f>AW16-AV16</f>
        <v>-2120</v>
      </c>
      <c r="BB16" s="534"/>
      <c r="BC16" s="534"/>
      <c r="BD16" s="534"/>
      <c r="BE16" s="534">
        <v>686</v>
      </c>
      <c r="BF16" s="534"/>
      <c r="BG16" s="534">
        <v>3119</v>
      </c>
      <c r="BH16" s="534">
        <v>14460</v>
      </c>
      <c r="BI16" s="534">
        <f t="shared" si="8"/>
        <v>14460</v>
      </c>
      <c r="BJ16" s="534">
        <v>9490</v>
      </c>
      <c r="BK16" s="534">
        <f>+BA16-BA16</f>
        <v>0</v>
      </c>
      <c r="BL16" s="534">
        <f>IF((BH16-BJ16-BK16)&lt;0,0,(BH16-BJ16-BK16))</f>
        <v>4970</v>
      </c>
      <c r="BM16" s="534">
        <f>+BI16-BH16</f>
        <v>0</v>
      </c>
      <c r="BN16" s="534">
        <v>3636</v>
      </c>
      <c r="BO16" s="534">
        <v>11584</v>
      </c>
      <c r="BP16" s="534">
        <v>3020</v>
      </c>
      <c r="BQ16" s="534">
        <v>13050</v>
      </c>
      <c r="BR16" s="534">
        <f t="shared" si="7"/>
        <v>14147</v>
      </c>
      <c r="BS16" s="534">
        <v>8300</v>
      </c>
      <c r="BT16" s="534">
        <v>607</v>
      </c>
      <c r="BU16" s="534">
        <v>5240</v>
      </c>
      <c r="BV16" s="534"/>
      <c r="BW16" s="534">
        <f t="shared" si="21"/>
        <v>1097</v>
      </c>
      <c r="BX16" s="534"/>
      <c r="BY16" s="534"/>
      <c r="BZ16" s="534"/>
      <c r="CA16" s="534">
        <f t="shared" si="9"/>
        <v>1097</v>
      </c>
      <c r="CB16" s="534">
        <v>3020</v>
      </c>
      <c r="CC16" s="534">
        <v>13127</v>
      </c>
      <c r="CD16" s="534">
        <f>+CE16+CF16+CG16</f>
        <v>13127</v>
      </c>
      <c r="CE16" s="534">
        <v>8300</v>
      </c>
      <c r="CF16" s="534">
        <f>CA16</f>
        <v>1097</v>
      </c>
      <c r="CG16" s="534">
        <f>INT(IF((CC16-CE16-CF16)&lt;0,0,(CC16-CE16-CF16)))</f>
        <v>3730</v>
      </c>
      <c r="CH16" s="534">
        <f>INT(CD16-CC16)</f>
        <v>0</v>
      </c>
      <c r="CI16" s="1236">
        <v>3309</v>
      </c>
      <c r="CJ16" s="534">
        <v>16344</v>
      </c>
      <c r="CK16" s="1231">
        <v>3485</v>
      </c>
      <c r="CL16" s="534">
        <v>21000</v>
      </c>
      <c r="CM16" s="534">
        <f>CN16+CO16+CP16</f>
        <v>25070</v>
      </c>
      <c r="CN16" s="534">
        <v>11527</v>
      </c>
      <c r="CO16" s="534">
        <v>1007</v>
      </c>
      <c r="CP16" s="534">
        <v>12536</v>
      </c>
      <c r="CQ16" s="534"/>
      <c r="CR16" s="534">
        <f>+CM16-CL16</f>
        <v>4070</v>
      </c>
      <c r="CS16" s="534"/>
      <c r="CT16" s="534">
        <f>-CQ17</f>
        <v>447.98399999999998</v>
      </c>
      <c r="CU16" s="534"/>
      <c r="CV16" s="534">
        <f>+CR16-CT16</f>
        <v>3622.0160000000001</v>
      </c>
      <c r="CW16" s="1231">
        <v>3850</v>
      </c>
      <c r="CX16" s="534">
        <v>19500</v>
      </c>
      <c r="CY16" s="534">
        <f>SUM(CZ16:DB16)</f>
        <v>19500</v>
      </c>
      <c r="CZ16" s="534">
        <v>11527</v>
      </c>
      <c r="DA16" s="534">
        <f>CV16</f>
        <v>3622.0160000000001</v>
      </c>
      <c r="DB16" s="534">
        <f>IF((CX16-CZ16-DA16)&lt;0,0,(CX16-CZ16-DA16))</f>
        <v>4350.9840000000004</v>
      </c>
      <c r="DC16" s="534">
        <f>+CY16-CX16</f>
        <v>0</v>
      </c>
      <c r="DD16" s="534">
        <v>6595</v>
      </c>
      <c r="DE16" s="534">
        <v>30921</v>
      </c>
      <c r="DF16" s="534">
        <v>6649</v>
      </c>
      <c r="DG16" s="534">
        <v>31339</v>
      </c>
      <c r="DH16" s="534">
        <f>DI16+DJ16+DK16</f>
        <v>26105</v>
      </c>
      <c r="DI16" s="534">
        <v>20210</v>
      </c>
      <c r="DJ16" s="534"/>
      <c r="DK16" s="534">
        <v>5895</v>
      </c>
      <c r="DL16" s="534">
        <f>DH16-DG16</f>
        <v>-5234</v>
      </c>
      <c r="DM16" s="534"/>
      <c r="DN16" s="534"/>
      <c r="DO16" s="534"/>
      <c r="DP16" s="534">
        <f>-DL19-DM19</f>
        <v>3337</v>
      </c>
      <c r="DQ16" s="534"/>
      <c r="DR16" s="534">
        <v>6649</v>
      </c>
      <c r="DS16" s="534">
        <v>31339</v>
      </c>
      <c r="DT16" s="534">
        <f>+DU16+DV16+DW16</f>
        <v>31339</v>
      </c>
      <c r="DU16" s="534">
        <v>20210</v>
      </c>
      <c r="DV16" s="534">
        <f>IF(DL16&lt;0,0,DL16)</f>
        <v>0</v>
      </c>
      <c r="DW16" s="534">
        <f>IF((DS16-DU16-DV16)&lt;0,0,(DS16-DU16-DV16))</f>
        <v>11129</v>
      </c>
      <c r="DX16" s="534">
        <f>+DT16-DS16</f>
        <v>0</v>
      </c>
      <c r="DY16" s="1231">
        <v>4974</v>
      </c>
      <c r="DZ16" s="534">
        <v>23970</v>
      </c>
      <c r="EA16" s="1231">
        <v>5105</v>
      </c>
      <c r="EB16" s="534">
        <v>26000</v>
      </c>
      <c r="EC16" s="534">
        <f>ED16+EE16+EF16</f>
        <v>24000</v>
      </c>
      <c r="ED16" s="534">
        <v>14950</v>
      </c>
      <c r="EE16" s="534">
        <v>9050</v>
      </c>
      <c r="EF16" s="534"/>
      <c r="EG16" s="534">
        <f>+EC16-EB16</f>
        <v>-2000</v>
      </c>
      <c r="EH16" s="534"/>
      <c r="EI16" s="534"/>
      <c r="EJ16" s="534"/>
      <c r="EK16" s="534"/>
      <c r="EL16" s="534">
        <f t="shared" si="10"/>
        <v>0</v>
      </c>
      <c r="EM16" s="1231">
        <v>5382</v>
      </c>
      <c r="EN16" s="534">
        <v>26064</v>
      </c>
      <c r="EO16" s="534">
        <f>SUM(EP16:ER16)</f>
        <v>26064</v>
      </c>
      <c r="EP16" s="534">
        <v>14950</v>
      </c>
      <c r="EQ16" s="534">
        <f>EL16</f>
        <v>0</v>
      </c>
      <c r="ER16" s="534">
        <f>IF((EN16-EP16-EQ16)&lt;0,0,(EN16-EP16-EQ16))</f>
        <v>11114</v>
      </c>
      <c r="ES16" s="534">
        <f>+EO16-EN16</f>
        <v>0</v>
      </c>
      <c r="ET16" s="534">
        <v>8231</v>
      </c>
      <c r="EU16" s="534">
        <v>40025</v>
      </c>
      <c r="EV16" s="534">
        <v>7997</v>
      </c>
      <c r="EW16" s="534">
        <v>36460</v>
      </c>
      <c r="EX16" s="534">
        <f>EY16+EZ16+FA16</f>
        <v>31210</v>
      </c>
      <c r="EY16" s="534">
        <v>21000</v>
      </c>
      <c r="EZ16" s="534">
        <v>-3790</v>
      </c>
      <c r="FA16" s="534">
        <v>14000</v>
      </c>
      <c r="FB16" s="534">
        <f>EX16-EW16</f>
        <v>-5250</v>
      </c>
      <c r="FC16" s="534"/>
      <c r="FD16" s="534"/>
      <c r="FE16" s="534"/>
      <c r="FF16" s="534">
        <f t="shared" si="11"/>
        <v>5250</v>
      </c>
      <c r="FG16" s="534"/>
      <c r="FH16" s="534">
        <v>8306</v>
      </c>
      <c r="FI16" s="534">
        <v>37986</v>
      </c>
      <c r="FJ16" s="534">
        <f>+FK16+FL16+FM16</f>
        <v>37986</v>
      </c>
      <c r="FK16" s="534">
        <v>21000</v>
      </c>
      <c r="FL16" s="1237"/>
      <c r="FM16" s="534">
        <f>IF((FI16-FK16-FL16)&lt;0,0,(FI16-FK16-FL16))</f>
        <v>16986</v>
      </c>
      <c r="FN16" s="534">
        <f>+FJ16-FI16</f>
        <v>0</v>
      </c>
      <c r="FO16" s="534">
        <v>4740</v>
      </c>
      <c r="FP16" s="534">
        <v>20339</v>
      </c>
      <c r="FQ16" s="534">
        <v>5530</v>
      </c>
      <c r="FR16" s="534">
        <v>21557</v>
      </c>
      <c r="FS16" s="534">
        <f>FT16+FU16+FV16</f>
        <v>21502</v>
      </c>
      <c r="FT16" s="534">
        <v>13680</v>
      </c>
      <c r="FU16" s="534">
        <v>-55</v>
      </c>
      <c r="FV16" s="534">
        <v>7877</v>
      </c>
      <c r="FW16" s="534">
        <f>+FS16-FR16</f>
        <v>-55</v>
      </c>
      <c r="FX16" s="534"/>
      <c r="FY16" s="534"/>
      <c r="FZ16" s="534"/>
      <c r="GA16" s="534">
        <f>-FW16</f>
        <v>55</v>
      </c>
      <c r="GB16" s="534"/>
      <c r="GC16" s="534">
        <v>5530</v>
      </c>
      <c r="GD16" s="534">
        <v>21557</v>
      </c>
      <c r="GE16" s="534">
        <f>SUM(GF16:GH16)</f>
        <v>21557</v>
      </c>
      <c r="GF16" s="534">
        <v>13680</v>
      </c>
      <c r="GG16" s="534">
        <f>FW16-FW16</f>
        <v>0</v>
      </c>
      <c r="GH16" s="534">
        <f>IF((GD16-GF16-GG16)&lt;0,0,(GD16-GF16-GG16))</f>
        <v>7877</v>
      </c>
      <c r="GI16" s="534">
        <f>+GE16-GD16</f>
        <v>0</v>
      </c>
      <c r="GJ16" s="534">
        <v>4364</v>
      </c>
      <c r="GK16" s="534">
        <v>31517</v>
      </c>
      <c r="GL16" s="778">
        <v>4800.3999999999996</v>
      </c>
      <c r="GM16" s="534">
        <v>36110</v>
      </c>
      <c r="GN16" s="534">
        <f>SUM(GO16:GQ16)</f>
        <v>34259</v>
      </c>
      <c r="GO16" s="534">
        <v>20270</v>
      </c>
      <c r="GP16" s="534">
        <v>-551</v>
      </c>
      <c r="GQ16" s="534">
        <v>14540</v>
      </c>
      <c r="GR16" s="534">
        <f>+GN16-GM16</f>
        <v>-1851</v>
      </c>
      <c r="GS16" s="534"/>
      <c r="GT16" s="534"/>
      <c r="GU16" s="534"/>
      <c r="GV16" s="534">
        <f>-GR16</f>
        <v>1851</v>
      </c>
      <c r="GW16" s="534">
        <f>+GS16-GU16</f>
        <v>0</v>
      </c>
      <c r="GX16" s="778">
        <v>5280</v>
      </c>
      <c r="GY16" s="534">
        <v>35750</v>
      </c>
      <c r="GZ16" s="534">
        <f>SUM(HA16:HC16)</f>
        <v>35750</v>
      </c>
      <c r="HA16" s="534">
        <v>20270</v>
      </c>
      <c r="HB16" s="534">
        <f>GW16</f>
        <v>0</v>
      </c>
      <c r="HC16" s="534">
        <f>IF((GY16-HA16-HB16)&lt;0,0,(GY16-HA16-HB16))</f>
        <v>15480</v>
      </c>
      <c r="HD16" s="534">
        <f>+GZ16-GY16</f>
        <v>0</v>
      </c>
      <c r="HE16" s="534">
        <v>7190</v>
      </c>
      <c r="HF16" s="534">
        <v>34013</v>
      </c>
      <c r="HG16" s="534">
        <v>9539</v>
      </c>
      <c r="HH16" s="534">
        <v>33820</v>
      </c>
      <c r="HI16" s="534">
        <f t="shared" si="13"/>
        <v>33299</v>
      </c>
      <c r="HJ16" s="534">
        <v>20520</v>
      </c>
      <c r="HK16" s="534">
        <v>2521</v>
      </c>
      <c r="HL16" s="534">
        <v>10258</v>
      </c>
      <c r="HM16" s="534">
        <f>+HI16-HH16</f>
        <v>-521</v>
      </c>
      <c r="HN16" s="534"/>
      <c r="HO16" s="534"/>
      <c r="HP16" s="534"/>
      <c r="HQ16" s="534"/>
      <c r="HR16" s="534"/>
      <c r="HS16" s="534">
        <v>7200</v>
      </c>
      <c r="HT16" s="534">
        <v>33870</v>
      </c>
      <c r="HU16" s="534">
        <f>SUM(HV16:HX16)</f>
        <v>33870</v>
      </c>
      <c r="HV16" s="534">
        <v>20520</v>
      </c>
      <c r="HW16" s="534">
        <f>HM16-HM16</f>
        <v>0</v>
      </c>
      <c r="HX16" s="534">
        <f>IF((HT16-HV16-HW16)&lt;0,0,(HT16-HV16-HW16))</f>
        <v>13350</v>
      </c>
      <c r="HY16" s="534">
        <f t="shared" si="14"/>
        <v>0</v>
      </c>
      <c r="HZ16" s="534">
        <v>4460</v>
      </c>
      <c r="IA16" s="534">
        <v>20427</v>
      </c>
      <c r="IB16" s="534">
        <v>4585</v>
      </c>
      <c r="IC16" s="534">
        <v>22301</v>
      </c>
      <c r="ID16" s="534">
        <f t="shared" si="15"/>
        <v>25080</v>
      </c>
      <c r="IE16" s="534">
        <v>10200</v>
      </c>
      <c r="IF16" s="534">
        <f>228+14652</f>
        <v>14880</v>
      </c>
      <c r="IG16" s="1231">
        <v>0</v>
      </c>
      <c r="IH16" s="534"/>
      <c r="II16" s="534">
        <f>ID16-IC16</f>
        <v>2779</v>
      </c>
      <c r="IJ16" s="534"/>
      <c r="IK16" s="534">
        <f>-IH17</f>
        <v>357</v>
      </c>
      <c r="IL16" s="534"/>
      <c r="IM16" s="534">
        <f t="shared" si="16"/>
        <v>2422</v>
      </c>
      <c r="IN16" s="534">
        <v>4985</v>
      </c>
      <c r="IO16" s="534">
        <v>23500</v>
      </c>
      <c r="IP16" s="534">
        <f>SUM(IQ16:IS16)</f>
        <v>23500</v>
      </c>
      <c r="IQ16" s="534">
        <f>IE16</f>
        <v>10200</v>
      </c>
      <c r="IR16" s="534">
        <f t="shared" si="17"/>
        <v>2422</v>
      </c>
      <c r="IS16" s="534">
        <f>IF((IO16-IQ16-IR16)&lt;0,0,(IO16-IQ16-IR16))</f>
        <v>10878</v>
      </c>
      <c r="IT16" s="534">
        <f>+IP16-IO16</f>
        <v>0</v>
      </c>
      <c r="IU16" s="534">
        <v>7211</v>
      </c>
      <c r="IV16" s="534">
        <v>33660</v>
      </c>
      <c r="IW16" s="534">
        <v>6618</v>
      </c>
      <c r="IX16" s="778">
        <v>34015</v>
      </c>
      <c r="IY16" s="534">
        <f t="shared" si="18"/>
        <v>34015</v>
      </c>
      <c r="IZ16" s="534">
        <v>19500</v>
      </c>
      <c r="JA16" s="534">
        <v>49</v>
      </c>
      <c r="JB16" s="534">
        <v>14466</v>
      </c>
      <c r="JC16" s="534"/>
      <c r="JD16" s="534">
        <f>IY16-IX16</f>
        <v>0</v>
      </c>
      <c r="JE16" s="534"/>
      <c r="JF16" s="534"/>
      <c r="JG16" s="534"/>
      <c r="JH16" s="534">
        <f>JD16+JC17</f>
        <v>-431</v>
      </c>
      <c r="JI16" s="534">
        <v>6618</v>
      </c>
      <c r="JJ16" s="778">
        <v>34000</v>
      </c>
      <c r="JK16" s="534">
        <f>SUM(JL16:JN16)</f>
        <v>34000</v>
      </c>
      <c r="JL16" s="534">
        <v>19500</v>
      </c>
      <c r="JM16" s="534"/>
      <c r="JN16" s="534">
        <f>IF((JJ16-JL16-JM16)&lt;0,0,(JJ16-JL16-JM16))</f>
        <v>14500</v>
      </c>
      <c r="JO16" s="534">
        <f t="shared" si="20"/>
        <v>0</v>
      </c>
    </row>
    <row r="17" spans="1:275" ht="15.75" x14ac:dyDescent="0.2">
      <c r="A17" s="362">
        <v>2</v>
      </c>
      <c r="B17" s="361" t="s">
        <v>664</v>
      </c>
      <c r="C17" s="534">
        <f t="shared" si="26"/>
        <v>19602</v>
      </c>
      <c r="D17" s="534">
        <f t="shared" si="26"/>
        <v>11001.449999999999</v>
      </c>
      <c r="E17" s="534">
        <f t="shared" si="26"/>
        <v>12490</v>
      </c>
      <c r="F17" s="534">
        <f t="shared" si="26"/>
        <v>7219.5679999999993</v>
      </c>
      <c r="G17" s="534">
        <f t="shared" si="26"/>
        <v>-2049</v>
      </c>
      <c r="H17" s="534">
        <f t="shared" si="26"/>
        <v>0</v>
      </c>
      <c r="I17" s="534">
        <f t="shared" si="26"/>
        <v>-2049</v>
      </c>
      <c r="J17" s="534">
        <f t="shared" si="26"/>
        <v>0</v>
      </c>
      <c r="K17" s="534">
        <f t="shared" si="26"/>
        <v>-9268.5679999999993</v>
      </c>
      <c r="L17" s="534">
        <f t="shared" si="26"/>
        <v>0</v>
      </c>
      <c r="M17" s="534">
        <f t="shared" si="26"/>
        <v>0</v>
      </c>
      <c r="N17" s="534">
        <f t="shared" si="26"/>
        <v>0</v>
      </c>
      <c r="O17" s="534">
        <f t="shared" si="26"/>
        <v>4264</v>
      </c>
      <c r="P17" s="534">
        <f t="shared" si="26"/>
        <v>0</v>
      </c>
      <c r="Q17" s="534">
        <f t="shared" si="27"/>
        <v>0</v>
      </c>
      <c r="R17" s="534">
        <f t="shared" si="27"/>
        <v>0</v>
      </c>
      <c r="S17" s="534">
        <f t="shared" si="27"/>
        <v>0</v>
      </c>
      <c r="T17" s="534">
        <f t="shared" si="27"/>
        <v>0</v>
      </c>
      <c r="U17" s="534">
        <f t="shared" si="27"/>
        <v>0</v>
      </c>
      <c r="V17" s="534">
        <f t="shared" si="27"/>
        <v>0</v>
      </c>
      <c r="W17" s="534">
        <f t="shared" si="27"/>
        <v>0</v>
      </c>
      <c r="X17" s="534">
        <v>3600</v>
      </c>
      <c r="Y17" s="534">
        <v>1758</v>
      </c>
      <c r="Z17" s="534">
        <v>1821</v>
      </c>
      <c r="AA17" s="534">
        <f>1109</f>
        <v>1109</v>
      </c>
      <c r="AB17" s="534">
        <f>AC17+AD17+AE17</f>
        <v>0</v>
      </c>
      <c r="AC17" s="534"/>
      <c r="AD17" s="534"/>
      <c r="AE17" s="534"/>
      <c r="AF17" s="534">
        <f>+AB17-AA17</f>
        <v>-1109</v>
      </c>
      <c r="AG17" s="534"/>
      <c r="AH17" s="534"/>
      <c r="AI17" s="534"/>
      <c r="AJ17" s="534"/>
      <c r="AK17" s="534">
        <f>AG17-AI17</f>
        <v>0</v>
      </c>
      <c r="AL17" s="534">
        <v>0</v>
      </c>
      <c r="AM17" s="534">
        <v>0</v>
      </c>
      <c r="AN17" s="534">
        <f>AO17+AP17+AQ17</f>
        <v>0</v>
      </c>
      <c r="AO17" s="534"/>
      <c r="AP17" s="534">
        <f>AK17</f>
        <v>0</v>
      </c>
      <c r="AQ17" s="534">
        <f>IF((AM17-AO17-AP17)&lt;0,0,(AM17-AO17-AP17))</f>
        <v>0</v>
      </c>
      <c r="AR17" s="534">
        <f>+AN17-AM17</f>
        <v>0</v>
      </c>
      <c r="AS17" s="534">
        <v>586</v>
      </c>
      <c r="AT17" s="534">
        <v>1051</v>
      </c>
      <c r="AU17" s="534">
        <v>567</v>
      </c>
      <c r="AV17" s="534">
        <f>AU17*51000*12/1000000</f>
        <v>347.00400000000002</v>
      </c>
      <c r="AW17" s="534">
        <f>+AX17+AY17+AZ17</f>
        <v>0</v>
      </c>
      <c r="AX17" s="534"/>
      <c r="AY17" s="534"/>
      <c r="AZ17" s="534"/>
      <c r="BA17" s="534">
        <f>AW17-AV17</f>
        <v>-347.00400000000002</v>
      </c>
      <c r="BB17" s="534"/>
      <c r="BC17" s="534"/>
      <c r="BD17" s="534"/>
      <c r="BE17" s="534"/>
      <c r="BF17" s="534"/>
      <c r="BG17" s="534">
        <v>0</v>
      </c>
      <c r="BH17" s="534"/>
      <c r="BI17" s="534">
        <f t="shared" si="8"/>
        <v>0</v>
      </c>
      <c r="BJ17" s="534"/>
      <c r="BK17" s="534">
        <f>BA17-BA17</f>
        <v>0</v>
      </c>
      <c r="BL17" s="534">
        <f>IF((BH17-BJ17-BK17)&lt;0,0,(BH17-BJ17-BK17))</f>
        <v>0</v>
      </c>
      <c r="BM17" s="534">
        <f>+BI17-BH17</f>
        <v>0</v>
      </c>
      <c r="BN17" s="534">
        <v>935</v>
      </c>
      <c r="BO17" s="534">
        <v>508</v>
      </c>
      <c r="BP17" s="534">
        <v>616</v>
      </c>
      <c r="BQ17" s="534">
        <v>371</v>
      </c>
      <c r="BR17" s="534">
        <f t="shared" si="7"/>
        <v>0</v>
      </c>
      <c r="BS17" s="534"/>
      <c r="BT17" s="534"/>
      <c r="BU17" s="534"/>
      <c r="BV17" s="534">
        <f>+BR17-BQ17</f>
        <v>-371</v>
      </c>
      <c r="BW17" s="534"/>
      <c r="BX17" s="534"/>
      <c r="BY17" s="534"/>
      <c r="BZ17" s="534"/>
      <c r="CA17" s="534">
        <f t="shared" si="9"/>
        <v>0</v>
      </c>
      <c r="CB17" s="534">
        <v>0</v>
      </c>
      <c r="CC17" s="534">
        <v>0</v>
      </c>
      <c r="CD17" s="534">
        <f>+CE17+CF17+CG17</f>
        <v>0</v>
      </c>
      <c r="CE17" s="534"/>
      <c r="CF17" s="534">
        <f>IF(BV17&lt;0,0,BV17)</f>
        <v>0</v>
      </c>
      <c r="CG17" s="534">
        <f>IF((CC17-CE17-CF17)&lt;0,0,(CC17-CE17-CF17))</f>
        <v>0</v>
      </c>
      <c r="CH17" s="534">
        <f>INT(CD17-CC17)</f>
        <v>0</v>
      </c>
      <c r="CI17" s="534">
        <v>3305</v>
      </c>
      <c r="CJ17" s="534">
        <v>2021</v>
      </c>
      <c r="CK17" s="534">
        <v>732</v>
      </c>
      <c r="CL17" s="534">
        <f>CK17*51000*12/1000000</f>
        <v>447.98399999999998</v>
      </c>
      <c r="CM17" s="534">
        <f>CN17+CO17+CP17</f>
        <v>0</v>
      </c>
      <c r="CN17" s="534"/>
      <c r="CO17" s="534">
        <v>0</v>
      </c>
      <c r="CP17" s="534">
        <v>0</v>
      </c>
      <c r="CQ17" s="534">
        <f>+CM17-CL17</f>
        <v>-447.98399999999998</v>
      </c>
      <c r="CR17" s="534"/>
      <c r="CS17" s="534"/>
      <c r="CT17" s="534"/>
      <c r="CU17" s="534"/>
      <c r="CV17" s="534">
        <f>+CR17-CT17</f>
        <v>0</v>
      </c>
      <c r="CW17" s="534">
        <v>0</v>
      </c>
      <c r="CX17" s="534">
        <v>0</v>
      </c>
      <c r="CY17" s="534">
        <f>SUM(CZ17:DB17)</f>
        <v>0</v>
      </c>
      <c r="CZ17" s="534"/>
      <c r="DA17" s="534">
        <f>CV17</f>
        <v>0</v>
      </c>
      <c r="DB17" s="534">
        <f>IF((CX17-CZ17-DA17)&lt;0,0,(CX17-CZ17-DA17))</f>
        <v>0</v>
      </c>
      <c r="DC17" s="534">
        <f>+CY17-CX17</f>
        <v>0</v>
      </c>
      <c r="DD17" s="534">
        <v>2570</v>
      </c>
      <c r="DE17" s="534">
        <v>1202</v>
      </c>
      <c r="DF17" s="534">
        <v>2070</v>
      </c>
      <c r="DG17" s="534">
        <v>890</v>
      </c>
      <c r="DH17" s="534">
        <f>DI17+DJ17+DK17</f>
        <v>0</v>
      </c>
      <c r="DI17" s="534"/>
      <c r="DJ17" s="534">
        <v>0</v>
      </c>
      <c r="DK17" s="534"/>
      <c r="DL17" s="534">
        <f>DH17-DG17</f>
        <v>-890</v>
      </c>
      <c r="DM17" s="534"/>
      <c r="DN17" s="534"/>
      <c r="DO17" s="534"/>
      <c r="DP17" s="534"/>
      <c r="DQ17" s="534"/>
      <c r="DR17" s="534">
        <v>0</v>
      </c>
      <c r="DS17" s="534">
        <f>DR17*51000*12/1000000</f>
        <v>0</v>
      </c>
      <c r="DT17" s="534">
        <f>+DU17+DV17+DW17</f>
        <v>0</v>
      </c>
      <c r="DU17" s="534"/>
      <c r="DV17" s="534">
        <f>IF(DL17&lt;0,0,DL17)</f>
        <v>0</v>
      </c>
      <c r="DW17" s="534">
        <f>IF((DS17-DU17-DV17)&lt;0,0,(DS17-DU17-DV17))</f>
        <v>0</v>
      </c>
      <c r="DX17" s="534">
        <f>+DT17-DS17</f>
        <v>0</v>
      </c>
      <c r="DY17" s="1231">
        <v>574</v>
      </c>
      <c r="DZ17" s="534">
        <v>371</v>
      </c>
      <c r="EA17" s="1231">
        <v>460</v>
      </c>
      <c r="EB17" s="534">
        <f>EA17*51000*12/1000000+2</f>
        <v>283.52</v>
      </c>
      <c r="EC17" s="534">
        <f>ED17+EE17+EF17</f>
        <v>0</v>
      </c>
      <c r="ED17" s="534"/>
      <c r="EE17" s="534">
        <v>0</v>
      </c>
      <c r="EF17" s="534"/>
      <c r="EG17" s="534">
        <f>EC17-EB17</f>
        <v>-283.52</v>
      </c>
      <c r="EH17" s="534"/>
      <c r="EI17" s="534"/>
      <c r="EJ17" s="534"/>
      <c r="EK17" s="534"/>
      <c r="EL17" s="534">
        <f t="shared" si="10"/>
        <v>0</v>
      </c>
      <c r="EM17" s="1231"/>
      <c r="EN17" s="534"/>
      <c r="EO17" s="534">
        <f>SUM(EP17:ER17)</f>
        <v>0</v>
      </c>
      <c r="EP17" s="534"/>
      <c r="EQ17" s="534">
        <f>EL17</f>
        <v>0</v>
      </c>
      <c r="ER17" s="534">
        <f>IF((EN17-EP17-EQ17)&lt;0,0,(EN17-EP17-EQ17))</f>
        <v>0</v>
      </c>
      <c r="ES17" s="534">
        <f>+EO17-EN17</f>
        <v>0</v>
      </c>
      <c r="ET17" s="534">
        <v>1909</v>
      </c>
      <c r="EU17" s="534">
        <v>1074.6199999999999</v>
      </c>
      <c r="EV17" s="534">
        <v>1272</v>
      </c>
      <c r="EW17" s="534">
        <v>901</v>
      </c>
      <c r="EX17" s="534">
        <f>EY17+EZ17+FA17</f>
        <v>-707</v>
      </c>
      <c r="EY17" s="534"/>
      <c r="EZ17" s="534">
        <v>-707</v>
      </c>
      <c r="FA17" s="534"/>
      <c r="FB17" s="534">
        <f>EX17-EW17</f>
        <v>-1608</v>
      </c>
      <c r="FC17" s="534"/>
      <c r="FD17" s="534"/>
      <c r="FE17" s="534"/>
      <c r="FF17" s="534">
        <f t="shared" si="11"/>
        <v>1608</v>
      </c>
      <c r="FG17" s="534"/>
      <c r="FH17" s="534"/>
      <c r="FI17" s="534"/>
      <c r="FJ17" s="534">
        <f>+FK17+FL17+FM17</f>
        <v>0</v>
      </c>
      <c r="FK17" s="534"/>
      <c r="FL17" s="534">
        <f>IF(FB17&lt;0,0,FB17)</f>
        <v>0</v>
      </c>
      <c r="FM17" s="534">
        <f>IF((FI17-FK17-FL17)&lt;0,0,(FI17-FK17-FL17))</f>
        <v>0</v>
      </c>
      <c r="FN17" s="534">
        <f>+FJ17-FI17</f>
        <v>0</v>
      </c>
      <c r="FO17" s="534">
        <v>1390</v>
      </c>
      <c r="FP17" s="534">
        <v>851</v>
      </c>
      <c r="FQ17" s="534">
        <v>1185</v>
      </c>
      <c r="FR17" s="534">
        <v>660</v>
      </c>
      <c r="FS17" s="534">
        <f>FT17+FU17+FV17</f>
        <v>-1342</v>
      </c>
      <c r="FT17" s="534"/>
      <c r="FU17" s="534">
        <v>-1342</v>
      </c>
      <c r="FV17" s="534"/>
      <c r="FW17" s="534">
        <f>+FS17-FR17</f>
        <v>-2002</v>
      </c>
      <c r="FX17" s="534"/>
      <c r="FY17" s="534"/>
      <c r="FZ17" s="534"/>
      <c r="GA17" s="534">
        <f>-FW17</f>
        <v>2002</v>
      </c>
      <c r="GB17" s="534"/>
      <c r="GC17" s="534"/>
      <c r="GD17" s="534"/>
      <c r="GE17" s="534">
        <f>SUM(GF17:GH17)</f>
        <v>0</v>
      </c>
      <c r="GF17" s="534"/>
      <c r="GG17" s="534">
        <f>FW17-FW17</f>
        <v>0</v>
      </c>
      <c r="GH17" s="534">
        <f>IF((GD17-GF17-GG17)&lt;0,0,(GD17-GF17-GG17))</f>
        <v>0</v>
      </c>
      <c r="GI17" s="534">
        <f>+GE17-GD17</f>
        <v>0</v>
      </c>
      <c r="GJ17" s="534">
        <v>1190</v>
      </c>
      <c r="GK17" s="534">
        <v>732.83</v>
      </c>
      <c r="GL17" s="534">
        <v>1154</v>
      </c>
      <c r="GM17" s="534">
        <v>654</v>
      </c>
      <c r="GN17" s="534">
        <f>SUM(GO17:GQ17)</f>
        <v>0</v>
      </c>
      <c r="GO17" s="534"/>
      <c r="GP17" s="534"/>
      <c r="GQ17" s="534"/>
      <c r="GR17" s="534">
        <f>GN17-GM17</f>
        <v>-654</v>
      </c>
      <c r="GS17" s="534"/>
      <c r="GT17" s="534"/>
      <c r="GU17" s="534"/>
      <c r="GV17" s="534">
        <f t="shared" si="12"/>
        <v>654</v>
      </c>
      <c r="GW17" s="534"/>
      <c r="GX17" s="534"/>
      <c r="GY17" s="534"/>
      <c r="GZ17" s="534">
        <f>SUM(HA17:HC17)</f>
        <v>0</v>
      </c>
      <c r="HA17" s="534"/>
      <c r="HB17" s="534">
        <f>GW17</f>
        <v>0</v>
      </c>
      <c r="HC17" s="534">
        <f>IF((GY17-HA17-HB17)&lt;0,0,(GY17-HA17-HB17))</f>
        <v>0</v>
      </c>
      <c r="HD17" s="534">
        <f>+GZ17-GY17</f>
        <v>0</v>
      </c>
      <c r="HE17" s="534">
        <v>2043</v>
      </c>
      <c r="HF17" s="534">
        <v>569</v>
      </c>
      <c r="HG17" s="534">
        <v>1255</v>
      </c>
      <c r="HH17" s="534">
        <f>HG17*51000*12/1000000</f>
        <v>768.06</v>
      </c>
      <c r="HI17" s="534">
        <f t="shared" si="13"/>
        <v>0</v>
      </c>
      <c r="HJ17" s="534"/>
      <c r="HK17" s="534">
        <v>0</v>
      </c>
      <c r="HL17" s="534"/>
      <c r="HM17" s="534">
        <f>+HI17-HH17</f>
        <v>-768.06</v>
      </c>
      <c r="HN17" s="534"/>
      <c r="HO17" s="534"/>
      <c r="HP17" s="534"/>
      <c r="HQ17" s="534"/>
      <c r="HR17" s="534"/>
      <c r="HS17" s="534"/>
      <c r="HT17" s="534"/>
      <c r="HU17" s="534">
        <f>SUM(HV17:HX17)</f>
        <v>0</v>
      </c>
      <c r="HV17" s="534"/>
      <c r="HW17" s="534">
        <f>HM17-HM17</f>
        <v>0</v>
      </c>
      <c r="HX17" s="534">
        <f>IF((HT17-HV17-HW17)&lt;0,0,(HT17-HV17-HW17))</f>
        <v>0</v>
      </c>
      <c r="HY17" s="534">
        <f t="shared" si="14"/>
        <v>0</v>
      </c>
      <c r="HZ17" s="534">
        <v>792</v>
      </c>
      <c r="IA17" s="534">
        <v>432</v>
      </c>
      <c r="IB17" s="534">
        <v>650</v>
      </c>
      <c r="IC17" s="534">
        <v>357</v>
      </c>
      <c r="ID17" s="534">
        <f t="shared" si="15"/>
        <v>0</v>
      </c>
      <c r="IE17" s="534"/>
      <c r="IF17" s="534"/>
      <c r="IG17" s="1231"/>
      <c r="IH17" s="534">
        <f>+ID17-IC17</f>
        <v>-357</v>
      </c>
      <c r="II17" s="534"/>
      <c r="IJ17" s="534"/>
      <c r="IK17" s="534"/>
      <c r="IL17" s="534"/>
      <c r="IM17" s="534">
        <f t="shared" si="16"/>
        <v>0</v>
      </c>
      <c r="IN17" s="534"/>
      <c r="IO17" s="534"/>
      <c r="IP17" s="534">
        <f>SUM(IQ17:IS17)</f>
        <v>0</v>
      </c>
      <c r="IQ17" s="534"/>
      <c r="IR17" s="534">
        <f t="shared" si="17"/>
        <v>0</v>
      </c>
      <c r="IS17" s="534">
        <f>IF((IO17-IQ17-IR17)&lt;0,0,(IO17-IQ17-IR17))</f>
        <v>0</v>
      </c>
      <c r="IT17" s="534">
        <f>+IP17-IO17</f>
        <v>0</v>
      </c>
      <c r="IU17" s="534">
        <v>708</v>
      </c>
      <c r="IV17" s="534">
        <v>431</v>
      </c>
      <c r="IW17" s="534">
        <v>708</v>
      </c>
      <c r="IX17" s="534">
        <v>431</v>
      </c>
      <c r="IY17" s="534">
        <f t="shared" si="18"/>
        <v>0</v>
      </c>
      <c r="IZ17" s="534"/>
      <c r="JA17" s="534">
        <v>0</v>
      </c>
      <c r="JB17" s="534"/>
      <c r="JC17" s="534">
        <f>+IY17-IX17</f>
        <v>-431</v>
      </c>
      <c r="JD17" s="534"/>
      <c r="JE17" s="534"/>
      <c r="JF17" s="534"/>
      <c r="JG17" s="534"/>
      <c r="JH17" s="534"/>
      <c r="JI17" s="534"/>
      <c r="JJ17" s="534"/>
      <c r="JK17" s="534">
        <f>SUM(JL17:JN17)</f>
        <v>0</v>
      </c>
      <c r="JL17" s="534"/>
      <c r="JM17" s="534">
        <f t="shared" si="19"/>
        <v>0</v>
      </c>
      <c r="JN17" s="534">
        <f>IF((JJ17-JL17-JM17)&lt;0,0,(JJ17-JL17-JM17))</f>
        <v>0</v>
      </c>
      <c r="JO17" s="534">
        <f t="shared" si="20"/>
        <v>0</v>
      </c>
    </row>
    <row r="18" spans="1:275" ht="31.5" x14ac:dyDescent="0.2">
      <c r="A18" s="530">
        <v>3</v>
      </c>
      <c r="B18" s="531" t="s">
        <v>665</v>
      </c>
      <c r="C18" s="536">
        <f t="shared" si="26"/>
        <v>0</v>
      </c>
      <c r="D18" s="536">
        <f t="shared" si="26"/>
        <v>0</v>
      </c>
      <c r="E18" s="536">
        <f t="shared" si="26"/>
        <v>0</v>
      </c>
      <c r="F18" s="536">
        <f t="shared" si="26"/>
        <v>0</v>
      </c>
      <c r="G18" s="536">
        <f t="shared" si="26"/>
        <v>1846</v>
      </c>
      <c r="H18" s="536">
        <f t="shared" si="26"/>
        <v>923</v>
      </c>
      <c r="I18" s="536">
        <f t="shared" si="26"/>
        <v>923</v>
      </c>
      <c r="J18" s="536">
        <f t="shared" si="26"/>
        <v>0</v>
      </c>
      <c r="K18" s="536">
        <f t="shared" si="26"/>
        <v>0</v>
      </c>
      <c r="L18" s="536">
        <f t="shared" si="26"/>
        <v>1846</v>
      </c>
      <c r="M18" s="536">
        <f t="shared" si="26"/>
        <v>0</v>
      </c>
      <c r="N18" s="536">
        <f t="shared" si="26"/>
        <v>1189</v>
      </c>
      <c r="O18" s="536">
        <f t="shared" si="26"/>
        <v>0</v>
      </c>
      <c r="P18" s="536">
        <f t="shared" si="26"/>
        <v>657</v>
      </c>
      <c r="Q18" s="536">
        <f t="shared" si="27"/>
        <v>0</v>
      </c>
      <c r="R18" s="536">
        <f t="shared" si="27"/>
        <v>0</v>
      </c>
      <c r="S18" s="536">
        <f t="shared" si="27"/>
        <v>1580</v>
      </c>
      <c r="T18" s="536">
        <f t="shared" si="27"/>
        <v>923</v>
      </c>
      <c r="U18" s="536">
        <f t="shared" si="27"/>
        <v>657</v>
      </c>
      <c r="V18" s="536">
        <f t="shared" si="27"/>
        <v>0</v>
      </c>
      <c r="W18" s="536">
        <f t="shared" si="27"/>
        <v>1580</v>
      </c>
      <c r="X18" s="536"/>
      <c r="Y18" s="536"/>
      <c r="Z18" s="536"/>
      <c r="AA18" s="536">
        <f>Z18*80000/1000000</f>
        <v>0</v>
      </c>
      <c r="AB18" s="536">
        <f>AC18+AD18+AE18</f>
        <v>702</v>
      </c>
      <c r="AC18" s="536">
        <v>351</v>
      </c>
      <c r="AD18" s="536">
        <v>351</v>
      </c>
      <c r="AE18" s="536"/>
      <c r="AF18" s="536"/>
      <c r="AG18" s="534">
        <f>AB18-AA18</f>
        <v>702</v>
      </c>
      <c r="AH18" s="536"/>
      <c r="AI18" s="536">
        <f>AG18</f>
        <v>702</v>
      </c>
      <c r="AJ18" s="536"/>
      <c r="AK18" s="534">
        <f>AG18-AI18</f>
        <v>0</v>
      </c>
      <c r="AL18" s="536"/>
      <c r="AM18" s="536">
        <f>AL18*80000/1000000</f>
        <v>0</v>
      </c>
      <c r="AN18" s="534">
        <f>AO18+AP18+AQ18</f>
        <v>351</v>
      </c>
      <c r="AO18" s="536">
        <v>351</v>
      </c>
      <c r="AP18" s="534">
        <f>AK18</f>
        <v>0</v>
      </c>
      <c r="AQ18" s="534">
        <f>IF((AM18-AO18-AP18)&lt;0,0,(AM18-AO18-AP18))</f>
        <v>0</v>
      </c>
      <c r="AR18" s="536">
        <f>+AN18-AM18</f>
        <v>351</v>
      </c>
      <c r="AS18" s="536"/>
      <c r="AT18" s="536"/>
      <c r="AU18" s="536"/>
      <c r="AV18" s="536">
        <f>AU18*80000/1000000</f>
        <v>0</v>
      </c>
      <c r="AW18" s="536">
        <f>+AX18+AY18+AZ18</f>
        <v>116</v>
      </c>
      <c r="AX18" s="536">
        <v>58</v>
      </c>
      <c r="AY18" s="536">
        <v>58</v>
      </c>
      <c r="AZ18" s="536"/>
      <c r="BA18" s="536"/>
      <c r="BB18" s="536">
        <f>AW18-AV18</f>
        <v>116</v>
      </c>
      <c r="BC18" s="536"/>
      <c r="BD18" s="536">
        <f>BB18</f>
        <v>116</v>
      </c>
      <c r="BE18" s="536"/>
      <c r="BF18" s="536"/>
      <c r="BG18" s="536"/>
      <c r="BH18" s="536">
        <f>BG18*80000/1000000</f>
        <v>0</v>
      </c>
      <c r="BI18" s="534">
        <f t="shared" si="8"/>
        <v>58</v>
      </c>
      <c r="BJ18" s="536">
        <f>AX18</f>
        <v>58</v>
      </c>
      <c r="BK18" s="534">
        <v>0</v>
      </c>
      <c r="BL18" s="534">
        <f>IF((BH18-BJ18-BK18)&lt;0,0,(BH18-BJ18-BK18))</f>
        <v>0</v>
      </c>
      <c r="BM18" s="536">
        <f>+BI18-BH18</f>
        <v>58</v>
      </c>
      <c r="BN18" s="536"/>
      <c r="BO18" s="536"/>
      <c r="BP18" s="536"/>
      <c r="BQ18" s="536">
        <f>BP18*80000/1000000</f>
        <v>0</v>
      </c>
      <c r="BR18" s="536">
        <f t="shared" si="7"/>
        <v>1028</v>
      </c>
      <c r="BS18" s="536">
        <v>514</v>
      </c>
      <c r="BT18" s="536">
        <v>514</v>
      </c>
      <c r="BU18" s="536"/>
      <c r="BV18" s="536"/>
      <c r="BW18" s="534">
        <f t="shared" si="21"/>
        <v>1028</v>
      </c>
      <c r="BX18" s="536"/>
      <c r="BY18" s="536">
        <f>-BV17</f>
        <v>371</v>
      </c>
      <c r="BZ18" s="536"/>
      <c r="CA18" s="534">
        <f t="shared" si="9"/>
        <v>657</v>
      </c>
      <c r="CB18" s="536"/>
      <c r="CC18" s="536"/>
      <c r="CD18" s="534">
        <f>+CE18+CF18+CG18</f>
        <v>1171</v>
      </c>
      <c r="CE18" s="536">
        <v>514</v>
      </c>
      <c r="CF18" s="534">
        <f>CA18</f>
        <v>657</v>
      </c>
      <c r="CG18" s="534">
        <f>IF((CC18-CE18-CF18)&lt;0,0,(CC18-CE18-CF18))</f>
        <v>0</v>
      </c>
      <c r="CH18" s="534">
        <f>INT(CD18-CC18)</f>
        <v>1171</v>
      </c>
      <c r="CI18" s="536"/>
      <c r="CJ18" s="536"/>
      <c r="CK18" s="536"/>
      <c r="CL18" s="536"/>
      <c r="CM18" s="536">
        <f>CN18+CO18+CP18</f>
        <v>0</v>
      </c>
      <c r="CN18" s="536"/>
      <c r="CO18" s="536"/>
      <c r="CP18" s="536"/>
      <c r="CQ18" s="536">
        <f>+CM18-CL18</f>
        <v>0</v>
      </c>
      <c r="CR18" s="536"/>
      <c r="CS18" s="536"/>
      <c r="CT18" s="536"/>
      <c r="CU18" s="536"/>
      <c r="CV18" s="534">
        <f>+CR18-CT18</f>
        <v>0</v>
      </c>
      <c r="CW18" s="536"/>
      <c r="CX18" s="536"/>
      <c r="CY18" s="534">
        <f>SUM(CZ18:DB18)</f>
        <v>0</v>
      </c>
      <c r="CZ18" s="536"/>
      <c r="DA18" s="534">
        <f>CV18</f>
        <v>0</v>
      </c>
      <c r="DB18" s="534">
        <f>IF((CX18-CZ18-DA18)&lt;0,0,(CX18-CZ18-DA18))</f>
        <v>0</v>
      </c>
      <c r="DC18" s="536">
        <f>+CY18-CX18</f>
        <v>0</v>
      </c>
      <c r="DD18" s="536"/>
      <c r="DE18" s="536"/>
      <c r="DF18" s="536"/>
      <c r="DG18" s="536"/>
      <c r="DH18" s="536">
        <f>DI18+DJ18+DK18</f>
        <v>0</v>
      </c>
      <c r="DI18" s="536"/>
      <c r="DJ18" s="536"/>
      <c r="DK18" s="536"/>
      <c r="DL18" s="536">
        <f>DH18-DG18</f>
        <v>0</v>
      </c>
      <c r="DM18" s="536"/>
      <c r="DN18" s="536"/>
      <c r="DO18" s="536"/>
      <c r="DP18" s="536"/>
      <c r="DQ18" s="536"/>
      <c r="DR18" s="536"/>
      <c r="DS18" s="536"/>
      <c r="DT18" s="534">
        <f>+DU18+DV18+DW18</f>
        <v>0</v>
      </c>
      <c r="DU18" s="536"/>
      <c r="DV18" s="534">
        <f>IF(DL18&lt;0,0,DL18)</f>
        <v>0</v>
      </c>
      <c r="DW18" s="534">
        <f>IF((DS18-DU18-DV18)&lt;0,0,(DS18-DU18-DV18))</f>
        <v>0</v>
      </c>
      <c r="DX18" s="536">
        <f>+DT18-DS18</f>
        <v>0</v>
      </c>
      <c r="DY18" s="536"/>
      <c r="DZ18" s="536"/>
      <c r="EA18" s="1238"/>
      <c r="EB18" s="536"/>
      <c r="EC18" s="536">
        <f>ED18+EE18+EF18</f>
        <v>0</v>
      </c>
      <c r="ED18" s="536"/>
      <c r="EE18" s="536"/>
      <c r="EF18" s="536"/>
      <c r="EG18" s="536">
        <f>EC18-EB18</f>
        <v>0</v>
      </c>
      <c r="EH18" s="536"/>
      <c r="EI18" s="536"/>
      <c r="EJ18" s="536"/>
      <c r="EK18" s="536"/>
      <c r="EL18" s="534">
        <f t="shared" si="10"/>
        <v>0</v>
      </c>
      <c r="EM18" s="1238"/>
      <c r="EN18" s="536"/>
      <c r="EO18" s="534">
        <f>SUM(EP18:ER18)</f>
        <v>0</v>
      </c>
      <c r="EP18" s="536"/>
      <c r="EQ18" s="534">
        <f>EL18</f>
        <v>0</v>
      </c>
      <c r="ER18" s="534">
        <f>IF((EN18-EP18-EQ18)&lt;0,0,(EN18-EP18-EQ18))</f>
        <v>0</v>
      </c>
      <c r="ES18" s="536">
        <f>+EO18-EN18</f>
        <v>0</v>
      </c>
      <c r="ET18" s="536"/>
      <c r="EU18" s="536"/>
      <c r="EV18" s="536"/>
      <c r="EW18" s="536"/>
      <c r="EX18" s="534">
        <f>EY18+EZ18+FA18</f>
        <v>0</v>
      </c>
      <c r="EY18" s="536"/>
      <c r="EZ18" s="536"/>
      <c r="FA18" s="536"/>
      <c r="FB18" s="536">
        <f>EX18-EW18</f>
        <v>0</v>
      </c>
      <c r="FC18" s="536"/>
      <c r="FD18" s="536"/>
      <c r="FE18" s="536"/>
      <c r="FF18" s="534">
        <f t="shared" si="11"/>
        <v>0</v>
      </c>
      <c r="FG18" s="536"/>
      <c r="FH18" s="536"/>
      <c r="FI18" s="536"/>
      <c r="FJ18" s="534">
        <f>+FK18+FL18+FM18</f>
        <v>0</v>
      </c>
      <c r="FK18" s="536"/>
      <c r="FL18" s="534">
        <f>IF(FB18&lt;0,0,FB18)</f>
        <v>0</v>
      </c>
      <c r="FM18" s="534">
        <f>IF((FI18-FK18-FL18)&lt;0,0,(FI18-FK18-FL18))</f>
        <v>0</v>
      </c>
      <c r="FN18" s="536">
        <f>+FJ18-FI18</f>
        <v>0</v>
      </c>
      <c r="FO18" s="536"/>
      <c r="FP18" s="536"/>
      <c r="FQ18" s="536"/>
      <c r="FR18" s="536"/>
      <c r="FS18" s="536">
        <f>FT18+FU18+FV18</f>
        <v>0</v>
      </c>
      <c r="FT18" s="536"/>
      <c r="FU18" s="536"/>
      <c r="FV18" s="536"/>
      <c r="FW18" s="536">
        <f>+FS18-FR18</f>
        <v>0</v>
      </c>
      <c r="FX18" s="536"/>
      <c r="FY18" s="536"/>
      <c r="FZ18" s="536"/>
      <c r="GA18" s="536"/>
      <c r="GB18" s="536"/>
      <c r="GC18" s="536"/>
      <c r="GD18" s="536"/>
      <c r="GE18" s="534">
        <f>SUM(GF18:GH18)</f>
        <v>0</v>
      </c>
      <c r="GF18" s="536"/>
      <c r="GG18" s="534">
        <f>IF(FW18&lt;0,0,FW18)</f>
        <v>0</v>
      </c>
      <c r="GH18" s="534">
        <f>IF((GD18-GF18-GG18)&lt;0,0,(GD18-GF18-GG18))</f>
        <v>0</v>
      </c>
      <c r="GI18" s="536">
        <f>+GE18-GD18</f>
        <v>0</v>
      </c>
      <c r="GJ18" s="536"/>
      <c r="GK18" s="536"/>
      <c r="GL18" s="536"/>
      <c r="GM18" s="536"/>
      <c r="GN18" s="536">
        <f>SUM(GO18:GQ18)</f>
        <v>0</v>
      </c>
      <c r="GO18" s="536"/>
      <c r="GP18" s="536"/>
      <c r="GQ18" s="536"/>
      <c r="GR18" s="536">
        <f>GN18-GM18</f>
        <v>0</v>
      </c>
      <c r="GS18" s="536"/>
      <c r="GT18" s="536"/>
      <c r="GU18" s="536"/>
      <c r="GV18" s="534">
        <f t="shared" si="12"/>
        <v>0</v>
      </c>
      <c r="GW18" s="536"/>
      <c r="GX18" s="536"/>
      <c r="GY18" s="536"/>
      <c r="GZ18" s="534">
        <f>SUM(HA18:HC18)</f>
        <v>0</v>
      </c>
      <c r="HA18" s="536"/>
      <c r="HB18" s="534">
        <f>GW18</f>
        <v>0</v>
      </c>
      <c r="HC18" s="534">
        <f>IF((GY18-HA18-HB18)&lt;0,0,(GY18-HA18-HB18))</f>
        <v>0</v>
      </c>
      <c r="HD18" s="536">
        <f>+GZ18-GY18</f>
        <v>0</v>
      </c>
      <c r="HE18" s="536"/>
      <c r="HF18" s="536"/>
      <c r="HG18" s="536"/>
      <c r="HH18" s="536"/>
      <c r="HI18" s="536">
        <f t="shared" si="13"/>
        <v>0</v>
      </c>
      <c r="HJ18" s="536"/>
      <c r="HK18" s="536"/>
      <c r="HL18" s="536"/>
      <c r="HM18" s="536">
        <f>+HI18-HH18</f>
        <v>0</v>
      </c>
      <c r="HN18" s="536"/>
      <c r="HO18" s="536"/>
      <c r="HP18" s="536"/>
      <c r="HQ18" s="536"/>
      <c r="HR18" s="536"/>
      <c r="HS18" s="536"/>
      <c r="HT18" s="536"/>
      <c r="HU18" s="534">
        <f>SUM(HV18:HX18)</f>
        <v>0</v>
      </c>
      <c r="HV18" s="536"/>
      <c r="HW18" s="534">
        <f>IF(HM18&lt;0,0,HM18)</f>
        <v>0</v>
      </c>
      <c r="HX18" s="534">
        <f>IF((HT18-HV18-HW18)&lt;0,0,(HT18-HV18-HW18))</f>
        <v>0</v>
      </c>
      <c r="HY18" s="536">
        <f t="shared" si="14"/>
        <v>0</v>
      </c>
      <c r="HZ18" s="536"/>
      <c r="IA18" s="536"/>
      <c r="IB18" s="536"/>
      <c r="IC18" s="536"/>
      <c r="ID18" s="536">
        <f t="shared" si="15"/>
        <v>0</v>
      </c>
      <c r="IE18" s="536"/>
      <c r="IF18" s="536"/>
      <c r="IG18" s="1238"/>
      <c r="IH18" s="536">
        <f>+ID18-IC18</f>
        <v>0</v>
      </c>
      <c r="II18" s="536"/>
      <c r="IJ18" s="536"/>
      <c r="IK18" s="536"/>
      <c r="IL18" s="536"/>
      <c r="IM18" s="534">
        <f t="shared" si="16"/>
        <v>0</v>
      </c>
      <c r="IN18" s="536"/>
      <c r="IO18" s="536"/>
      <c r="IP18" s="534">
        <f>SUM(IQ18:IS18)</f>
        <v>0</v>
      </c>
      <c r="IQ18" s="536"/>
      <c r="IR18" s="534">
        <f t="shared" si="17"/>
        <v>0</v>
      </c>
      <c r="IS18" s="534">
        <f>IF((IO18-IQ18-IR18)&lt;0,0,(IO18-IQ18-IR18))</f>
        <v>0</v>
      </c>
      <c r="IT18" s="536">
        <f>+IP18-IO18</f>
        <v>0</v>
      </c>
      <c r="IU18" s="536">
        <v>0</v>
      </c>
      <c r="IV18" s="536"/>
      <c r="IW18" s="536"/>
      <c r="IX18" s="536"/>
      <c r="IY18" s="536">
        <f t="shared" si="18"/>
        <v>0</v>
      </c>
      <c r="IZ18" s="536"/>
      <c r="JA18" s="536"/>
      <c r="JB18" s="536"/>
      <c r="JC18" s="536">
        <f>+IY18-IX18</f>
        <v>0</v>
      </c>
      <c r="JD18" s="536"/>
      <c r="JE18" s="536"/>
      <c r="JF18" s="536"/>
      <c r="JG18" s="536"/>
      <c r="JH18" s="536"/>
      <c r="JI18" s="536"/>
      <c r="JJ18" s="536"/>
      <c r="JK18" s="534">
        <f>SUM(JL18:JN18)</f>
        <v>0</v>
      </c>
      <c r="JL18" s="536"/>
      <c r="JM18" s="534">
        <f t="shared" si="19"/>
        <v>0</v>
      </c>
      <c r="JN18" s="534">
        <f>IF((JJ18-JL18-JM18)&lt;0,0,(JJ18-JL18-JM18))</f>
        <v>0</v>
      </c>
      <c r="JO18" s="536">
        <f t="shared" si="20"/>
        <v>0</v>
      </c>
    </row>
    <row r="19" spans="1:275" ht="42" customHeight="1" x14ac:dyDescent="0.2">
      <c r="A19" s="1521" t="s">
        <v>700</v>
      </c>
      <c r="B19" s="1521"/>
      <c r="C19" s="537">
        <f t="shared" ref="C19:Y19" si="28">SUM(C10,C15)</f>
        <v>114802</v>
      </c>
      <c r="D19" s="537">
        <f t="shared" si="28"/>
        <v>329569.29000000004</v>
      </c>
      <c r="E19" s="537">
        <f t="shared" si="28"/>
        <v>109429.4</v>
      </c>
      <c r="F19" s="537">
        <f t="shared" si="28"/>
        <v>349342.56799999997</v>
      </c>
      <c r="G19" s="537">
        <f t="shared" si="28"/>
        <v>365039.01699999999</v>
      </c>
      <c r="H19" s="537">
        <f t="shared" si="28"/>
        <v>194800</v>
      </c>
      <c r="I19" s="537">
        <f t="shared" si="28"/>
        <v>55594.017</v>
      </c>
      <c r="J19" s="537">
        <f t="shared" si="28"/>
        <v>114645</v>
      </c>
      <c r="K19" s="537">
        <f t="shared" si="28"/>
        <v>-27466.567999999999</v>
      </c>
      <c r="L19" s="537">
        <f t="shared" si="28"/>
        <v>43133.017</v>
      </c>
      <c r="M19" s="537">
        <f t="shared" si="28"/>
        <v>0</v>
      </c>
      <c r="N19" s="537">
        <f t="shared" si="28"/>
        <v>11770.564</v>
      </c>
      <c r="O19" s="537">
        <f t="shared" si="28"/>
        <v>15714</v>
      </c>
      <c r="P19" s="537">
        <f t="shared" si="28"/>
        <v>30930.973000000002</v>
      </c>
      <c r="Q19" s="537">
        <f t="shared" si="28"/>
        <v>90864</v>
      </c>
      <c r="R19" s="537">
        <f t="shared" si="28"/>
        <v>342327</v>
      </c>
      <c r="S19" s="537">
        <f t="shared" si="28"/>
        <v>365010.95699999999</v>
      </c>
      <c r="T19" s="537">
        <f t="shared" si="28"/>
        <v>194800</v>
      </c>
      <c r="U19" s="537">
        <f>INT(SUM(U10,U15))</f>
        <v>31361</v>
      </c>
      <c r="V19" s="537">
        <f>INT(SUM(V10,V15))</f>
        <v>142811</v>
      </c>
      <c r="W19" s="537">
        <f>INT(SUM(W10,W15))</f>
        <v>22683</v>
      </c>
      <c r="X19" s="537">
        <f t="shared" si="28"/>
        <v>13474</v>
      </c>
      <c r="Y19" s="537">
        <f t="shared" si="28"/>
        <v>30078</v>
      </c>
      <c r="Z19" s="537">
        <f>SUM(Z10:Z15)</f>
        <v>13518</v>
      </c>
      <c r="AA19" s="537">
        <f t="shared" ref="AA19:CL19" si="29">SUM(AA10,AA15)</f>
        <v>32659</v>
      </c>
      <c r="AB19" s="537">
        <f t="shared" si="29"/>
        <v>38158.017</v>
      </c>
      <c r="AC19" s="537">
        <f t="shared" si="29"/>
        <v>18138</v>
      </c>
      <c r="AD19" s="537">
        <f t="shared" si="29"/>
        <v>4355.0169999999998</v>
      </c>
      <c r="AE19" s="537">
        <f t="shared" si="29"/>
        <v>15665</v>
      </c>
      <c r="AF19" s="537">
        <f t="shared" si="29"/>
        <v>-1644</v>
      </c>
      <c r="AG19" s="537">
        <f t="shared" si="29"/>
        <v>7113.0169999999998</v>
      </c>
      <c r="AH19" s="537">
        <f t="shared" si="29"/>
        <v>0</v>
      </c>
      <c r="AI19" s="537">
        <f t="shared" si="29"/>
        <v>1646</v>
      </c>
      <c r="AJ19" s="537">
        <f t="shared" si="29"/>
        <v>0</v>
      </c>
      <c r="AK19" s="537">
        <f t="shared" si="29"/>
        <v>5467.0169999999998</v>
      </c>
      <c r="AL19" s="537">
        <f t="shared" si="29"/>
        <v>9077</v>
      </c>
      <c r="AM19" s="537">
        <f t="shared" si="29"/>
        <v>34011</v>
      </c>
      <c r="AN19" s="537">
        <f t="shared" si="29"/>
        <v>40102.017</v>
      </c>
      <c r="AO19" s="537">
        <f t="shared" si="29"/>
        <v>18138</v>
      </c>
      <c r="AP19" s="537">
        <f>INT(SUM(AP10,AP15))</f>
        <v>5467</v>
      </c>
      <c r="AQ19" s="537">
        <f>INT(SUM(AQ10,AQ15))</f>
        <v>16497</v>
      </c>
      <c r="AR19" s="537">
        <f>INT(SUM(AR10,AR15))</f>
        <v>6091</v>
      </c>
      <c r="AS19" s="537">
        <f t="shared" si="29"/>
        <v>4259</v>
      </c>
      <c r="AT19" s="537">
        <f t="shared" si="29"/>
        <v>13238</v>
      </c>
      <c r="AU19" s="537">
        <f t="shared" si="29"/>
        <v>4262</v>
      </c>
      <c r="AV19" s="537">
        <f t="shared" si="29"/>
        <v>15278.004000000001</v>
      </c>
      <c r="AW19" s="537">
        <f t="shared" si="29"/>
        <v>14592</v>
      </c>
      <c r="AX19" s="537">
        <f t="shared" si="29"/>
        <v>10559</v>
      </c>
      <c r="AY19" s="537">
        <f t="shared" si="29"/>
        <v>977</v>
      </c>
      <c r="AZ19" s="537">
        <f t="shared" si="29"/>
        <v>3056</v>
      </c>
      <c r="BA19" s="537">
        <f t="shared" si="29"/>
        <v>-2559.0039999999999</v>
      </c>
      <c r="BB19" s="537">
        <f t="shared" si="29"/>
        <v>1873</v>
      </c>
      <c r="BC19" s="537">
        <f t="shared" si="29"/>
        <v>0</v>
      </c>
      <c r="BD19" s="537">
        <f t="shared" si="29"/>
        <v>1873</v>
      </c>
      <c r="BE19" s="537">
        <f t="shared" si="29"/>
        <v>686</v>
      </c>
      <c r="BF19" s="537">
        <f t="shared" si="29"/>
        <v>0</v>
      </c>
      <c r="BG19" s="537">
        <f t="shared" si="29"/>
        <v>3755</v>
      </c>
      <c r="BH19" s="537">
        <f t="shared" si="29"/>
        <v>14960</v>
      </c>
      <c r="BI19" s="537">
        <f t="shared" si="29"/>
        <v>15857</v>
      </c>
      <c r="BJ19" s="537">
        <f t="shared" si="29"/>
        <v>10559</v>
      </c>
      <c r="BK19" s="537">
        <f>INT(SUM(BK10,BK15))</f>
        <v>0</v>
      </c>
      <c r="BL19" s="537">
        <f>INT(SUM(BL10,BL15))</f>
        <v>6088</v>
      </c>
      <c r="BM19" s="537">
        <f>INT(SUM(BM10,BM15))</f>
        <v>897</v>
      </c>
      <c r="BN19" s="537">
        <f t="shared" si="29"/>
        <v>5863</v>
      </c>
      <c r="BO19" s="537">
        <f t="shared" si="29"/>
        <v>13522</v>
      </c>
      <c r="BP19" s="537">
        <f t="shared" si="29"/>
        <v>4985</v>
      </c>
      <c r="BQ19" s="537">
        <f t="shared" si="29"/>
        <v>15128</v>
      </c>
      <c r="BR19" s="537">
        <f t="shared" si="29"/>
        <v>23882</v>
      </c>
      <c r="BS19" s="537">
        <f t="shared" si="29"/>
        <v>10534</v>
      </c>
      <c r="BT19" s="537">
        <f t="shared" si="29"/>
        <v>8108</v>
      </c>
      <c r="BU19" s="537">
        <f t="shared" si="29"/>
        <v>5240</v>
      </c>
      <c r="BV19" s="537">
        <f t="shared" si="29"/>
        <v>-424</v>
      </c>
      <c r="BW19" s="537">
        <f t="shared" si="29"/>
        <v>9178</v>
      </c>
      <c r="BX19" s="537">
        <f t="shared" si="29"/>
        <v>0</v>
      </c>
      <c r="BY19" s="537">
        <f t="shared" si="29"/>
        <v>424</v>
      </c>
      <c r="BZ19" s="537">
        <f t="shared" si="29"/>
        <v>0</v>
      </c>
      <c r="CA19" s="537">
        <f t="shared" si="29"/>
        <v>8754</v>
      </c>
      <c r="CB19" s="537">
        <f t="shared" si="29"/>
        <v>4188</v>
      </c>
      <c r="CC19" s="537">
        <f t="shared" si="29"/>
        <v>14664</v>
      </c>
      <c r="CD19" s="537">
        <f t="shared" si="29"/>
        <v>23136</v>
      </c>
      <c r="CE19" s="537">
        <f t="shared" si="29"/>
        <v>10534</v>
      </c>
      <c r="CF19" s="537">
        <f>INT(SUM(CF10,CF15))</f>
        <v>8754</v>
      </c>
      <c r="CG19" s="537">
        <f>INT(SUM(CG10,CG15))</f>
        <v>4379</v>
      </c>
      <c r="CH19" s="537">
        <f>INT(SUM(CH10,CH15))</f>
        <v>8472</v>
      </c>
      <c r="CI19" s="537">
        <f t="shared" si="29"/>
        <v>11342</v>
      </c>
      <c r="CJ19" s="537">
        <f t="shared" si="29"/>
        <v>20155.96</v>
      </c>
      <c r="CK19" s="537">
        <f t="shared" si="29"/>
        <v>6708</v>
      </c>
      <c r="CL19" s="537">
        <f t="shared" si="29"/>
        <v>23129.984</v>
      </c>
      <c r="CM19" s="537">
        <f t="shared" ref="CM19:EL19" si="30">SUM(CM10,CM15)</f>
        <v>30893</v>
      </c>
      <c r="CN19" s="537">
        <f t="shared" si="30"/>
        <v>12083</v>
      </c>
      <c r="CO19" s="537">
        <f t="shared" si="30"/>
        <v>3344</v>
      </c>
      <c r="CP19" s="537">
        <f t="shared" si="30"/>
        <v>15466</v>
      </c>
      <c r="CQ19" s="537">
        <f t="shared" si="30"/>
        <v>-447.98399999999998</v>
      </c>
      <c r="CR19" s="537">
        <f t="shared" si="30"/>
        <v>8211</v>
      </c>
      <c r="CS19" s="537">
        <f t="shared" si="30"/>
        <v>0</v>
      </c>
      <c r="CT19" s="537">
        <f t="shared" si="30"/>
        <v>447.98399999999998</v>
      </c>
      <c r="CU19" s="537">
        <f t="shared" si="30"/>
        <v>0</v>
      </c>
      <c r="CV19" s="537">
        <f t="shared" si="30"/>
        <v>7763.0159999999996</v>
      </c>
      <c r="CW19" s="537">
        <f t="shared" si="30"/>
        <v>6341</v>
      </c>
      <c r="CX19" s="537">
        <f t="shared" si="30"/>
        <v>21676</v>
      </c>
      <c r="CY19" s="537">
        <f t="shared" si="30"/>
        <v>24395</v>
      </c>
      <c r="CZ19" s="537">
        <f t="shared" si="30"/>
        <v>12083</v>
      </c>
      <c r="DA19" s="537">
        <f>INT(SUM(DA10,DA15))</f>
        <v>7763</v>
      </c>
      <c r="DB19" s="537">
        <f>INT(SUM(DB10,DB15))</f>
        <v>5338</v>
      </c>
      <c r="DC19" s="537">
        <f>INT(SUM(DC10,DC15))</f>
        <v>2719</v>
      </c>
      <c r="DD19" s="537">
        <f t="shared" si="30"/>
        <v>14093</v>
      </c>
      <c r="DE19" s="537">
        <f t="shared" si="30"/>
        <v>33864</v>
      </c>
      <c r="DF19" s="537">
        <f t="shared" si="30"/>
        <v>17787</v>
      </c>
      <c r="DG19" s="537">
        <f t="shared" si="30"/>
        <v>39910</v>
      </c>
      <c r="DH19" s="537">
        <f t="shared" si="30"/>
        <v>36573</v>
      </c>
      <c r="DI19" s="537">
        <f t="shared" si="30"/>
        <v>20702</v>
      </c>
      <c r="DJ19" s="537">
        <f t="shared" si="30"/>
        <v>6545</v>
      </c>
      <c r="DK19" s="537">
        <f t="shared" si="30"/>
        <v>9326</v>
      </c>
      <c r="DL19" s="537">
        <f t="shared" si="30"/>
        <v>-6126</v>
      </c>
      <c r="DM19" s="537">
        <f t="shared" si="30"/>
        <v>2789</v>
      </c>
      <c r="DN19" s="537">
        <f t="shared" si="30"/>
        <v>0</v>
      </c>
      <c r="DO19" s="537">
        <f t="shared" si="30"/>
        <v>2789</v>
      </c>
      <c r="DP19" s="537">
        <f t="shared" si="30"/>
        <v>3337</v>
      </c>
      <c r="DQ19" s="537">
        <f t="shared" si="30"/>
        <v>0</v>
      </c>
      <c r="DR19" s="537">
        <f t="shared" si="30"/>
        <v>9963</v>
      </c>
      <c r="DS19" s="537">
        <f t="shared" si="30"/>
        <v>34297</v>
      </c>
      <c r="DT19" s="537">
        <f t="shared" si="30"/>
        <v>34297</v>
      </c>
      <c r="DU19" s="537">
        <f t="shared" si="30"/>
        <v>20702</v>
      </c>
      <c r="DV19" s="537">
        <f>INT(SUM(DV10,DV15))</f>
        <v>0</v>
      </c>
      <c r="DW19" s="537">
        <f>INT(SUM(DW10,DW15))</f>
        <v>13595</v>
      </c>
      <c r="DX19" s="537">
        <f>INT(SUM(DX10,DX15))</f>
        <v>0</v>
      </c>
      <c r="DY19" s="537">
        <f t="shared" si="30"/>
        <v>6695</v>
      </c>
      <c r="DZ19" s="537">
        <f t="shared" si="30"/>
        <v>24919.52</v>
      </c>
      <c r="EA19" s="1239">
        <f t="shared" si="30"/>
        <v>6584</v>
      </c>
      <c r="EB19" s="537">
        <f t="shared" si="30"/>
        <v>26830.52</v>
      </c>
      <c r="EC19" s="537">
        <f t="shared" si="30"/>
        <v>28503</v>
      </c>
      <c r="ED19" s="537">
        <f t="shared" si="30"/>
        <v>15047</v>
      </c>
      <c r="EE19" s="537">
        <f t="shared" si="30"/>
        <v>13456</v>
      </c>
      <c r="EF19" s="537">
        <f t="shared" si="30"/>
        <v>0</v>
      </c>
      <c r="EG19" s="537">
        <f t="shared" si="30"/>
        <v>-2283.52</v>
      </c>
      <c r="EH19" s="537">
        <f t="shared" si="30"/>
        <v>3956</v>
      </c>
      <c r="EI19" s="537">
        <f t="shared" si="30"/>
        <v>0</v>
      </c>
      <c r="EJ19" s="537">
        <f t="shared" si="30"/>
        <v>2283.52</v>
      </c>
      <c r="EK19" s="537">
        <f t="shared" si="30"/>
        <v>0</v>
      </c>
      <c r="EL19" s="537">
        <f t="shared" si="30"/>
        <v>1672</v>
      </c>
      <c r="EM19" s="1239">
        <f>SUM(EM10,EM15)</f>
        <v>7262</v>
      </c>
      <c r="EN19" s="537">
        <f>SUM(EN10,EN15)</f>
        <v>27066</v>
      </c>
      <c r="EO19" s="537">
        <f>SUM(EO10,EO15)</f>
        <v>27833</v>
      </c>
      <c r="EP19" s="537">
        <f>SUM(EP10,EP15)</f>
        <v>15047</v>
      </c>
      <c r="EQ19" s="537">
        <f>INT(SUM(EQ10,EQ15))</f>
        <v>1672</v>
      </c>
      <c r="ER19" s="537">
        <f>INT(SUM(ER10,ER15))</f>
        <v>11904</v>
      </c>
      <c r="ES19" s="537">
        <f>INT(SUM(ES10,ES15))</f>
        <v>767</v>
      </c>
      <c r="ET19" s="537">
        <f t="shared" ref="ET19:HA19" si="31">SUM(ET10,ET15)</f>
        <v>14593</v>
      </c>
      <c r="EU19" s="537">
        <f t="shared" si="31"/>
        <v>43666.240000000005</v>
      </c>
      <c r="EV19" s="537">
        <f t="shared" si="31"/>
        <v>13626</v>
      </c>
      <c r="EW19" s="537">
        <f t="shared" si="31"/>
        <v>39918</v>
      </c>
      <c r="EX19" s="537">
        <f t="shared" si="31"/>
        <v>32844</v>
      </c>
      <c r="EY19" s="537">
        <f t="shared" si="31"/>
        <v>21551</v>
      </c>
      <c r="EZ19" s="537">
        <f t="shared" si="31"/>
        <v>-4497</v>
      </c>
      <c r="FA19" s="537">
        <f t="shared" si="31"/>
        <v>15790</v>
      </c>
      <c r="FB19" s="537">
        <f t="shared" si="31"/>
        <v>-7074</v>
      </c>
      <c r="FC19" s="537">
        <f t="shared" si="31"/>
        <v>0</v>
      </c>
      <c r="FD19" s="537">
        <f t="shared" si="31"/>
        <v>0</v>
      </c>
      <c r="FE19" s="537">
        <f t="shared" si="31"/>
        <v>0</v>
      </c>
      <c r="FF19" s="537">
        <f t="shared" si="31"/>
        <v>7074</v>
      </c>
      <c r="FG19" s="537">
        <f t="shared" si="31"/>
        <v>0</v>
      </c>
      <c r="FH19" s="537">
        <f t="shared" si="31"/>
        <v>12541</v>
      </c>
      <c r="FI19" s="537">
        <f t="shared" si="31"/>
        <v>40500</v>
      </c>
      <c r="FJ19" s="537">
        <f t="shared" si="31"/>
        <v>40500</v>
      </c>
      <c r="FK19" s="537">
        <f t="shared" si="31"/>
        <v>21551</v>
      </c>
      <c r="FL19" s="537">
        <f>INT(SUM(FL10,FL15))</f>
        <v>0</v>
      </c>
      <c r="FM19" s="537">
        <f>INT(SUM(FM10,FM15))</f>
        <v>18949</v>
      </c>
      <c r="FN19" s="537">
        <f>INT(SUM(FN10,FN15))</f>
        <v>0</v>
      </c>
      <c r="FO19" s="537">
        <f t="shared" si="31"/>
        <v>8368</v>
      </c>
      <c r="FP19" s="537">
        <f t="shared" si="31"/>
        <v>23875.31</v>
      </c>
      <c r="FQ19" s="537">
        <f t="shared" si="31"/>
        <v>9063</v>
      </c>
      <c r="FR19" s="537">
        <f t="shared" si="31"/>
        <v>23512</v>
      </c>
      <c r="FS19" s="537">
        <f t="shared" si="31"/>
        <v>21463</v>
      </c>
      <c r="FT19" s="537">
        <f t="shared" si="31"/>
        <v>13992</v>
      </c>
      <c r="FU19" s="537">
        <f t="shared" si="31"/>
        <v>-1397</v>
      </c>
      <c r="FV19" s="537">
        <f t="shared" si="31"/>
        <v>8868</v>
      </c>
      <c r="FW19" s="537">
        <f t="shared" si="31"/>
        <v>-2101</v>
      </c>
      <c r="FX19" s="537">
        <f t="shared" si="31"/>
        <v>52</v>
      </c>
      <c r="FY19" s="537">
        <f t="shared" si="31"/>
        <v>0</v>
      </c>
      <c r="FZ19" s="537">
        <f t="shared" si="31"/>
        <v>52</v>
      </c>
      <c r="GA19" s="537">
        <f t="shared" si="31"/>
        <v>2065</v>
      </c>
      <c r="GB19" s="537">
        <f t="shared" si="31"/>
        <v>0</v>
      </c>
      <c r="GC19" s="537">
        <f t="shared" si="31"/>
        <v>7636</v>
      </c>
      <c r="GD19" s="537">
        <f t="shared" si="31"/>
        <v>23342</v>
      </c>
      <c r="GE19" s="537">
        <f t="shared" si="31"/>
        <v>23342</v>
      </c>
      <c r="GF19" s="537">
        <f t="shared" si="31"/>
        <v>13992</v>
      </c>
      <c r="GG19" s="537">
        <f>INT(SUM(GG10,GG15))</f>
        <v>0</v>
      </c>
      <c r="GH19" s="537">
        <f>INT(SUM(GH10,GH15))</f>
        <v>9881</v>
      </c>
      <c r="GI19" s="537">
        <f>INT(SUM(GI10,GI15))</f>
        <v>0</v>
      </c>
      <c r="GJ19" s="537">
        <f t="shared" si="31"/>
        <v>6562</v>
      </c>
      <c r="GK19" s="537">
        <f t="shared" si="31"/>
        <v>33716.83</v>
      </c>
      <c r="GL19" s="537">
        <f t="shared" si="31"/>
        <v>7003.4</v>
      </c>
      <c r="GM19" s="537">
        <f t="shared" si="31"/>
        <v>38321</v>
      </c>
      <c r="GN19" s="537">
        <f t="shared" si="31"/>
        <v>35769</v>
      </c>
      <c r="GO19" s="537">
        <f t="shared" si="31"/>
        <v>20658</v>
      </c>
      <c r="GP19" s="537">
        <f t="shared" si="31"/>
        <v>-551</v>
      </c>
      <c r="GQ19" s="537">
        <f t="shared" si="31"/>
        <v>15662</v>
      </c>
      <c r="GR19" s="537">
        <f t="shared" si="31"/>
        <v>-2552</v>
      </c>
      <c r="GS19" s="537">
        <f t="shared" si="31"/>
        <v>0</v>
      </c>
      <c r="GT19" s="537">
        <f t="shared" si="31"/>
        <v>0</v>
      </c>
      <c r="GU19" s="537">
        <f t="shared" si="31"/>
        <v>0</v>
      </c>
      <c r="GV19" s="537">
        <f t="shared" si="31"/>
        <v>2552</v>
      </c>
      <c r="GW19" s="537">
        <f t="shared" si="31"/>
        <v>0</v>
      </c>
      <c r="GX19" s="537">
        <f t="shared" si="31"/>
        <v>6205</v>
      </c>
      <c r="GY19" s="537">
        <f t="shared" si="31"/>
        <v>37256</v>
      </c>
      <c r="GZ19" s="537">
        <f t="shared" si="31"/>
        <v>37256</v>
      </c>
      <c r="HA19" s="537">
        <f t="shared" si="31"/>
        <v>20658</v>
      </c>
      <c r="HB19" s="537">
        <f>INT(SUM(HB10,HB15))</f>
        <v>0</v>
      </c>
      <c r="HC19" s="537">
        <f>INT(SUM(HC10,HC15))</f>
        <v>16598</v>
      </c>
      <c r="HD19" s="537">
        <f>INT(SUM(HD10,HD15))</f>
        <v>0</v>
      </c>
      <c r="HE19" s="537">
        <f t="shared" ref="HE19:JL19" si="32">SUM(HE10,HE15)</f>
        <v>12727</v>
      </c>
      <c r="HF19" s="537">
        <f t="shared" si="32"/>
        <v>35890.019999999997</v>
      </c>
      <c r="HG19" s="537">
        <f t="shared" si="32"/>
        <v>12960</v>
      </c>
      <c r="HH19" s="537">
        <f t="shared" si="32"/>
        <v>36057.06</v>
      </c>
      <c r="HI19" s="537">
        <f t="shared" si="32"/>
        <v>37170</v>
      </c>
      <c r="HJ19" s="537">
        <f t="shared" si="32"/>
        <v>20970</v>
      </c>
      <c r="HK19" s="537">
        <f t="shared" si="32"/>
        <v>5154</v>
      </c>
      <c r="HL19" s="537">
        <f t="shared" si="32"/>
        <v>11046</v>
      </c>
      <c r="HM19" s="537">
        <f t="shared" si="32"/>
        <v>-1467.06</v>
      </c>
      <c r="HN19" s="537">
        <f t="shared" si="32"/>
        <v>2580</v>
      </c>
      <c r="HO19" s="537">
        <f t="shared" si="32"/>
        <v>0</v>
      </c>
      <c r="HP19" s="537">
        <f t="shared" si="32"/>
        <v>1467.06</v>
      </c>
      <c r="HQ19" s="537">
        <f t="shared" si="32"/>
        <v>0</v>
      </c>
      <c r="HR19" s="537">
        <f t="shared" si="32"/>
        <v>1112.94</v>
      </c>
      <c r="HS19" s="537">
        <f t="shared" si="32"/>
        <v>9424</v>
      </c>
      <c r="HT19" s="537">
        <f t="shared" si="32"/>
        <v>35393</v>
      </c>
      <c r="HU19" s="537">
        <f t="shared" si="32"/>
        <v>35622.94</v>
      </c>
      <c r="HV19" s="537">
        <f t="shared" si="32"/>
        <v>20970</v>
      </c>
      <c r="HW19" s="537">
        <f>INT(SUM(HW10,HW15))</f>
        <v>1112</v>
      </c>
      <c r="HX19" s="537">
        <f>INT(SUM(HX10,HX15))</f>
        <v>13540</v>
      </c>
      <c r="HY19" s="537">
        <f>INT(SUM(HY10,HY15))</f>
        <v>229</v>
      </c>
      <c r="HZ19" s="537">
        <f t="shared" si="32"/>
        <v>7171</v>
      </c>
      <c r="IA19" s="537">
        <f t="shared" si="32"/>
        <v>21584.69</v>
      </c>
      <c r="IB19" s="537">
        <f t="shared" si="32"/>
        <v>6243</v>
      </c>
      <c r="IC19" s="537">
        <f t="shared" si="32"/>
        <v>23449</v>
      </c>
      <c r="ID19" s="537">
        <f t="shared" si="32"/>
        <v>28161</v>
      </c>
      <c r="IE19" s="537">
        <f t="shared" si="32"/>
        <v>10690</v>
      </c>
      <c r="IF19" s="537">
        <f t="shared" si="32"/>
        <v>17471</v>
      </c>
      <c r="IG19" s="537">
        <f t="shared" si="32"/>
        <v>0</v>
      </c>
      <c r="IH19" s="537">
        <f t="shared" si="32"/>
        <v>-357</v>
      </c>
      <c r="II19" s="537">
        <f t="shared" si="32"/>
        <v>5069</v>
      </c>
      <c r="IJ19" s="537">
        <f t="shared" si="32"/>
        <v>0</v>
      </c>
      <c r="IK19" s="537">
        <f t="shared" si="32"/>
        <v>357</v>
      </c>
      <c r="IL19" s="537">
        <f t="shared" si="32"/>
        <v>0</v>
      </c>
      <c r="IM19" s="537">
        <f t="shared" si="32"/>
        <v>4712</v>
      </c>
      <c r="IN19" s="537">
        <f t="shared" si="32"/>
        <v>6048</v>
      </c>
      <c r="IO19" s="537">
        <f t="shared" si="32"/>
        <v>24398</v>
      </c>
      <c r="IP19" s="537">
        <f t="shared" si="32"/>
        <v>26358</v>
      </c>
      <c r="IQ19" s="537">
        <f t="shared" si="32"/>
        <v>10690</v>
      </c>
      <c r="IR19" s="537">
        <f>INT(SUM(IR10,IR15))</f>
        <v>4712</v>
      </c>
      <c r="IS19" s="537">
        <f>INT(SUM(IS10,IS15))</f>
        <v>10956</v>
      </c>
      <c r="IT19" s="537">
        <f>INT(SUM(IT10,IT15))</f>
        <v>1960</v>
      </c>
      <c r="IU19" s="537">
        <f t="shared" si="32"/>
        <v>9655</v>
      </c>
      <c r="IV19" s="537">
        <f t="shared" si="32"/>
        <v>35058.720000000001</v>
      </c>
      <c r="IW19" s="537">
        <f t="shared" si="32"/>
        <v>9044</v>
      </c>
      <c r="IX19" s="537">
        <f t="shared" si="32"/>
        <v>35150</v>
      </c>
      <c r="IY19" s="537">
        <f t="shared" si="32"/>
        <v>37031</v>
      </c>
      <c r="IZ19" s="537">
        <f t="shared" si="32"/>
        <v>19876</v>
      </c>
      <c r="JA19" s="537">
        <f t="shared" si="32"/>
        <v>2629</v>
      </c>
      <c r="JB19" s="537">
        <f t="shared" si="32"/>
        <v>14526</v>
      </c>
      <c r="JC19" s="537">
        <f t="shared" si="32"/>
        <v>-431</v>
      </c>
      <c r="JD19" s="537">
        <f t="shared" si="32"/>
        <v>2312</v>
      </c>
      <c r="JE19" s="537">
        <f t="shared" si="32"/>
        <v>0</v>
      </c>
      <c r="JF19" s="537">
        <f t="shared" si="32"/>
        <v>431</v>
      </c>
      <c r="JG19" s="537">
        <f t="shared" si="32"/>
        <v>0</v>
      </c>
      <c r="JH19" s="537">
        <f t="shared" si="32"/>
        <v>1450</v>
      </c>
      <c r="JI19" s="537">
        <f t="shared" si="32"/>
        <v>8424</v>
      </c>
      <c r="JJ19" s="537">
        <f t="shared" si="32"/>
        <v>34764</v>
      </c>
      <c r="JK19" s="537">
        <f t="shared" si="32"/>
        <v>36312</v>
      </c>
      <c r="JL19" s="537">
        <f t="shared" si="32"/>
        <v>19876</v>
      </c>
      <c r="JM19" s="537">
        <f>INT(SUM(JM10,JM15))</f>
        <v>1881</v>
      </c>
      <c r="JN19" s="537">
        <f>INT(SUM(JN10,JN15))</f>
        <v>15086</v>
      </c>
      <c r="JO19" s="537">
        <f>INT(SUM(JO10,JO15))</f>
        <v>1548</v>
      </c>
    </row>
    <row r="20" spans="1:275" x14ac:dyDescent="0.2">
      <c r="Q20" s="538">
        <f>SUM(AG19,AW19,BM19,CC19,CS19,DI19,DY19,EO19,FE19,FU19,GK19,HA19)</f>
        <v>145473.84700000001</v>
      </c>
      <c r="FV20" s="538">
        <f>-FV19</f>
        <v>-8868</v>
      </c>
    </row>
    <row r="21" spans="1:275" x14ac:dyDescent="0.2">
      <c r="Z21" s="538"/>
      <c r="AG21" s="538"/>
      <c r="CS21" s="538"/>
      <c r="FV21" s="538">
        <f>+FV20+FU19</f>
        <v>-10265</v>
      </c>
    </row>
    <row r="22" spans="1:275" x14ac:dyDescent="0.2">
      <c r="Q22" s="538"/>
    </row>
  </sheetData>
  <customSheetViews>
    <customSheetView guid="{88621519-296E-4458-B04E-813E881018FE}" scale="75" topLeftCell="A4">
      <pane xSplit="2" ySplit="7" topLeftCell="W11" activePane="bottomRight" state="frozen"/>
      <selection pane="bottomRight" activeCell="AH13" sqref="AH13"/>
      <pageMargins left="0.7" right="0.7" top="0.75" bottom="0.75" header="0.3" footer="0.3"/>
      <pageSetup orientation="portrait" r:id="rId1"/>
    </customSheetView>
  </customSheetViews>
  <mergeCells count="303">
    <mergeCell ref="ID7:ID8"/>
    <mergeCell ref="IE7:IG7"/>
    <mergeCell ref="IP7:IP8"/>
    <mergeCell ref="IO6:IO8"/>
    <mergeCell ref="IP6:IS6"/>
    <mergeCell ref="IC6:IC8"/>
    <mergeCell ref="ID6:IG6"/>
    <mergeCell ref="IH6:IH8"/>
    <mergeCell ref="II6:II8"/>
    <mergeCell ref="IJ6:IJ8"/>
    <mergeCell ref="IK6:IK8"/>
    <mergeCell ref="IL6:IL8"/>
    <mergeCell ref="IM6:IM8"/>
    <mergeCell ref="IN6:IN8"/>
    <mergeCell ref="GZ7:GZ8"/>
    <mergeCell ref="HA7:HC7"/>
    <mergeCell ref="HI7:HI8"/>
    <mergeCell ref="HJ7:HL7"/>
    <mergeCell ref="GY6:GY8"/>
    <mergeCell ref="GM6:GM8"/>
    <mergeCell ref="GV6:GV8"/>
    <mergeCell ref="GW6:GW8"/>
    <mergeCell ref="GU6:GU8"/>
    <mergeCell ref="EL6:EL8"/>
    <mergeCell ref="DN6:DN8"/>
    <mergeCell ref="DS6:DS8"/>
    <mergeCell ref="DM6:DM8"/>
    <mergeCell ref="DL6:DL8"/>
    <mergeCell ref="GO7:GQ7"/>
    <mergeCell ref="GI6:GI8"/>
    <mergeCell ref="GJ6:GJ8"/>
    <mergeCell ref="GK6:GK8"/>
    <mergeCell ref="GN6:GQ6"/>
    <mergeCell ref="GB6:GB8"/>
    <mergeCell ref="GC6:GC8"/>
    <mergeCell ref="FH6:FH8"/>
    <mergeCell ref="FI6:FI8"/>
    <mergeCell ref="FG6:FG8"/>
    <mergeCell ref="FJ7:FJ8"/>
    <mergeCell ref="FK7:FM7"/>
    <mergeCell ref="FS7:FS8"/>
    <mergeCell ref="FT7:FV7"/>
    <mergeCell ref="JD6:JD8"/>
    <mergeCell ref="JE6:JE8"/>
    <mergeCell ref="JF6:JF8"/>
    <mergeCell ref="JG6:JG8"/>
    <mergeCell ref="JH6:JH8"/>
    <mergeCell ref="JI6:JI8"/>
    <mergeCell ref="JJ6:JJ8"/>
    <mergeCell ref="JK6:JN6"/>
    <mergeCell ref="JO6:JO8"/>
    <mergeCell ref="JK7:JK8"/>
    <mergeCell ref="JL7:JN7"/>
    <mergeCell ref="IT6:IT8"/>
    <mergeCell ref="IU6:IU8"/>
    <mergeCell ref="IV6:IV8"/>
    <mergeCell ref="IW6:IW8"/>
    <mergeCell ref="IX6:IX8"/>
    <mergeCell ref="IY6:JB6"/>
    <mergeCell ref="JC6:JC8"/>
    <mergeCell ref="IQ7:IS7"/>
    <mergeCell ref="IY7:IY8"/>
    <mergeCell ref="IZ7:JB7"/>
    <mergeCell ref="HU6:HX6"/>
    <mergeCell ref="HY6:HY8"/>
    <mergeCell ref="HZ6:HZ8"/>
    <mergeCell ref="IA6:IA8"/>
    <mergeCell ref="IB6:IB8"/>
    <mergeCell ref="HE6:HE8"/>
    <mergeCell ref="HF6:HF8"/>
    <mergeCell ref="HG6:HG8"/>
    <mergeCell ref="HH6:HH8"/>
    <mergeCell ref="HI6:HL6"/>
    <mergeCell ref="HM6:HM8"/>
    <mergeCell ref="HN6:HN8"/>
    <mergeCell ref="HO6:HO8"/>
    <mergeCell ref="HP6:HP8"/>
    <mergeCell ref="HU7:HU8"/>
    <mergeCell ref="HV7:HX7"/>
    <mergeCell ref="HQ6:HQ8"/>
    <mergeCell ref="HR6:HR8"/>
    <mergeCell ref="HS6:HS8"/>
    <mergeCell ref="HT6:HT8"/>
    <mergeCell ref="CM7:CM8"/>
    <mergeCell ref="CN7:CP7"/>
    <mergeCell ref="FD6:FD8"/>
    <mergeCell ref="FE6:FE8"/>
    <mergeCell ref="FJ6:FM6"/>
    <mergeCell ref="FN6:FN8"/>
    <mergeCell ref="FR6:FR8"/>
    <mergeCell ref="FS6:FV6"/>
    <mergeCell ref="GA6:GA8"/>
    <mergeCell ref="DH7:DH8"/>
    <mergeCell ref="DI7:DK7"/>
    <mergeCell ref="DT7:DT8"/>
    <mergeCell ref="DU7:DW7"/>
    <mergeCell ref="EC7:EC8"/>
    <mergeCell ref="ED7:EF7"/>
    <mergeCell ref="EO7:EO8"/>
    <mergeCell ref="EP7:ER7"/>
    <mergeCell ref="EX7:EX8"/>
    <mergeCell ref="DQ6:DQ8"/>
    <mergeCell ref="DR6:DR8"/>
    <mergeCell ref="DT6:DW6"/>
    <mergeCell ref="DX6:DX8"/>
    <mergeCell ref="DY6:DY8"/>
    <mergeCell ref="EC6:EF6"/>
    <mergeCell ref="AB7:AB8"/>
    <mergeCell ref="AC7:AE7"/>
    <mergeCell ref="AG6:AG8"/>
    <mergeCell ref="AM6:AM8"/>
    <mergeCell ref="GE7:GE8"/>
    <mergeCell ref="GF7:GH7"/>
    <mergeCell ref="GN7:GN8"/>
    <mergeCell ref="AN6:AQ6"/>
    <mergeCell ref="AT6:AT8"/>
    <mergeCell ref="AU6:AU8"/>
    <mergeCell ref="AV6:AV8"/>
    <mergeCell ref="AW6:AZ6"/>
    <mergeCell ref="BC6:BC8"/>
    <mergeCell ref="BD6:BD8"/>
    <mergeCell ref="AN7:AN8"/>
    <mergeCell ref="AO7:AQ7"/>
    <mergeCell ref="AW7:AW8"/>
    <mergeCell ref="AX7:AZ7"/>
    <mergeCell ref="BA6:BA8"/>
    <mergeCell ref="BB6:BB8"/>
    <mergeCell ref="CH6:CH8"/>
    <mergeCell ref="CT6:CT8"/>
    <mergeCell ref="CY7:CY8"/>
    <mergeCell ref="CS6:CS8"/>
    <mergeCell ref="HE5:HF5"/>
    <mergeCell ref="HG5:HR5"/>
    <mergeCell ref="HS5:HY5"/>
    <mergeCell ref="HZ5:IA5"/>
    <mergeCell ref="IB5:IM5"/>
    <mergeCell ref="IN5:IT5"/>
    <mergeCell ref="IU5:IV5"/>
    <mergeCell ref="IW5:JH5"/>
    <mergeCell ref="JI5:JO5"/>
    <mergeCell ref="HE4:HY4"/>
    <mergeCell ref="HZ4:IT4"/>
    <mergeCell ref="IU4:JO4"/>
    <mergeCell ref="E5:P5"/>
    <mergeCell ref="Q5:W5"/>
    <mergeCell ref="X5:Y5"/>
    <mergeCell ref="Z5:AK5"/>
    <mergeCell ref="AL5:AR5"/>
    <mergeCell ref="AS5:AT5"/>
    <mergeCell ref="AU5:BF5"/>
    <mergeCell ref="BG5:BM5"/>
    <mergeCell ref="BN5:BO5"/>
    <mergeCell ref="BP5:CA5"/>
    <mergeCell ref="CB5:CH5"/>
    <mergeCell ref="CI5:CJ5"/>
    <mergeCell ref="CK5:CV5"/>
    <mergeCell ref="DD5:DE5"/>
    <mergeCell ref="DF5:DQ5"/>
    <mergeCell ref="DR5:DX5"/>
    <mergeCell ref="DY5:DZ5"/>
    <mergeCell ref="EA5:EL5"/>
    <mergeCell ref="EM5:ES5"/>
    <mergeCell ref="ET5:EU5"/>
    <mergeCell ref="EV5:FG5"/>
    <mergeCell ref="GJ4:HD4"/>
    <mergeCell ref="GJ5:GK5"/>
    <mergeCell ref="GL5:GW5"/>
    <mergeCell ref="GX5:HD5"/>
    <mergeCell ref="GZ6:HC6"/>
    <mergeCell ref="HD6:HD8"/>
    <mergeCell ref="FW6:FW8"/>
    <mergeCell ref="FX6:FX8"/>
    <mergeCell ref="FY6:FY8"/>
    <mergeCell ref="GL6:GL8"/>
    <mergeCell ref="FZ6:FZ8"/>
    <mergeCell ref="FO4:GI4"/>
    <mergeCell ref="FO5:FP5"/>
    <mergeCell ref="FQ5:GB5"/>
    <mergeCell ref="GC5:GI5"/>
    <mergeCell ref="GD6:GD8"/>
    <mergeCell ref="GE6:GH6"/>
    <mergeCell ref="FO6:FO8"/>
    <mergeCell ref="FP6:FP8"/>
    <mergeCell ref="FQ6:FQ8"/>
    <mergeCell ref="GR6:GR8"/>
    <mergeCell ref="GS6:GS8"/>
    <mergeCell ref="GT6:GT8"/>
    <mergeCell ref="GX6:GX8"/>
    <mergeCell ref="ET4:FN4"/>
    <mergeCell ref="FH5:FN5"/>
    <mergeCell ref="EU6:EU8"/>
    <mergeCell ref="EV6:EV8"/>
    <mergeCell ref="EW6:EW8"/>
    <mergeCell ref="EX6:FA6"/>
    <mergeCell ref="ES6:ES8"/>
    <mergeCell ref="ET6:ET8"/>
    <mergeCell ref="FF6:FF8"/>
    <mergeCell ref="DY4:ES4"/>
    <mergeCell ref="EM6:EM8"/>
    <mergeCell ref="EN6:EN8"/>
    <mergeCell ref="EO6:ER6"/>
    <mergeCell ref="FB6:FB8"/>
    <mergeCell ref="FC6:FC8"/>
    <mergeCell ref="EA6:EA8"/>
    <mergeCell ref="EB6:EB8"/>
    <mergeCell ref="EI6:EI8"/>
    <mergeCell ref="EJ6:EJ8"/>
    <mergeCell ref="EK6:EK8"/>
    <mergeCell ref="DZ6:DZ8"/>
    <mergeCell ref="EY7:FA7"/>
    <mergeCell ref="EG6:EG8"/>
    <mergeCell ref="EH6:EH8"/>
    <mergeCell ref="DD4:DX4"/>
    <mergeCell ref="DF6:DF8"/>
    <mergeCell ref="DG6:DG8"/>
    <mergeCell ref="DH6:DK6"/>
    <mergeCell ref="DO6:DO8"/>
    <mergeCell ref="DP6:DP8"/>
    <mergeCell ref="CW5:DC5"/>
    <mergeCell ref="CU6:CU8"/>
    <mergeCell ref="CV6:CV8"/>
    <mergeCell ref="CW6:CW8"/>
    <mergeCell ref="CX6:CX8"/>
    <mergeCell ref="CY6:DB6"/>
    <mergeCell ref="DE6:DE8"/>
    <mergeCell ref="CZ7:DB7"/>
    <mergeCell ref="DD6:DD8"/>
    <mergeCell ref="CI4:DC4"/>
    <mergeCell ref="CI6:CI8"/>
    <mergeCell ref="CJ6:CJ8"/>
    <mergeCell ref="CK6:CK8"/>
    <mergeCell ref="CL6:CL8"/>
    <mergeCell ref="CM6:CP6"/>
    <mergeCell ref="CQ6:CQ8"/>
    <mergeCell ref="CR6:CR8"/>
    <mergeCell ref="DC6:DC8"/>
    <mergeCell ref="BN4:CH4"/>
    <mergeCell ref="BR6:BU6"/>
    <mergeCell ref="BV6:BV8"/>
    <mergeCell ref="BZ6:BZ8"/>
    <mergeCell ref="CA6:CA8"/>
    <mergeCell ref="CB6:CB8"/>
    <mergeCell ref="CC6:CC8"/>
    <mergeCell ref="BO6:BO8"/>
    <mergeCell ref="BW6:BW8"/>
    <mergeCell ref="BX6:BX8"/>
    <mergeCell ref="BY6:BY8"/>
    <mergeCell ref="CD6:CG6"/>
    <mergeCell ref="BR7:BR8"/>
    <mergeCell ref="BS7:BU7"/>
    <mergeCell ref="CD7:CD8"/>
    <mergeCell ref="CE7:CG7"/>
    <mergeCell ref="BN6:BN8"/>
    <mergeCell ref="BQ6:BQ8"/>
    <mergeCell ref="BP6:BP8"/>
    <mergeCell ref="A19:B19"/>
    <mergeCell ref="AS4:BM4"/>
    <mergeCell ref="BE6:BE8"/>
    <mergeCell ref="BF6:BF8"/>
    <mergeCell ref="BI6:BL6"/>
    <mergeCell ref="BM6:BM8"/>
    <mergeCell ref="BI7:BI8"/>
    <mergeCell ref="BJ7:BL7"/>
    <mergeCell ref="AI6:AI8"/>
    <mergeCell ref="AJ6:AJ8"/>
    <mergeCell ref="AK6:AK8"/>
    <mergeCell ref="AR6:AR8"/>
    <mergeCell ref="AS6:AS8"/>
    <mergeCell ref="AL6:AL8"/>
    <mergeCell ref="BG6:BG8"/>
    <mergeCell ref="BH6:BH8"/>
    <mergeCell ref="P6:P8"/>
    <mergeCell ref="Q6:Q8"/>
    <mergeCell ref="S6:V6"/>
    <mergeCell ref="W6:W8"/>
    <mergeCell ref="X6:X8"/>
    <mergeCell ref="Y6:Y8"/>
    <mergeCell ref="Z6:Z8"/>
    <mergeCell ref="AB6:AE6"/>
    <mergeCell ref="R6:R8"/>
    <mergeCell ref="AA6:AA8"/>
    <mergeCell ref="AH6:AH8"/>
    <mergeCell ref="C4:W4"/>
    <mergeCell ref="X4:AR4"/>
    <mergeCell ref="A2:Q2"/>
    <mergeCell ref="A4:A8"/>
    <mergeCell ref="B4:B8"/>
    <mergeCell ref="G7:G8"/>
    <mergeCell ref="H7:J7"/>
    <mergeCell ref="E6:E8"/>
    <mergeCell ref="F6:F8"/>
    <mergeCell ref="G6:J6"/>
    <mergeCell ref="L6:L8"/>
    <mergeCell ref="M6:M8"/>
    <mergeCell ref="C5:D5"/>
    <mergeCell ref="C6:C8"/>
    <mergeCell ref="D6:D8"/>
    <mergeCell ref="K6:K8"/>
    <mergeCell ref="N6:N8"/>
    <mergeCell ref="O6:O8"/>
    <mergeCell ref="AF6:AF8"/>
    <mergeCell ref="S7:S8"/>
    <mergeCell ref="T7:V7"/>
  </mergeCells>
  <pageMargins left="0.7" right="0.7" top="0.75" bottom="0.75" header="0.3" footer="0.3"/>
  <pageSetup orientation="portrait"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2060"/>
    <pageSetUpPr fitToPage="1"/>
  </sheetPr>
  <dimension ref="A1:C45"/>
  <sheetViews>
    <sheetView topLeftCell="A4" workbookViewId="0">
      <selection activeCell="A3" sqref="A3:E4"/>
    </sheetView>
  </sheetViews>
  <sheetFormatPr defaultRowHeight="15.75" x14ac:dyDescent="0.25"/>
  <cols>
    <col min="1" max="1" width="4.875" customWidth="1"/>
    <col min="2" max="2" width="60.25" customWidth="1"/>
    <col min="3" max="3" width="18"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x14ac:dyDescent="0.25">
      <c r="A4" s="1409" t="s">
        <v>1587</v>
      </c>
      <c r="B4" s="1409"/>
      <c r="C4" s="1409"/>
    </row>
    <row r="5" spans="1:3" hidden="1" x14ac:dyDescent="0.25">
      <c r="A5" s="71"/>
      <c r="B5" s="71"/>
      <c r="C5" s="71"/>
    </row>
    <row r="6" spans="1:3" x14ac:dyDescent="0.25">
      <c r="A6" s="71"/>
      <c r="C6" s="52" t="s">
        <v>516</v>
      </c>
    </row>
    <row r="7" spans="1:3" s="72" customFormat="1" ht="45.75" customHeight="1" x14ac:dyDescent="0.25">
      <c r="A7" s="33" t="s">
        <v>40</v>
      </c>
      <c r="B7" s="33" t="s">
        <v>517</v>
      </c>
      <c r="C7" s="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209" customFormat="1" ht="20.100000000000001" customHeight="1" x14ac:dyDescent="0.25">
      <c r="A10" s="234" t="s">
        <v>564</v>
      </c>
      <c r="B10" s="236" t="s">
        <v>311</v>
      </c>
      <c r="C10" s="386"/>
    </row>
    <row r="11" spans="1:3" s="95" customFormat="1" ht="20.100000000000001" customHeight="1" x14ac:dyDescent="0.25">
      <c r="A11" s="93" t="s">
        <v>564</v>
      </c>
      <c r="B11" s="94" t="s">
        <v>351</v>
      </c>
      <c r="C11" s="387">
        <f>'Phụ lục số 1'!N44</f>
        <v>750000</v>
      </c>
    </row>
    <row r="12" spans="1:3" s="95" customFormat="1" ht="20.100000000000001" customHeight="1" x14ac:dyDescent="0.25">
      <c r="A12" s="93" t="s">
        <v>564</v>
      </c>
      <c r="B12" s="94" t="s">
        <v>226</v>
      </c>
      <c r="C12" s="387">
        <f>'Phụ lục số 1'!N51</f>
        <v>1500000</v>
      </c>
    </row>
    <row r="13" spans="1:3" s="14" customFormat="1" ht="20.100000000000001" customHeight="1" x14ac:dyDescent="0.25">
      <c r="A13" s="87" t="s">
        <v>421</v>
      </c>
      <c r="B13" s="88" t="s">
        <v>219</v>
      </c>
      <c r="C13" s="385">
        <f>'Phụ lục số 1'!N52</f>
        <v>105000</v>
      </c>
    </row>
    <row r="14" spans="1:3" s="86" customFormat="1" ht="20.100000000000001" customHeight="1" x14ac:dyDescent="0.25">
      <c r="A14" s="89" t="s">
        <v>422</v>
      </c>
      <c r="B14" s="90" t="s">
        <v>925</v>
      </c>
      <c r="C14" s="388">
        <f>SUM(C15,C18,C22,C23)</f>
        <v>14124109</v>
      </c>
    </row>
    <row r="15" spans="1:3" s="14" customFormat="1" ht="20.100000000000001" customHeight="1" x14ac:dyDescent="0.25">
      <c r="A15" s="87" t="s">
        <v>409</v>
      </c>
      <c r="B15" s="88" t="s">
        <v>220</v>
      </c>
      <c r="C15" s="385">
        <f>'Phụ lục số 1'!Q12</f>
        <v>6480440</v>
      </c>
    </row>
    <row r="16" spans="1:3" s="95" customFormat="1" ht="20.100000000000001" customHeight="1" x14ac:dyDescent="0.25">
      <c r="A16" s="93" t="s">
        <v>434</v>
      </c>
      <c r="B16" s="94" t="s">
        <v>221</v>
      </c>
      <c r="C16" s="387">
        <f>C15-C17</f>
        <v>3144040</v>
      </c>
    </row>
    <row r="17" spans="1:3"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3" s="14" customFormat="1" ht="20.100000000000001" customHeight="1" x14ac:dyDescent="0.25">
      <c r="A18" s="87" t="s">
        <v>421</v>
      </c>
      <c r="B18" s="88" t="s">
        <v>223</v>
      </c>
      <c r="C18" s="385">
        <f>SUM(C19:C20)</f>
        <v>6765596</v>
      </c>
    </row>
    <row r="19" spans="1:3" s="95" customFormat="1" ht="20.100000000000001" customHeight="1" x14ac:dyDescent="0.25">
      <c r="A19" s="93" t="s">
        <v>434</v>
      </c>
      <c r="B19" s="94" t="s">
        <v>532</v>
      </c>
      <c r="C19" s="387">
        <f>'Phụ lục số 1'!Q56</f>
        <v>4883126</v>
      </c>
    </row>
    <row r="20" spans="1:3" s="95" customFormat="1" ht="20.100000000000001" customHeight="1" x14ac:dyDescent="0.25">
      <c r="A20" s="93" t="s">
        <v>435</v>
      </c>
      <c r="B20" s="94" t="s">
        <v>533</v>
      </c>
      <c r="C20" s="387">
        <f>'Phụ lục số 1'!Q57</f>
        <v>1882470</v>
      </c>
    </row>
    <row r="21" spans="1:3" s="95" customFormat="1" ht="31.5" customHeight="1" x14ac:dyDescent="0.25">
      <c r="A21" s="93" t="s">
        <v>224</v>
      </c>
      <c r="B21" s="97" t="s">
        <v>717</v>
      </c>
      <c r="C21" s="387">
        <f>'Phụ lục số 1'!N61+('Phụ lục số 1'!N60-'Phụ lục số 2'!K40)</f>
        <v>511676</v>
      </c>
    </row>
    <row r="22" spans="1:3" s="235" customFormat="1" ht="20.100000000000001" customHeight="1" x14ac:dyDescent="0.25">
      <c r="A22" s="87" t="s">
        <v>449</v>
      </c>
      <c r="B22" s="88" t="s">
        <v>687</v>
      </c>
      <c r="C22" s="385">
        <f>'Phụ lục số 1'!Q62</f>
        <v>816873</v>
      </c>
    </row>
    <row r="23" spans="1:3" s="14" customFormat="1" ht="20.100000000000001" customHeight="1" x14ac:dyDescent="0.25">
      <c r="A23" s="87" t="s">
        <v>450</v>
      </c>
      <c r="B23" s="88" t="s">
        <v>924</v>
      </c>
      <c r="C23" s="385">
        <f>'Phụ lục số 1'!Q63</f>
        <v>61200</v>
      </c>
    </row>
    <row r="24" spans="1:3" s="86" customFormat="1" ht="20.100000000000001" customHeight="1" x14ac:dyDescent="0.25">
      <c r="A24" s="89" t="s">
        <v>426</v>
      </c>
      <c r="B24" s="90" t="s">
        <v>926</v>
      </c>
      <c r="C24" s="388">
        <f>SUM(C25,C40,C44)</f>
        <v>14124109</v>
      </c>
    </row>
    <row r="25" spans="1:3" s="14" customFormat="1" ht="20.100000000000001" customHeight="1" x14ac:dyDescent="0.25">
      <c r="A25" s="87" t="s">
        <v>409</v>
      </c>
      <c r="B25" s="88" t="s">
        <v>506</v>
      </c>
      <c r="C25" s="385">
        <f>SUM(C26,C30,C36,C37,C38,C39)</f>
        <v>12692115</v>
      </c>
    </row>
    <row r="26" spans="1:3" s="14" customFormat="1" ht="20.100000000000001" customHeight="1" x14ac:dyDescent="0.25">
      <c r="A26" s="87">
        <v>1</v>
      </c>
      <c r="B26" s="88" t="s">
        <v>607</v>
      </c>
      <c r="C26" s="385">
        <f>'Phụ lục số 2'!K13</f>
        <v>3381485</v>
      </c>
    </row>
    <row r="27" spans="1:3" s="95" customFormat="1" ht="20.100000000000001" customHeight="1" x14ac:dyDescent="0.25">
      <c r="A27" s="93" t="s">
        <v>434</v>
      </c>
      <c r="B27" s="94" t="s">
        <v>724</v>
      </c>
      <c r="C27" s="387">
        <f>'Phụ lục số 2'!K14</f>
        <v>1131485</v>
      </c>
    </row>
    <row r="28" spans="1:3" s="201" customFormat="1" ht="20.100000000000001" customHeight="1" x14ac:dyDescent="0.25">
      <c r="A28" s="199" t="s">
        <v>435</v>
      </c>
      <c r="B28" s="200" t="s">
        <v>479</v>
      </c>
      <c r="C28" s="389">
        <f>'Phụ lục số 2'!K15</f>
        <v>750000</v>
      </c>
    </row>
    <row r="29" spans="1:3" s="201" customFormat="1" ht="20.100000000000001" customHeight="1" x14ac:dyDescent="0.25">
      <c r="A29" s="199" t="s">
        <v>436</v>
      </c>
      <c r="B29" s="200" t="s">
        <v>701</v>
      </c>
      <c r="C29" s="389">
        <f>'Phụ lục số 2'!K16</f>
        <v>1500000</v>
      </c>
    </row>
    <row r="30" spans="1:3" s="14" customFormat="1" ht="20.100000000000001" customHeight="1" x14ac:dyDescent="0.25">
      <c r="A30" s="87">
        <v>2</v>
      </c>
      <c r="B30" s="88" t="s">
        <v>460</v>
      </c>
      <c r="C30" s="385">
        <f>'Phụ lục số 2'!K18</f>
        <v>8465821</v>
      </c>
    </row>
    <row r="31" spans="1:3" s="204" customFormat="1" ht="20.100000000000001" customHeight="1" x14ac:dyDescent="0.25">
      <c r="A31" s="202" t="s">
        <v>564</v>
      </c>
      <c r="B31" s="203" t="s">
        <v>242</v>
      </c>
      <c r="C31" s="390"/>
    </row>
    <row r="32" spans="1:3" s="201" customFormat="1" ht="20.100000000000001" customHeight="1" x14ac:dyDescent="0.25">
      <c r="A32" s="199" t="s">
        <v>434</v>
      </c>
      <c r="B32" s="200" t="s">
        <v>385</v>
      </c>
      <c r="C32" s="389">
        <f>'Phụ lục số 2'!K23</f>
        <v>3653191</v>
      </c>
    </row>
    <row r="33" spans="1:3" s="201" customFormat="1" ht="20.100000000000001" customHeight="1" x14ac:dyDescent="0.25">
      <c r="A33" s="199" t="s">
        <v>435</v>
      </c>
      <c r="B33" s="200" t="s">
        <v>386</v>
      </c>
      <c r="C33" s="389">
        <f>'Phụ lục số 2'!K22</f>
        <v>31000</v>
      </c>
    </row>
    <row r="34" spans="1:3" s="201" customFormat="1" ht="20.100000000000001" customHeight="1" x14ac:dyDescent="0.25">
      <c r="A34" s="199" t="s">
        <v>436</v>
      </c>
      <c r="B34" s="200" t="s">
        <v>609</v>
      </c>
      <c r="C34" s="389">
        <f>'Phụ lục số 2'!K20</f>
        <v>143470</v>
      </c>
    </row>
    <row r="35" spans="1:3" s="201" customFormat="1" ht="20.100000000000001" customHeight="1" x14ac:dyDescent="0.25">
      <c r="A35" s="199" t="s">
        <v>437</v>
      </c>
      <c r="B35" s="200" t="s">
        <v>364</v>
      </c>
      <c r="C35" s="389">
        <f>C30-C32-C33-C34</f>
        <v>4638160</v>
      </c>
    </row>
    <row r="36" spans="1:3" s="14" customFormat="1" ht="20.100000000000001" customHeight="1" x14ac:dyDescent="0.25">
      <c r="A36" s="87">
        <v>3</v>
      </c>
      <c r="B36" s="88" t="s">
        <v>300</v>
      </c>
      <c r="C36" s="385">
        <f>'Phụ lục số 2'!K32</f>
        <v>2000</v>
      </c>
    </row>
    <row r="37" spans="1:3" s="14" customFormat="1" ht="20.100000000000001" customHeight="1" x14ac:dyDescent="0.25">
      <c r="A37" s="87">
        <v>4</v>
      </c>
      <c r="B37" s="88" t="s">
        <v>487</v>
      </c>
      <c r="C37" s="385">
        <f>'Phụ lục số 2'!K33</f>
        <v>233960</v>
      </c>
    </row>
    <row r="38" spans="1:3" s="14" customFormat="1" ht="20.100000000000001" customHeight="1" x14ac:dyDescent="0.25">
      <c r="A38" s="87">
        <v>5</v>
      </c>
      <c r="B38" s="88" t="s">
        <v>526</v>
      </c>
      <c r="C38" s="385">
        <f>'Phụ lục số 2'!K35</f>
        <v>606749</v>
      </c>
    </row>
    <row r="39" spans="1:3" s="14" customFormat="1" ht="20.100000000000001" customHeight="1" x14ac:dyDescent="0.25">
      <c r="A39" s="87">
        <v>6</v>
      </c>
      <c r="B39" s="26" t="s">
        <v>732</v>
      </c>
      <c r="C39" s="385">
        <f>'Phụ lục số 2'!K36</f>
        <v>2100</v>
      </c>
    </row>
    <row r="40" spans="1:3" s="14" customFormat="1" ht="20.100000000000001" customHeight="1" x14ac:dyDescent="0.25">
      <c r="A40" s="87" t="s">
        <v>421</v>
      </c>
      <c r="B40" s="98" t="s">
        <v>229</v>
      </c>
      <c r="C40" s="385">
        <f>SUM(C41:C43)</f>
        <v>1370794</v>
      </c>
    </row>
    <row r="41" spans="1:3" s="14" customFormat="1" ht="20.100000000000001" customHeight="1" x14ac:dyDescent="0.25">
      <c r="A41" s="202">
        <v>1</v>
      </c>
      <c r="B41" s="24" t="s">
        <v>599</v>
      </c>
      <c r="C41" s="390">
        <f>'Phụ lục số 2'!K38</f>
        <v>0</v>
      </c>
    </row>
    <row r="42" spans="1:3" s="14" customFormat="1" ht="20.100000000000001" customHeight="1" x14ac:dyDescent="0.25">
      <c r="A42" s="202">
        <v>2</v>
      </c>
      <c r="B42" s="24" t="s">
        <v>508</v>
      </c>
      <c r="C42" s="390">
        <f>'Phụ lục số 2'!K39</f>
        <v>1263824</v>
      </c>
    </row>
    <row r="43" spans="1:3" s="14" customFormat="1" ht="20.100000000000001" customHeight="1" x14ac:dyDescent="0.25">
      <c r="A43" s="202">
        <v>3</v>
      </c>
      <c r="B43" s="24" t="s">
        <v>509</v>
      </c>
      <c r="C43" s="390">
        <f>'Phụ lục số 2'!K40</f>
        <v>106970</v>
      </c>
    </row>
    <row r="44" spans="1:3" s="14" customFormat="1" ht="20.100000000000001" customHeight="1" x14ac:dyDescent="0.25">
      <c r="A44" s="595" t="s">
        <v>449</v>
      </c>
      <c r="B44" s="320" t="s">
        <v>920</v>
      </c>
      <c r="C44" s="596">
        <f>'Phụ lục số 2'!K41</f>
        <v>61200</v>
      </c>
    </row>
    <row r="45" spans="1:3" x14ac:dyDescent="0.25">
      <c r="B45" s="259" t="s">
        <v>760</v>
      </c>
    </row>
  </sheetData>
  <customSheetViews>
    <customSheetView guid="{88621519-296E-4458-B04E-813E881018FE}" fitToPage="1" hiddenRows="1" topLeftCell="A16">
      <selection activeCell="A4" sqref="A4:C4"/>
      <pageMargins left="0" right="0" top="0.59055118110236227" bottom="0.59055118110236227" header="0.19685039370078741" footer="0.19685039370078741"/>
      <printOptions horizontalCentered="1"/>
      <pageSetup paperSize="9" scale="95"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3" orientation="portrait" r:id="rId2"/>
  <headerFooter alignWithMargins="0">
    <oddHeader>&amp;R&amp;A</oddHead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2060"/>
  </sheetPr>
  <dimension ref="A1:D48"/>
  <sheetViews>
    <sheetView topLeftCell="A4" workbookViewId="0">
      <selection activeCell="A3" sqref="A3:E4"/>
    </sheetView>
  </sheetViews>
  <sheetFormatPr defaultRowHeight="15.75" x14ac:dyDescent="0.25"/>
  <cols>
    <col min="1" max="1" width="5.375" customWidth="1"/>
    <col min="2" max="2" width="64.25" customWidth="1"/>
    <col min="3" max="3" width="20.5" customWidth="1"/>
    <col min="4" max="4" width="9.625" hidden="1" customWidth="1"/>
  </cols>
  <sheetData>
    <row r="1" spans="1:4" hidden="1" x14ac:dyDescent="0.25">
      <c r="A1" s="12"/>
      <c r="B1" s="85" t="s">
        <v>216</v>
      </c>
      <c r="C1" s="12"/>
    </row>
    <row r="2" spans="1:4" hidden="1" x14ac:dyDescent="0.25">
      <c r="A2" s="12"/>
      <c r="B2" s="85" t="s">
        <v>217</v>
      </c>
      <c r="C2" s="12"/>
    </row>
    <row r="3" spans="1:4" hidden="1" x14ac:dyDescent="0.25">
      <c r="A3" s="14"/>
      <c r="B3" s="14"/>
      <c r="C3" s="14"/>
    </row>
    <row r="4" spans="1:4" ht="21.75" customHeight="1" x14ac:dyDescent="0.25">
      <c r="A4" s="1368" t="s">
        <v>1588</v>
      </c>
      <c r="B4" s="1524"/>
      <c r="C4" s="1524"/>
    </row>
    <row r="5" spans="1:4" x14ac:dyDescent="0.25">
      <c r="C5" s="52" t="s">
        <v>516</v>
      </c>
    </row>
    <row r="6" spans="1:4" s="72" customFormat="1" ht="31.5" x14ac:dyDescent="0.25">
      <c r="A6" s="33" t="s">
        <v>40</v>
      </c>
      <c r="B6" s="33" t="s">
        <v>454</v>
      </c>
      <c r="C6" s="33" t="s">
        <v>1589</v>
      </c>
    </row>
    <row r="7" spans="1:4" s="86" customFormat="1" x14ac:dyDescent="0.25">
      <c r="A7" s="197"/>
      <c r="B7" s="198" t="s">
        <v>927</v>
      </c>
      <c r="C7" s="384">
        <f>SUM(C8,C11,C14,C15)</f>
        <v>11208685</v>
      </c>
      <c r="D7" s="61"/>
    </row>
    <row r="8" spans="1:4" s="86" customFormat="1" x14ac:dyDescent="0.25">
      <c r="A8" s="89" t="s">
        <v>409</v>
      </c>
      <c r="B8" s="90" t="s">
        <v>230</v>
      </c>
      <c r="C8" s="388">
        <f>'Phụ lục số 1'!R12</f>
        <v>4103130</v>
      </c>
    </row>
    <row r="9" spans="1:4" s="95" customFormat="1" x14ac:dyDescent="0.25">
      <c r="A9" s="93">
        <v>1</v>
      </c>
      <c r="B9" s="94" t="s">
        <v>279</v>
      </c>
      <c r="C9" s="387">
        <f>C8-C10</f>
        <v>1932040</v>
      </c>
    </row>
    <row r="10" spans="1:4" s="95" customFormat="1" x14ac:dyDescent="0.25">
      <c r="A10" s="93">
        <v>2</v>
      </c>
      <c r="B10" s="100" t="s">
        <v>280</v>
      </c>
      <c r="C10" s="387">
        <f>'Phụ lục số 1'!R16+'Phụ lục số 1'!R17+'Phụ lục số 1'!R18+'Phụ lục số 1'!R22+'Phụ lục số 1'!R23+'Phụ lục số 1'!R24+'Phụ lục số 1'!R28+'Phụ lục số 1'!R29+'Phụ lục số 1'!R33+'Phụ lục số 1'!R34+'Phụ lục số 1'!R35+'Phụ lục số 1'!R41+'Phụ lục số 1'!R42</f>
        <v>2171090</v>
      </c>
    </row>
    <row r="11" spans="1:4" s="86" customFormat="1" x14ac:dyDescent="0.25">
      <c r="A11" s="89" t="s">
        <v>421</v>
      </c>
      <c r="B11" s="90" t="s">
        <v>281</v>
      </c>
      <c r="C11" s="388">
        <f>SUM(C12:C13)</f>
        <v>6765596</v>
      </c>
      <c r="D11" s="61"/>
    </row>
    <row r="12" spans="1:4" s="95" customFormat="1" x14ac:dyDescent="0.25">
      <c r="A12" s="93">
        <v>1</v>
      </c>
      <c r="B12" s="94" t="s">
        <v>532</v>
      </c>
      <c r="C12" s="387">
        <f>'Phụ lục số 1'!R56</f>
        <v>4883126</v>
      </c>
    </row>
    <row r="13" spans="1:4" s="95" customFormat="1" x14ac:dyDescent="0.25">
      <c r="A13" s="93">
        <v>2</v>
      </c>
      <c r="B13" s="94" t="s">
        <v>425</v>
      </c>
      <c r="C13" s="387">
        <f>'Phụ lục số 1'!R57</f>
        <v>1882470</v>
      </c>
    </row>
    <row r="14" spans="1:4" s="86" customFormat="1" x14ac:dyDescent="0.25">
      <c r="A14" s="89" t="s">
        <v>449</v>
      </c>
      <c r="B14" s="90" t="s">
        <v>725</v>
      </c>
      <c r="C14" s="388">
        <f>'Phụ lục số 1'!R62</f>
        <v>278759</v>
      </c>
    </row>
    <row r="15" spans="1:4" s="86" customFormat="1" x14ac:dyDescent="0.25">
      <c r="A15" s="89" t="s">
        <v>450</v>
      </c>
      <c r="B15" s="41" t="s">
        <v>919</v>
      </c>
      <c r="C15" s="388">
        <f>'Phụ lục số 1'!R63</f>
        <v>61200</v>
      </c>
    </row>
    <row r="16" spans="1:4" s="86" customFormat="1" x14ac:dyDescent="0.25">
      <c r="A16" s="89" t="s">
        <v>422</v>
      </c>
      <c r="B16" s="90" t="s">
        <v>928</v>
      </c>
      <c r="C16" s="388">
        <f>SUM(C17,C43,C44,C45)</f>
        <v>11208685</v>
      </c>
      <c r="D16" s="61">
        <f>+C7-C16</f>
        <v>0</v>
      </c>
    </row>
    <row r="17" spans="1:4" s="104" customFormat="1" x14ac:dyDescent="0.25">
      <c r="A17" s="101" t="s">
        <v>409</v>
      </c>
      <c r="B17" s="102" t="s">
        <v>283</v>
      </c>
      <c r="C17" s="391">
        <f>SUM(C18,C22,C39,C40,C41,C42)</f>
        <v>5239106</v>
      </c>
      <c r="D17" s="103"/>
    </row>
    <row r="18" spans="1:4" s="104" customFormat="1" x14ac:dyDescent="0.25">
      <c r="A18" s="105">
        <v>1</v>
      </c>
      <c r="B18" s="41" t="s">
        <v>431</v>
      </c>
      <c r="C18" s="391">
        <f>'Phụ lục số 2'!N13</f>
        <v>2226239</v>
      </c>
      <c r="D18" s="103"/>
    </row>
    <row r="19" spans="1:4" s="376" customFormat="1" x14ac:dyDescent="0.25">
      <c r="A19" s="374" t="s">
        <v>434</v>
      </c>
      <c r="B19" s="94" t="s">
        <v>724</v>
      </c>
      <c r="C19" s="392">
        <f>'Phụ lục số 2'!N14</f>
        <v>626239</v>
      </c>
      <c r="D19" s="375"/>
    </row>
    <row r="20" spans="1:4" s="108" customFormat="1" x14ac:dyDescent="0.25">
      <c r="A20" s="106" t="s">
        <v>435</v>
      </c>
      <c r="B20" s="94" t="s">
        <v>479</v>
      </c>
      <c r="C20" s="392">
        <f>'Phụ lục số 2'!N15</f>
        <v>100000</v>
      </c>
      <c r="D20" s="107"/>
    </row>
    <row r="21" spans="1:4" s="108" customFormat="1" x14ac:dyDescent="0.25">
      <c r="A21" s="106" t="s">
        <v>436</v>
      </c>
      <c r="B21" s="94" t="s">
        <v>701</v>
      </c>
      <c r="C21" s="392">
        <f>'Phụ lục số 2'!N16</f>
        <v>1500000</v>
      </c>
      <c r="D21" s="107"/>
    </row>
    <row r="22" spans="1:4" s="104" customFormat="1" x14ac:dyDescent="0.25">
      <c r="A22" s="105">
        <v>2</v>
      </c>
      <c r="B22" s="41" t="s">
        <v>460</v>
      </c>
      <c r="C22" s="391">
        <f>SUM(C23,C24,C25,C33,C34,C38)</f>
        <v>2887729</v>
      </c>
      <c r="D22" s="103"/>
    </row>
    <row r="23" spans="1:4" s="111" customFormat="1" x14ac:dyDescent="0.25">
      <c r="A23" s="109" t="s">
        <v>284</v>
      </c>
      <c r="B23" s="26" t="s">
        <v>285</v>
      </c>
      <c r="C23" s="393">
        <f>'Phụ lục số 2'!N19</f>
        <v>483000</v>
      </c>
      <c r="D23" s="110"/>
    </row>
    <row r="24" spans="1:4" s="111" customFormat="1" x14ac:dyDescent="0.25">
      <c r="A24" s="109" t="s">
        <v>286</v>
      </c>
      <c r="B24" s="26" t="s">
        <v>502</v>
      </c>
      <c r="C24" s="393">
        <f>'Phụ lục số 2'!N20</f>
        <v>62000</v>
      </c>
      <c r="D24" s="110"/>
    </row>
    <row r="25" spans="1:4" s="111" customFormat="1" x14ac:dyDescent="0.25">
      <c r="A25" s="109" t="s">
        <v>287</v>
      </c>
      <c r="B25" s="26" t="s">
        <v>438</v>
      </c>
      <c r="C25" s="393">
        <f>SUM(C26:C32)</f>
        <v>1722729</v>
      </c>
      <c r="D25" s="110"/>
    </row>
    <row r="26" spans="1:4" s="108" customFormat="1" x14ac:dyDescent="0.25">
      <c r="A26" s="106" t="s">
        <v>434</v>
      </c>
      <c r="B26" s="64" t="s">
        <v>289</v>
      </c>
      <c r="C26" s="392">
        <f>'Phụ lục số 2'!N22</f>
        <v>31000</v>
      </c>
      <c r="D26" s="107"/>
    </row>
    <row r="27" spans="1:4" s="108" customFormat="1" x14ac:dyDescent="0.25">
      <c r="A27" s="106" t="s">
        <v>435</v>
      </c>
      <c r="B27" s="64" t="s">
        <v>496</v>
      </c>
      <c r="C27" s="392">
        <f>'Phụ lục số 2'!N23</f>
        <v>777729</v>
      </c>
      <c r="D27" s="107"/>
    </row>
    <row r="28" spans="1:4" s="108" customFormat="1" x14ac:dyDescent="0.25">
      <c r="A28" s="106" t="s">
        <v>436</v>
      </c>
      <c r="B28" s="64" t="s">
        <v>439</v>
      </c>
      <c r="C28" s="392">
        <f>'Phụ lục số 2'!N24</f>
        <v>770000</v>
      </c>
      <c r="D28" s="107"/>
    </row>
    <row r="29" spans="1:4" s="108" customFormat="1" x14ac:dyDescent="0.25">
      <c r="A29" s="106" t="s">
        <v>437</v>
      </c>
      <c r="B29" s="64" t="s">
        <v>441</v>
      </c>
      <c r="C29" s="392">
        <f>'Phụ lục số 2'!N25</f>
        <v>40000</v>
      </c>
      <c r="D29" s="107"/>
    </row>
    <row r="30" spans="1:4" s="108" customFormat="1" x14ac:dyDescent="0.25">
      <c r="A30" s="106" t="s">
        <v>440</v>
      </c>
      <c r="B30" s="64" t="s">
        <v>443</v>
      </c>
      <c r="C30" s="392">
        <f>'Phụ lục số 2'!N26</f>
        <v>7000</v>
      </c>
      <c r="D30" s="107"/>
    </row>
    <row r="31" spans="1:4" s="108" customFormat="1" x14ac:dyDescent="0.25">
      <c r="A31" s="106" t="s">
        <v>442</v>
      </c>
      <c r="B31" s="64" t="s">
        <v>445</v>
      </c>
      <c r="C31" s="392">
        <f>'Phụ lục số 2'!N27</f>
        <v>22000</v>
      </c>
      <c r="D31" s="107"/>
    </row>
    <row r="32" spans="1:4" s="108" customFormat="1" x14ac:dyDescent="0.25">
      <c r="A32" s="106" t="s">
        <v>444</v>
      </c>
      <c r="B32" s="64" t="s">
        <v>290</v>
      </c>
      <c r="C32" s="392">
        <f>'Phụ lục số 2'!N28</f>
        <v>75000</v>
      </c>
      <c r="D32" s="107"/>
    </row>
    <row r="33" spans="1:4" s="111" customFormat="1" x14ac:dyDescent="0.25">
      <c r="A33" s="109" t="s">
        <v>291</v>
      </c>
      <c r="B33" s="26" t="s">
        <v>447</v>
      </c>
      <c r="C33" s="393">
        <f>'Phụ lục số 2'!N29</f>
        <v>450000</v>
      </c>
      <c r="D33" s="110"/>
    </row>
    <row r="34" spans="1:4" s="111" customFormat="1" x14ac:dyDescent="0.25">
      <c r="A34" s="109" t="s">
        <v>292</v>
      </c>
      <c r="B34" s="26" t="s">
        <v>448</v>
      </c>
      <c r="C34" s="393">
        <f>'Phụ lục số 2'!N30</f>
        <v>140000</v>
      </c>
      <c r="D34" s="110"/>
    </row>
    <row r="35" spans="1:4" s="108" customFormat="1" x14ac:dyDescent="0.25">
      <c r="A35" s="106" t="s">
        <v>434</v>
      </c>
      <c r="B35" s="64" t="s">
        <v>293</v>
      </c>
      <c r="C35" s="392">
        <f>'Phụ lục số 4'!O62</f>
        <v>47104</v>
      </c>
      <c r="D35" s="107"/>
    </row>
    <row r="36" spans="1:4" s="108" customFormat="1" x14ac:dyDescent="0.25">
      <c r="A36" s="106" t="s">
        <v>435</v>
      </c>
      <c r="B36" s="64" t="s">
        <v>294</v>
      </c>
      <c r="C36" s="392">
        <f>C34-C35-C37</f>
        <v>83516</v>
      </c>
      <c r="D36" s="107"/>
    </row>
    <row r="37" spans="1:4" s="108" customFormat="1" x14ac:dyDescent="0.25">
      <c r="A37" s="106" t="s">
        <v>436</v>
      </c>
      <c r="B37" s="64" t="s">
        <v>295</v>
      </c>
      <c r="C37" s="392">
        <f>'Phụ lục số 4'!O64</f>
        <v>9380</v>
      </c>
      <c r="D37" s="107"/>
    </row>
    <row r="38" spans="1:4" s="111" customFormat="1" x14ac:dyDescent="0.25">
      <c r="A38" s="109" t="s">
        <v>296</v>
      </c>
      <c r="B38" s="26" t="s">
        <v>507</v>
      </c>
      <c r="C38" s="393">
        <f>'Phụ lục số 2'!N31</f>
        <v>30000</v>
      </c>
      <c r="D38" s="110"/>
    </row>
    <row r="39" spans="1:4" s="104" customFormat="1" x14ac:dyDescent="0.25">
      <c r="A39" s="105">
        <v>3</v>
      </c>
      <c r="B39" s="41" t="s">
        <v>297</v>
      </c>
      <c r="C39" s="391">
        <f>'Phụ lục số 2'!N32</f>
        <v>2000</v>
      </c>
      <c r="D39" s="103"/>
    </row>
    <row r="40" spans="1:4" s="104" customFormat="1" x14ac:dyDescent="0.25">
      <c r="A40" s="105">
        <v>4</v>
      </c>
      <c r="B40" s="41" t="s">
        <v>487</v>
      </c>
      <c r="C40" s="391">
        <f>'Phụ lục số 2'!N33</f>
        <v>121038</v>
      </c>
      <c r="D40" s="103"/>
    </row>
    <row r="41" spans="1:4" s="104" customFormat="1" x14ac:dyDescent="0.25">
      <c r="A41" s="105">
        <v>5</v>
      </c>
      <c r="B41" s="41" t="s">
        <v>526</v>
      </c>
      <c r="C41" s="391">
        <f>'Phụ lục số 2'!N35</f>
        <v>0</v>
      </c>
      <c r="D41" s="103"/>
    </row>
    <row r="42" spans="1:4" s="104" customFormat="1" x14ac:dyDescent="0.25">
      <c r="A42" s="105">
        <v>6</v>
      </c>
      <c r="B42" s="41" t="s">
        <v>732</v>
      </c>
      <c r="C42" s="391">
        <f>'Phụ lục số 2'!N36</f>
        <v>2100</v>
      </c>
      <c r="D42" s="103"/>
    </row>
    <row r="43" spans="1:4" s="104" customFormat="1" x14ac:dyDescent="0.25">
      <c r="A43" s="101" t="s">
        <v>421</v>
      </c>
      <c r="B43" s="102" t="s">
        <v>451</v>
      </c>
      <c r="C43" s="391">
        <f>'Phụ lục số 2'!N37</f>
        <v>1370794</v>
      </c>
      <c r="D43" s="103"/>
    </row>
    <row r="44" spans="1:4" s="104" customFormat="1" x14ac:dyDescent="0.25">
      <c r="A44" s="101" t="s">
        <v>449</v>
      </c>
      <c r="B44" s="825" t="s">
        <v>920</v>
      </c>
      <c r="C44" s="391">
        <f>'Phụ lục số 2'!N41</f>
        <v>61200</v>
      </c>
      <c r="D44" s="103"/>
    </row>
    <row r="45" spans="1:4" s="86" customFormat="1" x14ac:dyDescent="0.25">
      <c r="A45" s="89" t="s">
        <v>450</v>
      </c>
      <c r="B45" s="90" t="s">
        <v>1624</v>
      </c>
      <c r="C45" s="388">
        <f>SUM(C46:C47)</f>
        <v>4537585</v>
      </c>
    </row>
    <row r="46" spans="1:4" s="95" customFormat="1" x14ac:dyDescent="0.25">
      <c r="A46" s="93">
        <v>1</v>
      </c>
      <c r="B46" s="94" t="s">
        <v>532</v>
      </c>
      <c r="C46" s="387">
        <f>'Phụ lục số 5'!E33</f>
        <v>3464851</v>
      </c>
    </row>
    <row r="47" spans="1:4" s="95" customFormat="1" x14ac:dyDescent="0.25">
      <c r="A47" s="93">
        <v>2</v>
      </c>
      <c r="B47" s="94" t="s">
        <v>425</v>
      </c>
      <c r="C47" s="387">
        <f>'Phụ lục số 5'!E34</f>
        <v>1072734</v>
      </c>
    </row>
    <row r="48" spans="1:4" s="86" customFormat="1" x14ac:dyDescent="0.25">
      <c r="A48" s="112"/>
      <c r="B48" s="113"/>
      <c r="C48" s="394"/>
    </row>
  </sheetData>
  <customSheetViews>
    <customSheetView guid="{88621519-296E-4458-B04E-813E881018FE}" hiddenRows="1" hiddenColumns="1" topLeftCell="A13">
      <selection activeCell="C16" sqref="C1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C37"/>
  <sheetViews>
    <sheetView topLeftCell="A4" zoomScale="115" zoomScaleNormal="115" workbookViewId="0">
      <selection activeCell="A3" sqref="A3:E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x14ac:dyDescent="0.25">
      <c r="A4" s="118" t="s">
        <v>1590</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25" t="s">
        <v>40</v>
      </c>
      <c r="B7" s="1525" t="s">
        <v>454</v>
      </c>
      <c r="C7" s="1526" t="s">
        <v>1589</v>
      </c>
    </row>
    <row r="8" spans="1:3" s="121" customFormat="1" ht="42" customHeight="1" x14ac:dyDescent="0.25">
      <c r="A8" s="1525"/>
      <c r="B8" s="1525"/>
      <c r="C8" s="1527"/>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237" t="s">
        <v>1246</v>
      </c>
      <c r="C11" s="397">
        <f>'Phụ lục số 1'!N15</f>
        <v>210000</v>
      </c>
    </row>
    <row r="12" spans="1:3" s="129" customFormat="1" x14ac:dyDescent="0.25">
      <c r="A12" s="127">
        <v>2</v>
      </c>
      <c r="B12" s="237" t="s">
        <v>1247</v>
      </c>
      <c r="C12" s="397">
        <f>'Phụ lục số 1'!N21</f>
        <v>535000</v>
      </c>
    </row>
    <row r="13" spans="1:3" s="129" customFormat="1" x14ac:dyDescent="0.25">
      <c r="A13" s="127">
        <v>3</v>
      </c>
      <c r="B13" s="237" t="s">
        <v>1248</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237" t="s">
        <v>350</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237" t="s">
        <v>1245</v>
      </c>
      <c r="C23" s="397">
        <f>'Phụ lục số 1'!N50</f>
        <v>3000</v>
      </c>
    </row>
    <row r="24" spans="1:3" s="129" customFormat="1" x14ac:dyDescent="0.25">
      <c r="A24" s="127">
        <v>14</v>
      </c>
      <c r="B24" s="208" t="s">
        <v>1250</v>
      </c>
      <c r="C24" s="397">
        <f>'Phụ lục số 1'!N51</f>
        <v>1500000</v>
      </c>
    </row>
    <row r="25" spans="1:3" s="357" customFormat="1" x14ac:dyDescent="0.25">
      <c r="A25" s="356">
        <v>15</v>
      </c>
      <c r="B25" s="208" t="s">
        <v>1249</v>
      </c>
      <c r="C25" s="399">
        <f>'Phụ lục số 1'!N48</f>
        <v>11000</v>
      </c>
    </row>
    <row r="26" spans="1:3" s="357" customFormat="1" x14ac:dyDescent="0.25">
      <c r="A26" s="356">
        <v>16</v>
      </c>
      <c r="B26" s="208" t="s">
        <v>1238</v>
      </c>
      <c r="C26" s="399">
        <f>'Phụ lục số 1'!N49</f>
        <v>70000</v>
      </c>
    </row>
    <row r="27" spans="1:3" s="131" customFormat="1" x14ac:dyDescent="0.25">
      <c r="A27" s="125" t="s">
        <v>421</v>
      </c>
      <c r="B27" s="126" t="s">
        <v>537</v>
      </c>
      <c r="C27" s="400">
        <f>'Phụ lục số 1'!N52</f>
        <v>105000</v>
      </c>
    </row>
    <row r="28" spans="1:3" s="124" customFormat="1" hidden="1" x14ac:dyDescent="0.25">
      <c r="A28" s="125"/>
      <c r="B28" s="90" t="s">
        <v>225</v>
      </c>
      <c r="C28" s="396">
        <f>'Phụ lục số 1'!N62</f>
        <v>816873</v>
      </c>
    </row>
    <row r="29" spans="1:3" s="131" customFormat="1" x14ac:dyDescent="0.25">
      <c r="A29" s="125" t="s">
        <v>422</v>
      </c>
      <c r="B29" s="132" t="s">
        <v>929</v>
      </c>
      <c r="C29" s="400">
        <f>SUM(C30,C33,C36,C37)</f>
        <v>14124109</v>
      </c>
    </row>
    <row r="30" spans="1:3" s="130" customFormat="1" x14ac:dyDescent="0.25">
      <c r="A30" s="133" t="s">
        <v>409</v>
      </c>
      <c r="B30" s="134" t="s">
        <v>304</v>
      </c>
      <c r="C30" s="401">
        <f>SUM(C31:C32)</f>
        <v>6480440</v>
      </c>
    </row>
    <row r="31" spans="1:3" s="129"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30" customFormat="1" x14ac:dyDescent="0.25">
      <c r="A33" s="133" t="s">
        <v>421</v>
      </c>
      <c r="B33" s="134" t="s">
        <v>423</v>
      </c>
      <c r="C33" s="402">
        <f>SUM(C34:C35)</f>
        <v>6765596</v>
      </c>
    </row>
    <row r="34" spans="1:3" s="129"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30" customFormat="1" x14ac:dyDescent="0.25">
      <c r="A36" s="133" t="s">
        <v>449</v>
      </c>
      <c r="B36" s="134" t="s">
        <v>725</v>
      </c>
      <c r="C36" s="402">
        <f>C28</f>
        <v>816873</v>
      </c>
    </row>
    <row r="37" spans="1:3" x14ac:dyDescent="0.25">
      <c r="A37" s="355" t="s">
        <v>450</v>
      </c>
      <c r="B37" s="597" t="s">
        <v>919</v>
      </c>
      <c r="C37" s="403">
        <f>'Phụ lục số 1- HĐND'!C23</f>
        <v>61200</v>
      </c>
    </row>
  </sheetData>
  <customSheetViews>
    <customSheetView guid="{88621519-296E-4458-B04E-813E881018FE}" scale="115" hiddenRows="1" topLeftCell="A20">
      <selection activeCell="A37" sqref="A37:C37"/>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002060"/>
  </sheetPr>
  <dimension ref="A1:E40"/>
  <sheetViews>
    <sheetView topLeftCell="A4" workbookViewId="0">
      <selection activeCell="A3" sqref="A3:E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28" t="s">
        <v>216</v>
      </c>
      <c r="C1" s="1528"/>
      <c r="D1" s="1528"/>
      <c r="E1" s="12"/>
    </row>
    <row r="2" spans="1:5" s="14" customFormat="1" hidden="1" x14ac:dyDescent="0.25">
      <c r="B2" s="1528" t="s">
        <v>217</v>
      </c>
      <c r="C2" s="1528"/>
      <c r="D2" s="1528"/>
      <c r="E2" s="12"/>
    </row>
    <row r="3" spans="1:5" s="14" customFormat="1" hidden="1" x14ac:dyDescent="0.25">
      <c r="B3" s="13"/>
      <c r="C3" s="1409"/>
      <c r="D3" s="1409"/>
      <c r="E3" s="1409"/>
    </row>
    <row r="4" spans="1:5" s="14" customFormat="1" x14ac:dyDescent="0.25">
      <c r="A4" s="1409" t="s">
        <v>1591</v>
      </c>
      <c r="B4" s="1409"/>
      <c r="C4" s="1409"/>
      <c r="D4" s="1409"/>
      <c r="E4" s="1409"/>
    </row>
    <row r="5" spans="1:5" x14ac:dyDescent="0.25">
      <c r="E5" s="136" t="s">
        <v>516</v>
      </c>
    </row>
    <row r="6" spans="1:5" s="14" customFormat="1" x14ac:dyDescent="0.25">
      <c r="A6" s="1406" t="s">
        <v>40</v>
      </c>
      <c r="B6" s="1491" t="s">
        <v>517</v>
      </c>
      <c r="C6" s="1461" t="s">
        <v>1411</v>
      </c>
      <c r="D6" s="1461"/>
      <c r="E6" s="1461"/>
    </row>
    <row r="7" spans="1:5" s="14" customFormat="1" x14ac:dyDescent="0.25">
      <c r="A7" s="1491"/>
      <c r="B7" s="1491"/>
      <c r="C7" s="1491" t="s">
        <v>404</v>
      </c>
      <c r="D7" s="1461" t="s">
        <v>308</v>
      </c>
      <c r="E7" s="1461"/>
    </row>
    <row r="8" spans="1:5" s="72" customFormat="1" ht="78.75" customHeight="1" x14ac:dyDescent="0.25">
      <c r="A8" s="1491"/>
      <c r="B8" s="1491"/>
      <c r="C8" s="1491"/>
      <c r="D8" s="33" t="s">
        <v>309</v>
      </c>
      <c r="E8" s="33" t="s">
        <v>1592</v>
      </c>
    </row>
    <row r="9" spans="1:5" s="86" customFormat="1" ht="20.100000000000001" customHeight="1" x14ac:dyDescent="0.25">
      <c r="A9" s="99"/>
      <c r="B9" s="38" t="s">
        <v>310</v>
      </c>
      <c r="C9" s="212">
        <f>SUM(C10,C15,C21,C22,C23,C24,C25,C26)</f>
        <v>14124109</v>
      </c>
      <c r="D9" s="212">
        <f>SUM(D10,D15,D21,D22,D23,D24,D25,D26)</f>
        <v>6671100</v>
      </c>
      <c r="E9" s="212">
        <f>SUM(E10,E15,E21,E22,E23,E24,E25,E26)</f>
        <v>7453009</v>
      </c>
    </row>
    <row r="10" spans="1:5" s="86" customFormat="1" ht="20.100000000000001" customHeight="1" x14ac:dyDescent="0.25">
      <c r="A10" s="89" t="s">
        <v>409</v>
      </c>
      <c r="B10" s="90" t="s">
        <v>610</v>
      </c>
      <c r="C10" s="225">
        <f>SUM(D10:E10)</f>
        <v>3381485</v>
      </c>
      <c r="D10" s="225">
        <f>SUM(D12:D14)</f>
        <v>2226239</v>
      </c>
      <c r="E10" s="225">
        <f>SUM(E12:E14)</f>
        <v>1155246</v>
      </c>
    </row>
    <row r="11" spans="1:5" s="204" customFormat="1" ht="20.100000000000001" customHeight="1" x14ac:dyDescent="0.25">
      <c r="A11" s="202"/>
      <c r="B11" s="203" t="s">
        <v>242</v>
      </c>
      <c r="C11" s="404"/>
      <c r="D11" s="404"/>
      <c r="E11" s="404"/>
    </row>
    <row r="12" spans="1:5" ht="20.100000000000001" customHeight="1" x14ac:dyDescent="0.25">
      <c r="A12" s="91" t="s">
        <v>434</v>
      </c>
      <c r="B12" s="92" t="s">
        <v>380</v>
      </c>
      <c r="C12" s="405">
        <f>SUM(D12:E12)</f>
        <v>1131485</v>
      </c>
      <c r="D12" s="405">
        <f>'Phụ lục số 2'!N14</f>
        <v>626239</v>
      </c>
      <c r="E12" s="405">
        <f>'Phụ lục số 2'!O14</f>
        <v>505246</v>
      </c>
    </row>
    <row r="13" spans="1:5" ht="20.100000000000001" customHeight="1" x14ac:dyDescent="0.25">
      <c r="A13" s="91" t="s">
        <v>435</v>
      </c>
      <c r="B13" s="92" t="s">
        <v>381</v>
      </c>
      <c r="C13" s="405">
        <f>SUM(D13:E13)</f>
        <v>750000</v>
      </c>
      <c r="D13" s="405">
        <f>'Phụ lục số 2'!N15</f>
        <v>100000</v>
      </c>
      <c r="E13" s="405">
        <f>'Phụ lục số 2'!O15</f>
        <v>650000</v>
      </c>
    </row>
    <row r="14" spans="1:5" ht="20.100000000000001" customHeight="1" x14ac:dyDescent="0.25">
      <c r="A14" s="91" t="s">
        <v>436</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t="s">
        <v>434</v>
      </c>
      <c r="B17" s="92" t="s">
        <v>382</v>
      </c>
      <c r="C17" s="405">
        <f t="shared" ref="C17:C26" si="0">SUM(D17:E17)</f>
        <v>3653191</v>
      </c>
      <c r="D17" s="405">
        <f>'Phụ lục số 2'!N23</f>
        <v>777729</v>
      </c>
      <c r="E17" s="405">
        <f>'Phụ lục số 2'!O23</f>
        <v>2875462</v>
      </c>
    </row>
    <row r="18" spans="1:5" ht="20.100000000000001" customHeight="1" x14ac:dyDescent="0.25">
      <c r="A18" s="91" t="s">
        <v>435</v>
      </c>
      <c r="B18" s="92" t="s">
        <v>383</v>
      </c>
      <c r="C18" s="405">
        <f t="shared" si="0"/>
        <v>31000</v>
      </c>
      <c r="D18" s="405">
        <f>'Phụ lục số 2'!N22</f>
        <v>31000</v>
      </c>
      <c r="E18" s="405">
        <f>'Phụ lục số 2'!O22</f>
        <v>0</v>
      </c>
    </row>
    <row r="19" spans="1:5" ht="20.100000000000001" customHeight="1" x14ac:dyDescent="0.25">
      <c r="A19" s="91" t="s">
        <v>436</v>
      </c>
      <c r="B19" s="92" t="s">
        <v>384</v>
      </c>
      <c r="C19" s="405">
        <f t="shared" si="0"/>
        <v>143470</v>
      </c>
      <c r="D19" s="405">
        <f>'Phụ lục số 2'!N20</f>
        <v>62000</v>
      </c>
      <c r="E19" s="405">
        <f>'Phụ lục số 2'!O20</f>
        <v>81470</v>
      </c>
    </row>
    <row r="20" spans="1:5" ht="20.100000000000001" customHeight="1" x14ac:dyDescent="0.25">
      <c r="A20" s="234" t="s">
        <v>437</v>
      </c>
      <c r="B20" s="236" t="s">
        <v>364</v>
      </c>
      <c r="C20" s="405">
        <f t="shared" si="0"/>
        <v>4638160</v>
      </c>
      <c r="D20" s="405">
        <f>D15-D17-D18-D19</f>
        <v>2017000</v>
      </c>
      <c r="E20" s="405">
        <f>E15-E17-E18-E19</f>
        <v>2621160</v>
      </c>
    </row>
    <row r="21" spans="1:5" s="86" customFormat="1" ht="20.100000000000001" customHeight="1" x14ac:dyDescent="0.25">
      <c r="A21" s="89" t="s">
        <v>449</v>
      </c>
      <c r="B21" s="137" t="s">
        <v>228</v>
      </c>
      <c r="C21" s="225">
        <f t="shared" si="0"/>
        <v>2000</v>
      </c>
      <c r="D21" s="225">
        <f>'Phụ lục số 2'!N32</f>
        <v>2000</v>
      </c>
      <c r="E21" s="225">
        <f>'Phụ lục số 2'!O32</f>
        <v>0</v>
      </c>
    </row>
    <row r="22" spans="1:5" s="86" customFormat="1" ht="20.100000000000001" customHeight="1" x14ac:dyDescent="0.25">
      <c r="A22" s="89" t="s">
        <v>450</v>
      </c>
      <c r="B22" s="90" t="s">
        <v>487</v>
      </c>
      <c r="C22" s="225">
        <f t="shared" si="0"/>
        <v>233960</v>
      </c>
      <c r="D22" s="225">
        <f>'Phụ lục số 2'!N33</f>
        <v>121038</v>
      </c>
      <c r="E22" s="225">
        <f>'Phụ lục số 2'!O33</f>
        <v>112922</v>
      </c>
    </row>
    <row r="23" spans="1:5" s="86" customFormat="1" ht="20.100000000000001" customHeight="1" x14ac:dyDescent="0.25">
      <c r="A23" s="89" t="s">
        <v>472</v>
      </c>
      <c r="B23" s="90" t="s">
        <v>526</v>
      </c>
      <c r="C23" s="225">
        <f t="shared" si="0"/>
        <v>606749</v>
      </c>
      <c r="D23" s="225">
        <f>'Phụ lục số 2'!N35</f>
        <v>0</v>
      </c>
      <c r="E23" s="225">
        <f>'Phụ lục số 2'!O35</f>
        <v>606749</v>
      </c>
    </row>
    <row r="24" spans="1:5" s="86" customFormat="1" ht="20.100000000000001" customHeight="1" x14ac:dyDescent="0.25">
      <c r="A24" s="89" t="s">
        <v>473</v>
      </c>
      <c r="B24" s="41" t="s">
        <v>732</v>
      </c>
      <c r="C24" s="225">
        <f t="shared" si="0"/>
        <v>2100</v>
      </c>
      <c r="D24" s="225">
        <f>'Phụ lục số 2'!N36</f>
        <v>2100</v>
      </c>
      <c r="E24" s="225">
        <f>'Phụ lục số 2'!O36</f>
        <v>0</v>
      </c>
    </row>
    <row r="25" spans="1:5" s="86" customFormat="1" ht="20.100000000000001" customHeight="1" x14ac:dyDescent="0.25">
      <c r="A25" s="101" t="s">
        <v>512</v>
      </c>
      <c r="B25" s="102" t="s">
        <v>312</v>
      </c>
      <c r="C25" s="225">
        <f t="shared" si="0"/>
        <v>1370794</v>
      </c>
      <c r="D25" s="225">
        <f>'Phụ lục số 2'!N37</f>
        <v>1370794</v>
      </c>
      <c r="E25" s="225">
        <f>'Phụ lục số 2'!O37</f>
        <v>0</v>
      </c>
    </row>
    <row r="26" spans="1:5" s="86" customFormat="1" ht="20.100000000000001" customHeight="1" x14ac:dyDescent="0.25">
      <c r="A26" s="138" t="s">
        <v>513</v>
      </c>
      <c r="B26" s="649" t="s">
        <v>920</v>
      </c>
      <c r="C26" s="35">
        <f t="shared" si="0"/>
        <v>61200</v>
      </c>
      <c r="D26" s="35">
        <f>'Phụ lục số 2'!N41</f>
        <v>61200</v>
      </c>
      <c r="E26" s="35">
        <f>'Phụ lục số 2'!O41</f>
        <v>0</v>
      </c>
    </row>
    <row r="27" spans="1:5" x14ac:dyDescent="0.25">
      <c r="B27" s="140" t="s">
        <v>452</v>
      </c>
      <c r="C27" s="79"/>
      <c r="D27" s="79"/>
      <c r="E27" s="79"/>
    </row>
    <row r="28" spans="1:5" x14ac:dyDescent="0.25">
      <c r="B28" s="141" t="s">
        <v>1593</v>
      </c>
      <c r="C28" s="79"/>
      <c r="D28" s="142">
        <f>'Phụ lục số 5'!E32</f>
        <v>4537585</v>
      </c>
      <c r="E28" s="78" t="s">
        <v>313</v>
      </c>
    </row>
    <row r="29" spans="1:5" x14ac:dyDescent="0.25">
      <c r="B29" s="141" t="s">
        <v>530</v>
      </c>
      <c r="C29" s="79"/>
      <c r="D29" s="141">
        <f>'Phụ lục số 5'!E33</f>
        <v>3464851</v>
      </c>
      <c r="E29" s="79" t="s">
        <v>313</v>
      </c>
    </row>
    <row r="30" spans="1:5" x14ac:dyDescent="0.25">
      <c r="B30" s="141" t="s">
        <v>604</v>
      </c>
      <c r="C30" s="79"/>
      <c r="D30" s="141">
        <f>'Phụ lục số 5'!E41</f>
        <v>317798</v>
      </c>
      <c r="E30" s="79" t="s">
        <v>313</v>
      </c>
    </row>
    <row r="31" spans="1:5" x14ac:dyDescent="0.25">
      <c r="B31" s="141" t="s">
        <v>1583</v>
      </c>
      <c r="C31" s="79"/>
      <c r="D31" s="141">
        <f>'Phụ lục số 5'!E35</f>
        <v>508829</v>
      </c>
      <c r="E31" s="79" t="s">
        <v>313</v>
      </c>
    </row>
    <row r="32" spans="1:5" x14ac:dyDescent="0.25">
      <c r="B32" s="141" t="s">
        <v>688</v>
      </c>
      <c r="C32" s="79"/>
      <c r="D32" s="141">
        <f>'Phụ lục số 5'!E36</f>
        <v>104088</v>
      </c>
      <c r="E32" s="79" t="s">
        <v>313</v>
      </c>
    </row>
    <row r="33" spans="2:5" x14ac:dyDescent="0.25">
      <c r="B33" s="141" t="s">
        <v>937</v>
      </c>
      <c r="C33" s="79"/>
      <c r="D33" s="141">
        <f>'Phụ lục số 5'!E42</f>
        <v>76750</v>
      </c>
      <c r="E33" s="79" t="s">
        <v>313</v>
      </c>
    </row>
    <row r="34" spans="2:5" x14ac:dyDescent="0.25">
      <c r="B34" s="141" t="s">
        <v>1585</v>
      </c>
      <c r="C34" s="79"/>
      <c r="D34" s="141">
        <f>'Phụ lục số 5'!E44</f>
        <v>43105</v>
      </c>
      <c r="E34" s="79" t="s">
        <v>313</v>
      </c>
    </row>
    <row r="35" spans="2:5" x14ac:dyDescent="0.25">
      <c r="B35" s="141" t="s">
        <v>1224</v>
      </c>
      <c r="C35" s="79"/>
      <c r="D35" s="141">
        <f>'Phụ lục số 5'!E39</f>
        <v>8860</v>
      </c>
      <c r="E35" s="79" t="s">
        <v>313</v>
      </c>
    </row>
    <row r="36" spans="2:5" x14ac:dyDescent="0.25">
      <c r="B36" s="141" t="s">
        <v>1584</v>
      </c>
      <c r="C36" s="79"/>
      <c r="D36" s="141">
        <f>'Phụ lục số 5'!E37</f>
        <v>9704</v>
      </c>
      <c r="E36" s="79" t="s">
        <v>313</v>
      </c>
    </row>
    <row r="37" spans="2:5" x14ac:dyDescent="0.25">
      <c r="B37" s="141" t="s">
        <v>1648</v>
      </c>
      <c r="C37" s="79"/>
      <c r="D37" s="141">
        <f>'Phụ lục số 5'!E38</f>
        <v>3600</v>
      </c>
      <c r="E37" s="79" t="s">
        <v>313</v>
      </c>
    </row>
    <row r="38" spans="2:5" s="220" customFormat="1" hidden="1" x14ac:dyDescent="0.25">
      <c r="B38" s="238" t="s">
        <v>538</v>
      </c>
      <c r="C38" s="239"/>
      <c r="D38" s="238"/>
      <c r="E38" s="239" t="s">
        <v>313</v>
      </c>
    </row>
    <row r="39" spans="2:5" s="220" customFormat="1" x14ac:dyDescent="0.25">
      <c r="B39" s="141" t="s">
        <v>761</v>
      </c>
      <c r="C39" s="239"/>
      <c r="D39" s="238"/>
      <c r="E39" s="239"/>
    </row>
    <row r="40" spans="2:5" ht="15.75" customHeight="1" x14ac:dyDescent="0.25">
      <c r="B40" s="1529" t="s">
        <v>1586</v>
      </c>
      <c r="C40" s="1529"/>
      <c r="D40" s="1529"/>
      <c r="E40" s="1529"/>
    </row>
  </sheetData>
  <customSheetViews>
    <customSheetView guid="{88621519-296E-4458-B04E-813E881018FE}" hiddenRows="1" topLeftCell="A19">
      <selection activeCell="B26" sqref="B2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0">
    <mergeCell ref="B1:D1"/>
    <mergeCell ref="B2:D2"/>
    <mergeCell ref="C3:E3"/>
    <mergeCell ref="A4:E4"/>
    <mergeCell ref="B40:E40"/>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3"/>
  <sheetViews>
    <sheetView topLeftCell="A7" workbookViewId="0">
      <selection activeCell="D51" sqref="D51"/>
    </sheetView>
  </sheetViews>
  <sheetFormatPr defaultRowHeight="15.75" x14ac:dyDescent="0.25"/>
  <cols>
    <col min="1" max="1" width="5.5" style="209" customWidth="1"/>
    <col min="2" max="2" width="41.25" style="209" customWidth="1"/>
    <col min="3" max="9" width="9.125" style="209" customWidth="1"/>
    <col min="10" max="10" width="10.25" style="209" customWidth="1"/>
    <col min="11" max="16384" width="9" style="209"/>
  </cols>
  <sheetData>
    <row r="1" spans="1:99" ht="25.5" customHeight="1" x14ac:dyDescent="0.25">
      <c r="A1" s="1368" t="s">
        <v>1409</v>
      </c>
      <c r="B1" s="1368"/>
      <c r="C1" s="1368"/>
      <c r="D1" s="1368"/>
      <c r="E1" s="1368"/>
      <c r="F1" s="1368"/>
      <c r="G1" s="1368"/>
      <c r="H1" s="1368"/>
      <c r="I1" s="1368"/>
      <c r="J1" s="1368"/>
      <c r="AD1" s="209" t="s">
        <v>1537</v>
      </c>
      <c r="AI1" s="1265"/>
      <c r="AQ1" s="1265"/>
      <c r="AY1" s="1265"/>
      <c r="BG1" s="1265"/>
      <c r="BO1" s="1265"/>
      <c r="BW1" s="1265"/>
      <c r="CE1" s="1265"/>
      <c r="CM1" s="1265"/>
      <c r="CU1" s="1265"/>
    </row>
    <row r="2" spans="1:99" x14ac:dyDescent="0.25">
      <c r="A2" s="458"/>
      <c r="B2" s="458"/>
      <c r="C2" s="458"/>
      <c r="D2" s="1367"/>
      <c r="E2" s="1367"/>
    </row>
    <row r="3" spans="1:99" x14ac:dyDescent="0.25">
      <c r="A3" s="458"/>
      <c r="J3" s="705" t="s">
        <v>516</v>
      </c>
    </row>
    <row r="4" spans="1:99" ht="60.75" customHeight="1" x14ac:dyDescent="0.25">
      <c r="A4" s="459" t="s">
        <v>453</v>
      </c>
      <c r="B4" s="459" t="s">
        <v>1531</v>
      </c>
      <c r="C4" s="459" t="s">
        <v>953</v>
      </c>
      <c r="D4" s="459" t="s">
        <v>1410</v>
      </c>
      <c r="E4" s="459" t="s">
        <v>1411</v>
      </c>
      <c r="F4" s="459" t="s">
        <v>954</v>
      </c>
      <c r="G4" s="459" t="s">
        <v>1028</v>
      </c>
      <c r="H4" s="700" t="s">
        <v>1029</v>
      </c>
      <c r="I4" s="700" t="s">
        <v>1030</v>
      </c>
      <c r="J4" s="706" t="s">
        <v>1060</v>
      </c>
    </row>
    <row r="5" spans="1:99" x14ac:dyDescent="0.25">
      <c r="A5" s="483" t="s">
        <v>407</v>
      </c>
      <c r="B5" s="99" t="s">
        <v>797</v>
      </c>
      <c r="C5" s="710">
        <f t="shared" ref="C5:I5" si="0">SUM(C6:C7)</f>
        <v>8495000</v>
      </c>
      <c r="D5" s="710">
        <f t="shared" si="0"/>
        <v>8050000</v>
      </c>
      <c r="E5" s="710">
        <f t="shared" si="0"/>
        <v>8140900</v>
      </c>
      <c r="F5" s="710">
        <f t="shared" si="0"/>
        <v>8857000</v>
      </c>
      <c r="G5" s="710">
        <f t="shared" si="0"/>
        <v>9551000</v>
      </c>
      <c r="H5" s="710">
        <f t="shared" si="0"/>
        <v>10261000</v>
      </c>
      <c r="I5" s="710">
        <f t="shared" si="0"/>
        <v>11050000</v>
      </c>
      <c r="J5" s="710">
        <f>SUM(E5:I5)</f>
        <v>47859900</v>
      </c>
    </row>
    <row r="6" spans="1:99" s="14" customFormat="1" x14ac:dyDescent="0.25">
      <c r="A6" s="75" t="s">
        <v>409</v>
      </c>
      <c r="B6" s="82" t="s">
        <v>410</v>
      </c>
      <c r="C6" s="711">
        <f>'Phụ lục số 1'!C13</f>
        <v>8425000</v>
      </c>
      <c r="D6" s="711">
        <f>'Phụ lục số 1'!H13</f>
        <v>7964000</v>
      </c>
      <c r="E6" s="711">
        <f>'Phụ lục số 1'!N13</f>
        <v>8035900</v>
      </c>
      <c r="F6" s="711">
        <f>'Phụ lục số 1'!T13</f>
        <v>8740000</v>
      </c>
      <c r="G6" s="711">
        <f>'Phụ lục số 1'!Z13</f>
        <v>9422000</v>
      </c>
      <c r="H6" s="711">
        <f>'Phụ lục số 1'!AF13</f>
        <v>10120000</v>
      </c>
      <c r="I6" s="711">
        <f>'Phụ lục số 1'!AL13</f>
        <v>10897000</v>
      </c>
      <c r="J6" s="711">
        <f>SUM(E6:I6)</f>
        <v>47214900</v>
      </c>
    </row>
    <row r="7" spans="1:99" s="14" customFormat="1" x14ac:dyDescent="0.25">
      <c r="A7" s="75" t="s">
        <v>421</v>
      </c>
      <c r="B7" s="82" t="s">
        <v>798</v>
      </c>
      <c r="C7" s="711">
        <f>'Phụ lục số 1'!C52</f>
        <v>70000</v>
      </c>
      <c r="D7" s="711">
        <f>'Phụ lục số 1'!H52</f>
        <v>86000</v>
      </c>
      <c r="E7" s="711">
        <f>'Phụ lục số 1'!N52</f>
        <v>105000</v>
      </c>
      <c r="F7" s="711">
        <f>'Phụ lục số 1'!T52</f>
        <v>117000</v>
      </c>
      <c r="G7" s="711">
        <f>'Phụ lục số 1'!Z52</f>
        <v>129000</v>
      </c>
      <c r="H7" s="711">
        <f>'Phụ lục số 1'!AF52</f>
        <v>141000</v>
      </c>
      <c r="I7" s="711">
        <f>'Phụ lục số 1'!AL52</f>
        <v>153000</v>
      </c>
      <c r="J7" s="711">
        <f t="shared" ref="J7:J31" si="1">SUM(E7:I7)</f>
        <v>645000</v>
      </c>
    </row>
    <row r="8" spans="1:99" s="154" customFormat="1" x14ac:dyDescent="0.25">
      <c r="A8" s="484" t="s">
        <v>422</v>
      </c>
      <c r="B8" s="485" t="s">
        <v>799</v>
      </c>
      <c r="C8" s="712">
        <f t="shared" ref="C8:I8" si="2">SUM(C9,C15-C16-C17,C19)</f>
        <v>13686690</v>
      </c>
      <c r="D8" s="712">
        <f t="shared" si="2"/>
        <v>13488350</v>
      </c>
      <c r="E8" s="712">
        <f t="shared" si="2"/>
        <v>14124109</v>
      </c>
      <c r="F8" s="712">
        <f t="shared" si="2"/>
        <v>15186660</v>
      </c>
      <c r="G8" s="712">
        <f t="shared" si="2"/>
        <v>16101219</v>
      </c>
      <c r="H8" s="712">
        <f t="shared" si="2"/>
        <v>17045409</v>
      </c>
      <c r="I8" s="712">
        <f t="shared" si="2"/>
        <v>18096969</v>
      </c>
      <c r="J8" s="712">
        <f t="shared" si="1"/>
        <v>80554366</v>
      </c>
      <c r="K8" s="880"/>
    </row>
    <row r="9" spans="1:99" x14ac:dyDescent="0.25">
      <c r="A9" s="75" t="s">
        <v>409</v>
      </c>
      <c r="B9" s="82" t="s">
        <v>800</v>
      </c>
      <c r="C9" s="711">
        <f t="shared" ref="C9:H9" si="3">SUM(C10,C14,C16,C18,C17)</f>
        <v>12181277</v>
      </c>
      <c r="D9" s="711">
        <f t="shared" si="3"/>
        <v>11982937</v>
      </c>
      <c r="E9" s="711">
        <f t="shared" si="3"/>
        <v>12692115</v>
      </c>
      <c r="F9" s="711">
        <f>SUM(F10,F14,F16,F18,F17)</f>
        <v>13491594</v>
      </c>
      <c r="G9" s="711">
        <f t="shared" si="3"/>
        <v>14233249</v>
      </c>
      <c r="H9" s="711">
        <f t="shared" si="3"/>
        <v>14860439</v>
      </c>
      <c r="I9" s="711">
        <f>SUM(I10,I14,I16,I18,I17)</f>
        <v>15536999</v>
      </c>
      <c r="J9" s="711">
        <f t="shared" si="1"/>
        <v>70814396</v>
      </c>
    </row>
    <row r="10" spans="1:99" x14ac:dyDescent="0.25">
      <c r="A10" s="268">
        <v>1</v>
      </c>
      <c r="B10" s="270" t="s">
        <v>304</v>
      </c>
      <c r="C10" s="383">
        <f>'Phụ lục số 1'!E12</f>
        <v>6718700</v>
      </c>
      <c r="D10" s="383">
        <f>'Phụ lục số 1'!K12</f>
        <v>6520360</v>
      </c>
      <c r="E10" s="383">
        <f>'Phụ lục số 1'!Q12</f>
        <v>6480440</v>
      </c>
      <c r="F10" s="383">
        <f>'Phụ lục số 1'!W12</f>
        <v>7051000</v>
      </c>
      <c r="G10" s="383">
        <f>'Phụ lục số 1'!AC12</f>
        <v>7570000</v>
      </c>
      <c r="H10" s="383">
        <f>'Phụ lục số 1'!AI12</f>
        <v>8087000</v>
      </c>
      <c r="I10" s="383">
        <f>'Phụ lục số 1'!AO12</f>
        <v>8665500</v>
      </c>
      <c r="J10" s="383">
        <f t="shared" si="1"/>
        <v>37853940</v>
      </c>
    </row>
    <row r="11" spans="1:99" s="95" customFormat="1" x14ac:dyDescent="0.25">
      <c r="A11" s="190" t="s">
        <v>434</v>
      </c>
      <c r="B11" s="486" t="s">
        <v>221</v>
      </c>
      <c r="C11" s="381">
        <f t="shared" ref="C11:I11" si="4">C10-C12</f>
        <v>3093525</v>
      </c>
      <c r="D11" s="381">
        <f t="shared" si="4"/>
        <v>3385103</v>
      </c>
      <c r="E11" s="381">
        <f t="shared" si="4"/>
        <v>3144040</v>
      </c>
      <c r="F11" s="381">
        <f t="shared" si="4"/>
        <v>3345100</v>
      </c>
      <c r="G11" s="381">
        <f t="shared" si="4"/>
        <v>3466100</v>
      </c>
      <c r="H11" s="381">
        <f t="shared" si="4"/>
        <v>3541100</v>
      </c>
      <c r="I11" s="381">
        <f t="shared" si="4"/>
        <v>3623100</v>
      </c>
      <c r="J11" s="381">
        <f t="shared" si="1"/>
        <v>17119440</v>
      </c>
    </row>
    <row r="12" spans="1:99" s="95" customFormat="1" ht="31.5" x14ac:dyDescent="0.25">
      <c r="A12" s="96" t="s">
        <v>435</v>
      </c>
      <c r="B12" s="97" t="s">
        <v>280</v>
      </c>
      <c r="C12" s="713">
        <f>'Phụ lục số 1'!E16+'Phụ lục số 1'!E17+'Phụ lục số 1'!E18+'Phụ lục số 1'!E22+'Phụ lục số 1'!E23+'Phụ lục số 1'!E24+'Phụ lục số 1'!E28+'Phụ lục số 1'!E29+'Phụ lục số 1'!E33+'Phụ lục số 1'!E34+'Phụ lục số 1'!E35+'Phụ lục số 1'!E41+'Phụ lục số 1'!E42</f>
        <v>3625175</v>
      </c>
      <c r="D12" s="713">
        <f>'Phụ lục số 1'!K16+'Phụ lục số 1'!K17+'Phụ lục số 1'!K18+'Phụ lục số 1'!K22+'Phụ lục số 1'!K23+'Phụ lục số 1'!K24+'Phụ lục số 1'!K28+'Phụ lục số 1'!K29+'Phụ lục số 1'!K33+'Phụ lục số 1'!K34+'Phụ lục số 1'!K35+'Phụ lục số 1'!K41+'Phụ lục số 1'!K42</f>
        <v>3135257</v>
      </c>
      <c r="E12" s="713">
        <f>'Phụ lục số 1'!Q16+'Phụ lục số 1'!Q17+'Phụ lục số 1'!Q18+'Phụ lục số 1'!Q22+'Phụ lục số 1'!Q23+'Phụ lục số 1'!Q28+'Phụ lục số 1'!Q29+'Phụ lục số 1'!Q33+'Phụ lục số 1'!Q34+'Phụ lục số 1'!Q35+'Phụ lục số 1'!Q41+'Phụ lục số 1'!Q42</f>
        <v>3336400</v>
      </c>
      <c r="F12" s="713">
        <f>'Phụ lục số 1'!W16+'Phụ lục số 1'!W17+'Phụ lục số 1'!W18+'Phụ lục số 1'!W22+'Phụ lục số 1'!W23+'Phụ lục số 1'!W28+'Phụ lục số 1'!W29+'Phụ lục số 1'!W33+'Phụ lục số 1'!W34+'Phụ lục số 1'!W35+'Phụ lục số 1'!W41+'Phụ lục số 1'!W42</f>
        <v>3705900</v>
      </c>
      <c r="G12" s="713">
        <f>'Phụ lục số 1'!AC16+'Phụ lục số 1'!AC17+'Phụ lục số 1'!AC18+'Phụ lục số 1'!AC22+'Phụ lục số 1'!AC23+'Phụ lục số 1'!AC28+'Phụ lục số 1'!AC29+'Phụ lục số 1'!AC33+'Phụ lục số 1'!AC34+'Phụ lục số 1'!AC35+'Phụ lục số 1'!AC41+'Phụ lục số 1'!AC42</f>
        <v>4103900</v>
      </c>
      <c r="H12" s="713">
        <f>'Phụ lục số 1'!AI16+'Phụ lục số 1'!AI17+'Phụ lục số 1'!AI18+'Phụ lục số 1'!AI22+'Phụ lục số 1'!AI23+'Phụ lục số 1'!AI24+'Phụ lục số 1'!AI28+'Phụ lục số 1'!AI29+'Phụ lục số 1'!AI33+'Phụ lục số 1'!AI34+'Phụ lục số 1'!AI35+'Phụ lục số 1'!AI41+'Phụ lục số 1'!AI42</f>
        <v>4545900</v>
      </c>
      <c r="I12" s="713">
        <f>'Phụ lục số 1'!AO16+'Phụ lục số 1'!AO17+'Phụ lục số 1'!AO18+'Phụ lục số 1'!AO22+'Phụ lục số 1'!AO23+'Phụ lục số 1'!AO24+'Phụ lục số 1'!AO28+'Phụ lục số 1'!AO29+'Phụ lục số 1'!AO33+'Phụ lục số 1'!AO34+'Phụ lục số 1'!AO35+'Phụ lục số 1'!AO41+'Phụ lục số 1'!AO42</f>
        <v>5042400</v>
      </c>
      <c r="J12" s="713">
        <f t="shared" si="1"/>
        <v>20734500</v>
      </c>
    </row>
    <row r="13" spans="1:99" x14ac:dyDescent="0.25">
      <c r="A13" s="268">
        <v>2</v>
      </c>
      <c r="B13" s="270" t="s">
        <v>223</v>
      </c>
      <c r="C13" s="383">
        <f t="shared" ref="C13:I13" si="5">SUM(C14:C15)</f>
        <v>6518796</v>
      </c>
      <c r="D13" s="383">
        <f t="shared" si="5"/>
        <v>6518796</v>
      </c>
      <c r="E13" s="383">
        <f t="shared" si="5"/>
        <v>6765596</v>
      </c>
      <c r="F13" s="383">
        <f t="shared" si="5"/>
        <v>6791578</v>
      </c>
      <c r="G13" s="383">
        <f t="shared" si="5"/>
        <v>7060578</v>
      </c>
      <c r="H13" s="383">
        <f t="shared" si="5"/>
        <v>7377578</v>
      </c>
      <c r="I13" s="383">
        <f t="shared" si="5"/>
        <v>7752578</v>
      </c>
      <c r="J13" s="383">
        <f t="shared" si="1"/>
        <v>35747908</v>
      </c>
    </row>
    <row r="14" spans="1:99" s="95" customFormat="1" x14ac:dyDescent="0.25">
      <c r="A14" s="190" t="s">
        <v>434</v>
      </c>
      <c r="B14" s="486" t="s">
        <v>801</v>
      </c>
      <c r="C14" s="381">
        <f>'Phụ lục số 1'!C56</f>
        <v>4883126</v>
      </c>
      <c r="D14" s="381">
        <f>'Phụ lục số 1'!H56</f>
        <v>4883126</v>
      </c>
      <c r="E14" s="381">
        <f>'Phụ lục số 1'!N56</f>
        <v>4883126</v>
      </c>
      <c r="F14" s="381">
        <f>'Phụ lục số 1'!T56</f>
        <v>4883126</v>
      </c>
      <c r="G14" s="381">
        <f>'Phụ lục số 1'!Z56</f>
        <v>4883126</v>
      </c>
      <c r="H14" s="381">
        <f>'Phụ lục số 1'!AI56</f>
        <v>4883126</v>
      </c>
      <c r="I14" s="381">
        <f>'Phụ lục số 1'!AO56</f>
        <v>4883126</v>
      </c>
      <c r="J14" s="381">
        <f t="shared" si="1"/>
        <v>24415630</v>
      </c>
    </row>
    <row r="15" spans="1:99" s="95" customFormat="1" x14ac:dyDescent="0.25">
      <c r="A15" s="190" t="s">
        <v>435</v>
      </c>
      <c r="B15" s="486" t="s">
        <v>533</v>
      </c>
      <c r="C15" s="381">
        <f>'Phụ lục số 1'!C57</f>
        <v>1635670</v>
      </c>
      <c r="D15" s="381">
        <f>'Phụ lục số 1'!H57</f>
        <v>1635670</v>
      </c>
      <c r="E15" s="381">
        <f>'Phụ lục số 1'!N57</f>
        <v>1882470</v>
      </c>
      <c r="F15" s="381">
        <f>'Phụ lục số 1'!T57</f>
        <v>1908452</v>
      </c>
      <c r="G15" s="381">
        <f>'Phụ lục số 1'!Z57</f>
        <v>2177452</v>
      </c>
      <c r="H15" s="381">
        <f>'Phụ lục số 1'!AF57</f>
        <v>2494452</v>
      </c>
      <c r="I15" s="381">
        <f>'Phụ lục số 1'!AL57</f>
        <v>2869452</v>
      </c>
      <c r="J15" s="381">
        <f t="shared" si="1"/>
        <v>11332278</v>
      </c>
    </row>
    <row r="16" spans="1:99" s="95" customFormat="1" ht="31.5" x14ac:dyDescent="0.25">
      <c r="A16" s="96" t="s">
        <v>224</v>
      </c>
      <c r="B16" s="97" t="s">
        <v>804</v>
      </c>
      <c r="C16" s="713">
        <f>('Phụ lục số 1'!C60+'Phụ lục số 1'!C61)-'Phụ lục số 2'!C40</f>
        <v>161157</v>
      </c>
      <c r="D16" s="713">
        <f>('Phụ lục số 1'!H60+'Phụ lục số 1'!H61)-'Phụ lục số 2'!F40</f>
        <v>161157</v>
      </c>
      <c r="E16" s="713">
        <f>('Phụ lục số 1'!N60+'Phụ lục số 1'!N61)-'Phụ lục số 2'!K40</f>
        <v>511676</v>
      </c>
      <c r="F16" s="713">
        <f>('Phụ lục số 1'!T60+'Phụ lục số 1'!T61)-'Phụ lục số 2'!P40</f>
        <v>309482</v>
      </c>
      <c r="G16" s="713">
        <f>('Phụ lục số 1'!Z60+'Phụ lục số 1'!Z61)-'Phụ lục số 2'!U40</f>
        <v>309482</v>
      </c>
      <c r="H16" s="713">
        <f>('Phụ lục số 1'!AF60+'Phụ lục số 1'!AF61)-'Phụ lục số 2'!Z40</f>
        <v>309482</v>
      </c>
      <c r="I16" s="713">
        <f>('Phụ lục số 1'!AL60+'Phụ lục số 1'!AL61)-'Phụ lục số 2'!AE40</f>
        <v>309482</v>
      </c>
      <c r="J16" s="713">
        <f t="shared" si="1"/>
        <v>1749604</v>
      </c>
    </row>
    <row r="17" spans="1:10" s="95" customFormat="1" x14ac:dyDescent="0.25">
      <c r="A17" s="96" t="s">
        <v>802</v>
      </c>
      <c r="B17" s="97" t="s">
        <v>776</v>
      </c>
      <c r="C17" s="713"/>
      <c r="D17" s="713"/>
      <c r="E17" s="713"/>
      <c r="F17" s="713"/>
      <c r="G17" s="713"/>
      <c r="H17" s="713"/>
      <c r="I17" s="713"/>
      <c r="J17" s="713">
        <f t="shared" si="1"/>
        <v>0</v>
      </c>
    </row>
    <row r="18" spans="1:10" x14ac:dyDescent="0.25">
      <c r="A18" s="268">
        <v>3</v>
      </c>
      <c r="B18" s="270" t="s">
        <v>515</v>
      </c>
      <c r="C18" s="383">
        <f>'Phụ lục số 1'!C62</f>
        <v>418294</v>
      </c>
      <c r="D18" s="383">
        <f>'Phụ lục số 1'!H62</f>
        <v>418294</v>
      </c>
      <c r="E18" s="383">
        <f>'Phụ lục số 1'!N62</f>
        <v>816873</v>
      </c>
      <c r="F18" s="383">
        <f>'Phụ lục số 1'!T62</f>
        <v>1247986</v>
      </c>
      <c r="G18" s="383">
        <f>'Phụ lục số 1'!Z62</f>
        <v>1470641</v>
      </c>
      <c r="H18" s="383">
        <f>'Phụ lục số 1'!AI62</f>
        <v>1580831</v>
      </c>
      <c r="I18" s="383">
        <f>'Phụ lục số 1'!AO62</f>
        <v>1678891</v>
      </c>
      <c r="J18" s="383">
        <f t="shared" si="1"/>
        <v>6795222</v>
      </c>
    </row>
    <row r="19" spans="1:10" x14ac:dyDescent="0.25">
      <c r="A19" s="75" t="s">
        <v>421</v>
      </c>
      <c r="B19" s="41" t="s">
        <v>919</v>
      </c>
      <c r="C19" s="711">
        <f>'Phụ lục số 1'!C63</f>
        <v>30900</v>
      </c>
      <c r="D19" s="711">
        <f>'Phụ lục số 1'!K63</f>
        <v>30900</v>
      </c>
      <c r="E19" s="711">
        <f>'Phụ lục số 1'!Q63</f>
        <v>61200</v>
      </c>
      <c r="F19" s="711">
        <f>'Phụ lục số 1'!W63</f>
        <v>96096</v>
      </c>
      <c r="G19" s="711">
        <f>'Phụ lục số 1'!AC63</f>
        <v>0</v>
      </c>
      <c r="H19" s="711">
        <f>'Phụ lục số 1'!AI63</f>
        <v>0</v>
      </c>
      <c r="I19" s="711">
        <f>'Phụ lục số 1'!AO63</f>
        <v>0</v>
      </c>
      <c r="J19" s="711">
        <f t="shared" si="1"/>
        <v>157296</v>
      </c>
    </row>
    <row r="20" spans="1:10" s="154" customFormat="1" x14ac:dyDescent="0.25">
      <c r="A20" s="484" t="s">
        <v>426</v>
      </c>
      <c r="B20" s="485" t="s">
        <v>1566</v>
      </c>
      <c r="C20" s="712">
        <f t="shared" ref="C20:I20" si="6">SUM(C21,C30:C30,C31)</f>
        <v>13686690</v>
      </c>
      <c r="D20" s="712">
        <f t="shared" si="6"/>
        <v>13488350</v>
      </c>
      <c r="E20" s="712">
        <f t="shared" si="6"/>
        <v>14124109</v>
      </c>
      <c r="F20" s="712">
        <f t="shared" si="6"/>
        <v>15186660</v>
      </c>
      <c r="G20" s="712">
        <f t="shared" si="6"/>
        <v>16101219</v>
      </c>
      <c r="H20" s="712">
        <f t="shared" si="6"/>
        <v>17045409</v>
      </c>
      <c r="I20" s="712">
        <f t="shared" si="6"/>
        <v>18096969</v>
      </c>
      <c r="J20" s="712">
        <f t="shared" si="1"/>
        <v>80554366</v>
      </c>
    </row>
    <row r="21" spans="1:10" x14ac:dyDescent="0.25">
      <c r="A21" s="75" t="s">
        <v>409</v>
      </c>
      <c r="B21" s="82" t="s">
        <v>506</v>
      </c>
      <c r="C21" s="711">
        <f t="shared" ref="C21:I21" si="7">SUM(C22:C29)</f>
        <v>12181277</v>
      </c>
      <c r="D21" s="711">
        <f t="shared" si="7"/>
        <v>11982937</v>
      </c>
      <c r="E21" s="711">
        <f t="shared" si="7"/>
        <v>12692115</v>
      </c>
      <c r="F21" s="711">
        <f t="shared" si="7"/>
        <v>13491594</v>
      </c>
      <c r="G21" s="711">
        <f t="shared" si="7"/>
        <v>14233249</v>
      </c>
      <c r="H21" s="711">
        <f t="shared" si="7"/>
        <v>14860439</v>
      </c>
      <c r="I21" s="711">
        <f t="shared" si="7"/>
        <v>15536999</v>
      </c>
      <c r="J21" s="711">
        <f t="shared" si="1"/>
        <v>70814396</v>
      </c>
    </row>
    <row r="22" spans="1:10" x14ac:dyDescent="0.25">
      <c r="A22" s="268">
        <v>1</v>
      </c>
      <c r="B22" s="270" t="s">
        <v>227</v>
      </c>
      <c r="C22" s="383">
        <f>'Phụ lục số 2'!C13</f>
        <v>3191485</v>
      </c>
      <c r="D22" s="383">
        <f>'Phụ lục số 2'!F13</f>
        <v>3182962</v>
      </c>
      <c r="E22" s="383">
        <f>'Phụ lục số 2'!K13</f>
        <v>3381485</v>
      </c>
      <c r="F22" s="383">
        <f>'Phụ lục số 2'!P13</f>
        <v>3545000</v>
      </c>
      <c r="G22" s="383">
        <f>'Phụ lục số 2'!U13</f>
        <v>3656000</v>
      </c>
      <c r="H22" s="383">
        <f>'Phụ lục số 2'!Z13</f>
        <v>3719190</v>
      </c>
      <c r="I22" s="383">
        <f>'Phụ lục số 2'!AE13</f>
        <v>3787000</v>
      </c>
      <c r="J22" s="383">
        <f t="shared" si="1"/>
        <v>18088675</v>
      </c>
    </row>
    <row r="23" spans="1:10" x14ac:dyDescent="0.25">
      <c r="A23" s="268">
        <v>2</v>
      </c>
      <c r="B23" s="270" t="s">
        <v>460</v>
      </c>
      <c r="C23" s="383">
        <f>'Phụ lục số 2'!C18</f>
        <v>8373843</v>
      </c>
      <c r="D23" s="383">
        <f>'Phụ lục số 2'!F18</f>
        <v>8607804</v>
      </c>
      <c r="E23" s="383">
        <f>'Phụ lục số 2'!K18</f>
        <v>8465821</v>
      </c>
      <c r="F23" s="383">
        <f>'Phụ lục số 2'!P18</f>
        <v>8975000</v>
      </c>
      <c r="G23" s="383">
        <f>'Phụ lục số 2'!U18</f>
        <v>9473000</v>
      </c>
      <c r="H23" s="383">
        <f>'Phụ lục số 2'!Z18</f>
        <v>10000000</v>
      </c>
      <c r="I23" s="383">
        <f>'Phụ lục số 2'!AE18</f>
        <v>10563000</v>
      </c>
      <c r="J23" s="383">
        <f t="shared" si="1"/>
        <v>47476821</v>
      </c>
    </row>
    <row r="24" spans="1:10" x14ac:dyDescent="0.25">
      <c r="A24" s="268">
        <v>3</v>
      </c>
      <c r="B24" s="270" t="s">
        <v>228</v>
      </c>
      <c r="C24" s="383">
        <f>'Phụ lục số 2'!C32</f>
        <v>2000</v>
      </c>
      <c r="D24" s="383">
        <f>'Phụ lục số 2'!F32</f>
        <v>2000</v>
      </c>
      <c r="E24" s="383">
        <f>'Phụ lục số 2'!K32</f>
        <v>2000</v>
      </c>
      <c r="F24" s="383">
        <f>'Phụ lục số 2'!P32</f>
        <v>2000</v>
      </c>
      <c r="G24" s="383">
        <f>'Phụ lục số 2'!U32</f>
        <v>2000</v>
      </c>
      <c r="H24" s="383">
        <f>'Phụ lục số 2'!Z32</f>
        <v>2000</v>
      </c>
      <c r="I24" s="383">
        <f>'Phụ lục số 2'!AE32</f>
        <v>2000</v>
      </c>
      <c r="J24" s="383">
        <f t="shared" si="1"/>
        <v>10000</v>
      </c>
    </row>
    <row r="25" spans="1:10" x14ac:dyDescent="0.25">
      <c r="A25" s="268">
        <v>4</v>
      </c>
      <c r="B25" s="270" t="s">
        <v>487</v>
      </c>
      <c r="C25" s="383">
        <f>'Phụ lục số 2'!C33</f>
        <v>233960</v>
      </c>
      <c r="D25" s="383">
        <f>'Phụ lục số 2'!F33</f>
        <v>0</v>
      </c>
      <c r="E25" s="383">
        <f>'Phụ lục số 2'!K33</f>
        <v>233960</v>
      </c>
      <c r="F25" s="383">
        <f>'Phụ lục số 2'!P33</f>
        <v>247000</v>
      </c>
      <c r="G25" s="383">
        <f>'Phụ lục số 2'!U33</f>
        <v>260000</v>
      </c>
      <c r="H25" s="383">
        <f>'Phụ lục số 2'!Z33</f>
        <v>273000</v>
      </c>
      <c r="I25" s="383">
        <f>'Phụ lục số 2'!AE33</f>
        <v>288000</v>
      </c>
      <c r="J25" s="383">
        <f t="shared" si="1"/>
        <v>1301960</v>
      </c>
    </row>
    <row r="26" spans="1:10" x14ac:dyDescent="0.25">
      <c r="A26" s="268">
        <v>5</v>
      </c>
      <c r="B26" s="271" t="s">
        <v>620</v>
      </c>
      <c r="C26" s="383">
        <f>'Phụ lục số 2'!C34</f>
        <v>0</v>
      </c>
      <c r="D26" s="383">
        <f>'Phụ lục số 2'!F34</f>
        <v>0</v>
      </c>
      <c r="E26" s="383">
        <f>'Phụ lục số 2'!K34</f>
        <v>0</v>
      </c>
      <c r="F26" s="383">
        <f>'Phụ lục số 2'!P34</f>
        <v>0</v>
      </c>
      <c r="G26" s="383">
        <f>'Phụ lục số 2'!U34</f>
        <v>0</v>
      </c>
      <c r="H26" s="383">
        <f>'Phụ lục số 2'!Z34</f>
        <v>0</v>
      </c>
      <c r="I26" s="383">
        <f>'Phụ lục số 2'!AE34</f>
        <v>0</v>
      </c>
      <c r="J26" s="383">
        <f t="shared" si="1"/>
        <v>0</v>
      </c>
    </row>
    <row r="27" spans="1:10" x14ac:dyDescent="0.25">
      <c r="A27" s="268">
        <v>6</v>
      </c>
      <c r="B27" s="270" t="s">
        <v>526</v>
      </c>
      <c r="C27" s="383">
        <f>'Phụ lục số 2'!C35</f>
        <v>378989</v>
      </c>
      <c r="D27" s="383">
        <f>'Phụ lục số 2'!F35</f>
        <v>189171</v>
      </c>
      <c r="E27" s="383">
        <f>'Phụ lục số 2'!K35</f>
        <v>606749</v>
      </c>
      <c r="F27" s="383">
        <f>'Phụ lục số 2'!P35</f>
        <v>721594</v>
      </c>
      <c r="G27" s="383">
        <f>'Phụ lục số 2'!U35</f>
        <v>841249</v>
      </c>
      <c r="H27" s="383">
        <f>'Phụ lục số 2'!Z35</f>
        <v>865249</v>
      </c>
      <c r="I27" s="383">
        <f>'Phụ lục số 2'!AE35</f>
        <v>895999</v>
      </c>
      <c r="J27" s="383">
        <f t="shared" si="1"/>
        <v>3930840</v>
      </c>
    </row>
    <row r="28" spans="1:10" hidden="1" x14ac:dyDescent="0.25">
      <c r="A28" s="268">
        <v>7</v>
      </c>
      <c r="B28" s="270" t="s">
        <v>803</v>
      </c>
      <c r="C28" s="383"/>
      <c r="D28" s="383"/>
      <c r="E28" s="383"/>
      <c r="F28" s="383"/>
      <c r="G28" s="383"/>
      <c r="H28" s="383"/>
      <c r="I28" s="383"/>
      <c r="J28" s="383">
        <f t="shared" si="1"/>
        <v>0</v>
      </c>
    </row>
    <row r="29" spans="1:10" x14ac:dyDescent="0.25">
      <c r="A29" s="268">
        <v>8</v>
      </c>
      <c r="B29" s="270" t="s">
        <v>805</v>
      </c>
      <c r="C29" s="383">
        <f>'Phụ lục số 2'!C36</f>
        <v>1000</v>
      </c>
      <c r="D29" s="383">
        <f>'Phụ lục số 2'!F36</f>
        <v>1000</v>
      </c>
      <c r="E29" s="383">
        <f>'Phụ lục số 2'!K36</f>
        <v>2100</v>
      </c>
      <c r="F29" s="383">
        <f>'Phụ lục số 2'!P36</f>
        <v>1000</v>
      </c>
      <c r="G29" s="383">
        <f>'Phụ lục số 2'!U36</f>
        <v>1000</v>
      </c>
      <c r="H29" s="383">
        <f>'Phụ lục số 2'!Z36</f>
        <v>1000</v>
      </c>
      <c r="I29" s="383">
        <f>'Phụ lục số 2'!AE36</f>
        <v>1000</v>
      </c>
      <c r="J29" s="383">
        <f t="shared" si="1"/>
        <v>6100</v>
      </c>
    </row>
    <row r="30" spans="1:10" x14ac:dyDescent="0.25">
      <c r="A30" s="75" t="s">
        <v>421</v>
      </c>
      <c r="B30" s="76" t="s">
        <v>229</v>
      </c>
      <c r="C30" s="711">
        <f>'Phụ lục số 2'!C37</f>
        <v>1474513</v>
      </c>
      <c r="D30" s="711">
        <f>'Phụ lục số 2'!F37</f>
        <v>1474513</v>
      </c>
      <c r="E30" s="711">
        <f>'Phụ lục số 2'!K37</f>
        <v>1370794</v>
      </c>
      <c r="F30" s="711">
        <f>'Phụ lục số 2'!P37</f>
        <v>1598970</v>
      </c>
      <c r="G30" s="711">
        <f>'Phụ lục số 2'!U37</f>
        <v>1867970</v>
      </c>
      <c r="H30" s="711">
        <f>'Phụ lục số 2'!Z37</f>
        <v>2184970</v>
      </c>
      <c r="I30" s="711">
        <f>'Phụ lục số 2'!AE37</f>
        <v>2559970</v>
      </c>
      <c r="J30" s="711">
        <f t="shared" si="1"/>
        <v>9582674</v>
      </c>
    </row>
    <row r="31" spans="1:10" ht="31.5" x14ac:dyDescent="0.25">
      <c r="A31" s="487" t="s">
        <v>449</v>
      </c>
      <c r="B31" s="649" t="s">
        <v>920</v>
      </c>
      <c r="C31" s="714">
        <f>'Phụ lục số 2'!C41</f>
        <v>30900</v>
      </c>
      <c r="D31" s="714">
        <f>'Phụ lục số 2'!F41</f>
        <v>30900</v>
      </c>
      <c r="E31" s="714">
        <f>'Phụ lục số 2'!K41</f>
        <v>61200</v>
      </c>
      <c r="F31" s="714">
        <f>'Phụ lục số 2'!P41</f>
        <v>96096</v>
      </c>
      <c r="G31" s="714">
        <f>'Phụ lục số 2'!U41</f>
        <v>0</v>
      </c>
      <c r="H31" s="714">
        <f>'Phụ lục số 2'!Z41</f>
        <v>0</v>
      </c>
      <c r="I31" s="714">
        <f>'Phụ lục số 2'!AE41</f>
        <v>0</v>
      </c>
      <c r="J31" s="714">
        <f t="shared" si="1"/>
        <v>157296</v>
      </c>
    </row>
    <row r="32" spans="1:10" s="220" customFormat="1" hidden="1" x14ac:dyDescent="0.25">
      <c r="A32" s="749" t="s">
        <v>464</v>
      </c>
      <c r="B32" s="750" t="s">
        <v>1151</v>
      </c>
      <c r="C32" s="751"/>
      <c r="D32" s="751"/>
      <c r="E32" s="751"/>
      <c r="F32" s="751"/>
      <c r="G32" s="751"/>
      <c r="H32" s="751"/>
      <c r="I32" s="751"/>
      <c r="J32" s="751"/>
    </row>
    <row r="33" spans="1:10" s="220" customFormat="1" hidden="1" x14ac:dyDescent="0.25">
      <c r="A33" s="749" t="s">
        <v>740</v>
      </c>
      <c r="B33" s="750" t="s">
        <v>1149</v>
      </c>
      <c r="C33" s="751"/>
      <c r="D33" s="751"/>
      <c r="E33" s="751"/>
      <c r="F33" s="751"/>
      <c r="G33" s="751"/>
      <c r="H33" s="751"/>
      <c r="I33" s="751"/>
      <c r="J33" s="751"/>
    </row>
    <row r="34" spans="1:10" s="220" customFormat="1" hidden="1" x14ac:dyDescent="0.25">
      <c r="A34" s="749" t="s">
        <v>409</v>
      </c>
      <c r="B34" s="750" t="s">
        <v>1083</v>
      </c>
      <c r="C34" s="751"/>
      <c r="D34" s="751"/>
      <c r="E34" s="751"/>
      <c r="F34" s="751"/>
      <c r="G34" s="751"/>
      <c r="H34" s="751"/>
      <c r="I34" s="751"/>
      <c r="J34" s="751"/>
    </row>
    <row r="35" spans="1:10" s="220" customFormat="1" hidden="1" x14ac:dyDescent="0.25">
      <c r="A35" s="749" t="s">
        <v>421</v>
      </c>
      <c r="B35" s="750" t="s">
        <v>1084</v>
      </c>
      <c r="C35" s="751"/>
      <c r="D35" s="751"/>
      <c r="E35" s="751"/>
      <c r="F35" s="751"/>
      <c r="G35" s="751"/>
      <c r="H35" s="751"/>
      <c r="I35" s="751"/>
      <c r="J35" s="751"/>
    </row>
    <row r="36" spans="1:10" s="220" customFormat="1" hidden="1" x14ac:dyDescent="0.25">
      <c r="A36" s="749" t="s">
        <v>449</v>
      </c>
      <c r="B36" s="750" t="s">
        <v>1152</v>
      </c>
      <c r="C36" s="751"/>
      <c r="D36" s="751"/>
      <c r="E36" s="751"/>
      <c r="F36" s="751"/>
      <c r="G36" s="751"/>
      <c r="H36" s="751"/>
      <c r="I36" s="751"/>
      <c r="J36" s="751"/>
    </row>
    <row r="37" spans="1:10" s="220" customFormat="1" hidden="1" x14ac:dyDescent="0.25">
      <c r="A37" s="752">
        <v>1</v>
      </c>
      <c r="B37" s="754" t="s">
        <v>1088</v>
      </c>
      <c r="C37" s="753"/>
      <c r="D37" s="753"/>
      <c r="E37" s="753"/>
      <c r="F37" s="753"/>
      <c r="G37" s="753"/>
      <c r="H37" s="753"/>
      <c r="I37" s="753"/>
      <c r="J37" s="753"/>
    </row>
    <row r="38" spans="1:10" s="220" customFormat="1" ht="31.5" hidden="1" x14ac:dyDescent="0.25">
      <c r="A38" s="752">
        <v>2</v>
      </c>
      <c r="B38" s="754" t="s">
        <v>1153</v>
      </c>
      <c r="C38" s="753"/>
      <c r="D38" s="753"/>
      <c r="E38" s="753"/>
      <c r="F38" s="753"/>
      <c r="G38" s="753"/>
      <c r="H38" s="753"/>
      <c r="I38" s="753"/>
      <c r="J38" s="753"/>
    </row>
    <row r="39" spans="1:10" s="220" customFormat="1" hidden="1" x14ac:dyDescent="0.25">
      <c r="A39" s="749" t="s">
        <v>450</v>
      </c>
      <c r="B39" s="750" t="s">
        <v>1154</v>
      </c>
      <c r="C39" s="751"/>
      <c r="D39" s="751"/>
      <c r="E39" s="751"/>
      <c r="F39" s="751"/>
      <c r="G39" s="751"/>
      <c r="H39" s="751"/>
      <c r="I39" s="751"/>
      <c r="J39" s="751"/>
    </row>
    <row r="40" spans="1:10" s="220" customFormat="1" hidden="1" x14ac:dyDescent="0.25">
      <c r="A40" s="752">
        <v>1</v>
      </c>
      <c r="B40" s="754" t="s">
        <v>1091</v>
      </c>
      <c r="C40" s="753"/>
      <c r="D40" s="753"/>
      <c r="E40" s="753"/>
      <c r="F40" s="753"/>
      <c r="G40" s="753"/>
      <c r="H40" s="753"/>
      <c r="I40" s="753"/>
      <c r="J40" s="753"/>
    </row>
    <row r="41" spans="1:10" s="220" customFormat="1" hidden="1" x14ac:dyDescent="0.25">
      <c r="A41" s="752">
        <v>2</v>
      </c>
      <c r="B41" s="754" t="s">
        <v>1092</v>
      </c>
      <c r="C41" s="753"/>
      <c r="D41" s="753"/>
      <c r="E41" s="753"/>
      <c r="F41" s="753"/>
      <c r="G41" s="753"/>
      <c r="H41" s="753"/>
      <c r="I41" s="753"/>
      <c r="J41" s="753"/>
    </row>
    <row r="42" spans="1:10" s="220" customFormat="1" hidden="1" x14ac:dyDescent="0.25">
      <c r="A42" s="749" t="s">
        <v>472</v>
      </c>
      <c r="B42" s="750" t="s">
        <v>1093</v>
      </c>
      <c r="C42" s="751"/>
      <c r="D42" s="751"/>
      <c r="E42" s="751"/>
      <c r="F42" s="751"/>
      <c r="G42" s="751"/>
      <c r="H42" s="751"/>
      <c r="I42" s="751"/>
      <c r="J42" s="751"/>
    </row>
    <row r="43" spans="1:10" hidden="1" x14ac:dyDescent="0.25"/>
  </sheetData>
  <customSheetViews>
    <customSheetView guid="{88621519-296E-4458-B04E-813E881018FE}" state="hidden">
      <selection activeCell="B9" sqref="B9"/>
      <pageMargins left="0.7" right="0.7" top="0.75" bottom="0.75" header="0.3" footer="0.3"/>
      <pageSetup orientation="portrait" r:id="rId1"/>
    </customSheetView>
  </customSheetViews>
  <mergeCells count="2">
    <mergeCell ref="D2:E2"/>
    <mergeCell ref="A1:J1"/>
  </mergeCells>
  <printOptions horizontalCentered="1"/>
  <pageMargins left="0" right="0" top="0" bottom="0" header="0" footer="0"/>
  <pageSetup paperSize="9"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O51"/>
  <sheetViews>
    <sheetView workbookViewId="0">
      <pane xSplit="5" ySplit="7" topLeftCell="F8" activePane="bottomRight" state="frozen"/>
      <selection activeCell="A4" sqref="A4:C4"/>
      <selection pane="topRight" activeCell="A4" sqref="A4:C4"/>
      <selection pane="bottomLeft" activeCell="A4" sqref="A4:C4"/>
      <selection pane="bottomRight" activeCell="A3" sqref="A3:E4"/>
    </sheetView>
  </sheetViews>
  <sheetFormatPr defaultColWidth="10.625" defaultRowHeight="15.75" x14ac:dyDescent="0.25"/>
  <cols>
    <col min="1" max="1" width="3.375" style="53" bestFit="1" customWidth="1"/>
    <col min="2" max="2" width="51"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41" x14ac:dyDescent="0.25">
      <c r="B1" s="54"/>
      <c r="C1" s="1331"/>
      <c r="D1" s="1331"/>
      <c r="E1" s="54" t="s">
        <v>1537</v>
      </c>
      <c r="F1" s="1331"/>
      <c r="G1" s="1331"/>
      <c r="H1" s="1331"/>
      <c r="I1" s="1331"/>
      <c r="J1" s="1331"/>
      <c r="K1" s="1331"/>
      <c r="L1" s="1331"/>
      <c r="M1" s="1331"/>
      <c r="N1" s="1331"/>
      <c r="O1" s="1331"/>
      <c r="P1" s="1331"/>
      <c r="Q1" s="1331"/>
      <c r="R1" s="1331"/>
      <c r="S1" s="1331"/>
      <c r="T1" s="1331"/>
      <c r="U1" s="1332"/>
      <c r="V1" s="1332"/>
      <c r="W1" s="1332"/>
      <c r="X1" s="1331"/>
      <c r="Y1" s="1331"/>
      <c r="AA1" s="55"/>
      <c r="AB1" s="55"/>
      <c r="AC1" s="55"/>
      <c r="AD1" s="54" t="s">
        <v>1537</v>
      </c>
      <c r="AE1" s="55"/>
      <c r="AF1" s="55"/>
      <c r="AG1" s="55"/>
      <c r="AH1" s="55"/>
      <c r="AI1" s="1331"/>
      <c r="AJ1" s="55"/>
      <c r="AK1" s="55"/>
      <c r="AL1" s="55"/>
      <c r="AM1" s="1332"/>
      <c r="AN1" s="1332"/>
      <c r="AO1" s="1332"/>
    </row>
    <row r="2" spans="1:41" x14ac:dyDescent="0.25">
      <c r="D2" s="39"/>
      <c r="E2" s="39"/>
      <c r="F2" s="56"/>
      <c r="T2" s="16"/>
      <c r="U2" s="1477" t="s">
        <v>547</v>
      </c>
      <c r="V2" s="1477"/>
      <c r="W2" s="1477"/>
      <c r="AL2" s="16"/>
      <c r="AM2" s="1478" t="s">
        <v>547</v>
      </c>
      <c r="AN2" s="1478"/>
      <c r="AO2" s="1478"/>
    </row>
    <row r="3" spans="1:41" s="10" customFormat="1" ht="24.75" customHeight="1" x14ac:dyDescent="0.25">
      <c r="A3" s="1476" t="s">
        <v>519</v>
      </c>
      <c r="B3" s="1476" t="s">
        <v>548</v>
      </c>
      <c r="C3" s="1475" t="s">
        <v>549</v>
      </c>
      <c r="D3" s="1475"/>
      <c r="E3" s="1475"/>
      <c r="F3" s="1475" t="s">
        <v>550</v>
      </c>
      <c r="G3" s="1475"/>
      <c r="H3" s="1475"/>
      <c r="I3" s="1475" t="s">
        <v>1523</v>
      </c>
      <c r="J3" s="1475"/>
      <c r="K3" s="1475"/>
      <c r="L3" s="1475" t="s">
        <v>551</v>
      </c>
      <c r="M3" s="1475"/>
      <c r="N3" s="1475"/>
      <c r="O3" s="1475" t="s">
        <v>552</v>
      </c>
      <c r="P3" s="1475"/>
      <c r="Q3" s="1475"/>
      <c r="R3" s="1475" t="s">
        <v>553</v>
      </c>
      <c r="S3" s="1475"/>
      <c r="T3" s="1475"/>
      <c r="U3" s="1475" t="s">
        <v>554</v>
      </c>
      <c r="V3" s="1475"/>
      <c r="W3" s="1475"/>
      <c r="X3" s="1475" t="s">
        <v>555</v>
      </c>
      <c r="Y3" s="1475"/>
      <c r="Z3" s="1475"/>
      <c r="AA3" s="1475" t="s">
        <v>556</v>
      </c>
      <c r="AB3" s="1475"/>
      <c r="AC3" s="1475"/>
      <c r="AD3" s="1475" t="s">
        <v>557</v>
      </c>
      <c r="AE3" s="1475"/>
      <c r="AF3" s="1475"/>
      <c r="AG3" s="1475" t="s">
        <v>558</v>
      </c>
      <c r="AH3" s="1475"/>
      <c r="AI3" s="1475"/>
      <c r="AJ3" s="1475" t="s">
        <v>146</v>
      </c>
      <c r="AK3" s="1475"/>
      <c r="AL3" s="1475"/>
      <c r="AM3" s="1475" t="s">
        <v>559</v>
      </c>
      <c r="AN3" s="1475"/>
      <c r="AO3" s="1475"/>
    </row>
    <row r="4" spans="1:41" s="32" customFormat="1" ht="27.75" customHeight="1" x14ac:dyDescent="0.25">
      <c r="A4" s="1476"/>
      <c r="B4" s="1476"/>
      <c r="C4" s="1335" t="s">
        <v>560</v>
      </c>
      <c r="D4" s="1335" t="s">
        <v>561</v>
      </c>
      <c r="E4" s="1335" t="s">
        <v>562</v>
      </c>
      <c r="F4" s="1335" t="s">
        <v>560</v>
      </c>
      <c r="G4" s="1335" t="s">
        <v>561</v>
      </c>
      <c r="H4" s="1335" t="s">
        <v>562</v>
      </c>
      <c r="I4" s="1335" t="s">
        <v>560</v>
      </c>
      <c r="J4" s="1335" t="s">
        <v>561</v>
      </c>
      <c r="K4" s="1335" t="s">
        <v>562</v>
      </c>
      <c r="L4" s="1335" t="s">
        <v>560</v>
      </c>
      <c r="M4" s="1335" t="s">
        <v>561</v>
      </c>
      <c r="N4" s="1335" t="s">
        <v>562</v>
      </c>
      <c r="O4" s="1335" t="s">
        <v>560</v>
      </c>
      <c r="P4" s="1335" t="s">
        <v>561</v>
      </c>
      <c r="Q4" s="1335" t="s">
        <v>562</v>
      </c>
      <c r="R4" s="1335" t="s">
        <v>560</v>
      </c>
      <c r="S4" s="1335" t="s">
        <v>561</v>
      </c>
      <c r="T4" s="1335" t="s">
        <v>562</v>
      </c>
      <c r="U4" s="1335" t="s">
        <v>560</v>
      </c>
      <c r="V4" s="1335" t="s">
        <v>561</v>
      </c>
      <c r="W4" s="1335" t="s">
        <v>562</v>
      </c>
      <c r="X4" s="1335" t="s">
        <v>560</v>
      </c>
      <c r="Y4" s="1335" t="s">
        <v>561</v>
      </c>
      <c r="Z4" s="1335" t="s">
        <v>562</v>
      </c>
      <c r="AA4" s="1335" t="s">
        <v>560</v>
      </c>
      <c r="AB4" s="1335" t="s">
        <v>561</v>
      </c>
      <c r="AC4" s="1335" t="s">
        <v>562</v>
      </c>
      <c r="AD4" s="1335" t="s">
        <v>560</v>
      </c>
      <c r="AE4" s="1335" t="s">
        <v>561</v>
      </c>
      <c r="AF4" s="1335" t="s">
        <v>562</v>
      </c>
      <c r="AG4" s="1335" t="s">
        <v>560</v>
      </c>
      <c r="AH4" s="1335" t="s">
        <v>561</v>
      </c>
      <c r="AI4" s="1335" t="s">
        <v>562</v>
      </c>
      <c r="AJ4" s="1335" t="s">
        <v>560</v>
      </c>
      <c r="AK4" s="1335" t="s">
        <v>561</v>
      </c>
      <c r="AL4" s="1335" t="s">
        <v>562</v>
      </c>
      <c r="AM4" s="1335" t="s">
        <v>560</v>
      </c>
      <c r="AN4" s="1335" t="s">
        <v>561</v>
      </c>
      <c r="AO4" s="1335" t="s">
        <v>562</v>
      </c>
    </row>
    <row r="5" spans="1:41" s="37" customForma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41" s="1195" customForma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41" s="59" customForma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4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4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4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4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4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41" s="61" customForma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41" s="59" customForma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41" s="59" customForma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41" s="59" customForma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x14ac:dyDescent="0.25">
      <c r="A28" s="291" t="s">
        <v>564</v>
      </c>
      <c r="B28" s="218" t="s">
        <v>640</v>
      </c>
      <c r="C28" s="579">
        <f t="shared" ref="C28:C41" si="17">SUM(F28,L28,O28,R28,U28,X28,AA28,AD28,AG28,AJ28,AM28,I28)</f>
        <v>70000</v>
      </c>
      <c r="D28" s="579" t="str">
        <f t="shared" si="16"/>
        <v/>
      </c>
      <c r="E28" s="579">
        <f t="shared" ref="E28:E44"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x14ac:dyDescent="0.25">
      <c r="A32" s="51" t="s">
        <v>421</v>
      </c>
      <c r="B32" s="49" t="s">
        <v>572</v>
      </c>
      <c r="C32" s="577">
        <f t="shared" si="17"/>
        <v>4537585</v>
      </c>
      <c r="D32" s="578"/>
      <c r="E32" s="577">
        <f t="shared" si="18"/>
        <v>4537585</v>
      </c>
      <c r="F32" s="577">
        <f>F33+F34</f>
        <v>439163</v>
      </c>
      <c r="G32" s="577"/>
      <c r="H32" s="577">
        <f t="shared" ref="H32:H49" si="19">F32</f>
        <v>439163</v>
      </c>
      <c r="I32" s="577">
        <f>I33+I34</f>
        <v>270958</v>
      </c>
      <c r="J32" s="577"/>
      <c r="K32" s="577">
        <f t="shared" ref="K32:K44" si="20">I32</f>
        <v>270958</v>
      </c>
      <c r="L32" s="577">
        <f>L33+L34</f>
        <v>383766</v>
      </c>
      <c r="M32" s="577"/>
      <c r="N32" s="577">
        <f t="shared" ref="N32:N44" si="21">L32</f>
        <v>383766</v>
      </c>
      <c r="O32" s="577">
        <f>O33+O34</f>
        <v>375201</v>
      </c>
      <c r="P32" s="577"/>
      <c r="Q32" s="577">
        <f t="shared" ref="Q32:Q44" si="22">O32</f>
        <v>375201</v>
      </c>
      <c r="R32" s="577">
        <f>R33+R34</f>
        <v>424532</v>
      </c>
      <c r="S32" s="577"/>
      <c r="T32" s="577">
        <f t="shared" ref="T32:T44" si="23">R32</f>
        <v>424532</v>
      </c>
      <c r="U32" s="577">
        <f>U33+U34</f>
        <v>158747</v>
      </c>
      <c r="V32" s="577"/>
      <c r="W32" s="577">
        <f t="shared" ref="W32:W44" si="24">U32</f>
        <v>158747</v>
      </c>
      <c r="X32" s="577">
        <f>X33+X34</f>
        <v>556199</v>
      </c>
      <c r="Y32" s="577"/>
      <c r="Z32" s="577">
        <f t="shared" ref="Z32:Z44" si="25">X32</f>
        <v>556199</v>
      </c>
      <c r="AA32" s="577">
        <f>AA33+AA34</f>
        <v>495897</v>
      </c>
      <c r="AB32" s="577"/>
      <c r="AC32" s="577">
        <f t="shared" ref="AC32:AC44" si="26">AA32</f>
        <v>495897</v>
      </c>
      <c r="AD32" s="577">
        <f>AD33+AD34</f>
        <v>438983</v>
      </c>
      <c r="AE32" s="577"/>
      <c r="AF32" s="577">
        <f t="shared" ref="AF32:AF44" si="27">AD32</f>
        <v>438983</v>
      </c>
      <c r="AG32" s="577">
        <f>AG33+AG34</f>
        <v>419526</v>
      </c>
      <c r="AH32" s="577"/>
      <c r="AI32" s="577">
        <f t="shared" ref="AI32:AI44" si="28">AG32</f>
        <v>419526</v>
      </c>
      <c r="AJ32" s="577">
        <f>AJ33+AJ34</f>
        <v>198029</v>
      </c>
      <c r="AK32" s="577"/>
      <c r="AL32" s="577">
        <f t="shared" ref="AL32:AL44" si="29">AJ32</f>
        <v>198029</v>
      </c>
      <c r="AM32" s="577">
        <f>AM33+AM34</f>
        <v>376584</v>
      </c>
      <c r="AN32" s="577"/>
      <c r="AO32" s="577">
        <f t="shared" ref="AO32:AO44" si="30">AM32</f>
        <v>376584</v>
      </c>
    </row>
    <row r="33" spans="1:41" s="61" customForma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x14ac:dyDescent="0.25">
      <c r="A34" s="51">
        <v>2</v>
      </c>
      <c r="B34" s="49" t="s">
        <v>574</v>
      </c>
      <c r="C34" s="577">
        <f t="shared" si="17"/>
        <v>1072734</v>
      </c>
      <c r="D34" s="577"/>
      <c r="E34" s="577">
        <f t="shared" si="18"/>
        <v>1072734</v>
      </c>
      <c r="F34" s="577">
        <f>SUM(F35:G48)</f>
        <v>94282</v>
      </c>
      <c r="G34" s="577"/>
      <c r="H34" s="577">
        <f t="shared" si="19"/>
        <v>94282</v>
      </c>
      <c r="I34" s="577">
        <f>SUM(I35:J48)</f>
        <v>79543</v>
      </c>
      <c r="J34" s="577"/>
      <c r="K34" s="577">
        <f t="shared" si="20"/>
        <v>79543</v>
      </c>
      <c r="L34" s="577">
        <f>SUM(L35:M48)</f>
        <v>78247</v>
      </c>
      <c r="M34" s="577"/>
      <c r="N34" s="577">
        <f t="shared" si="21"/>
        <v>78247</v>
      </c>
      <c r="O34" s="577">
        <f>SUM(O35:P48)</f>
        <v>114714</v>
      </c>
      <c r="P34" s="577"/>
      <c r="Q34" s="577">
        <f t="shared" si="22"/>
        <v>114714</v>
      </c>
      <c r="R34" s="577">
        <f>SUM(R35:S48)</f>
        <v>89629</v>
      </c>
      <c r="S34" s="577"/>
      <c r="T34" s="577">
        <f t="shared" si="23"/>
        <v>89629</v>
      </c>
      <c r="U34" s="577">
        <f>SUM(U35:V48)</f>
        <v>42550</v>
      </c>
      <c r="V34" s="577"/>
      <c r="W34" s="577">
        <f t="shared" si="24"/>
        <v>42550</v>
      </c>
      <c r="X34" s="577">
        <f>SUM(X35:Y48)</f>
        <v>130477</v>
      </c>
      <c r="Y34" s="577"/>
      <c r="Z34" s="577">
        <f t="shared" si="25"/>
        <v>130477</v>
      </c>
      <c r="AA34" s="577">
        <f>SUM(AA35:AB48)</f>
        <v>132128</v>
      </c>
      <c r="AB34" s="577"/>
      <c r="AC34" s="577">
        <f t="shared" si="26"/>
        <v>132128</v>
      </c>
      <c r="AD34" s="577">
        <f>SUM(AD35:AE48)</f>
        <v>95444</v>
      </c>
      <c r="AE34" s="577"/>
      <c r="AF34" s="577">
        <f t="shared" si="27"/>
        <v>95444</v>
      </c>
      <c r="AG34" s="577">
        <f>SUM(AG35:AH48)</f>
        <v>95667</v>
      </c>
      <c r="AH34" s="577"/>
      <c r="AI34" s="577">
        <f t="shared" si="28"/>
        <v>95667</v>
      </c>
      <c r="AJ34" s="577">
        <f>SUM(AJ35:AK48)</f>
        <v>38930</v>
      </c>
      <c r="AK34" s="577"/>
      <c r="AL34" s="577">
        <f t="shared" si="29"/>
        <v>38930</v>
      </c>
      <c r="AM34" s="577">
        <f>SUM(AM35:AN48)</f>
        <v>81123</v>
      </c>
      <c r="AN34" s="577"/>
      <c r="AO34" s="577">
        <f t="shared" si="30"/>
        <v>81123</v>
      </c>
    </row>
    <row r="35" spans="1:41" s="61" customFormat="1" x14ac:dyDescent="0.25">
      <c r="A35" s="60" t="s">
        <v>564</v>
      </c>
      <c r="B35" s="788" t="s">
        <v>1479</v>
      </c>
      <c r="C35" s="578">
        <f t="shared" si="17"/>
        <v>508829</v>
      </c>
      <c r="D35" s="578"/>
      <c r="E35" s="578">
        <f t="shared" si="18"/>
        <v>508829</v>
      </c>
      <c r="F35" s="578">
        <f>'Chi NSH'!P11</f>
        <v>59799</v>
      </c>
      <c r="G35" s="578"/>
      <c r="H35" s="578">
        <f t="shared" si="19"/>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x14ac:dyDescent="0.25">
      <c r="A36" s="250" t="s">
        <v>564</v>
      </c>
      <c r="B36" s="339" t="s">
        <v>686</v>
      </c>
      <c r="C36" s="578">
        <f t="shared" si="17"/>
        <v>104088</v>
      </c>
      <c r="D36" s="578"/>
      <c r="E36" s="578">
        <f t="shared" si="18"/>
        <v>104088</v>
      </c>
      <c r="F36" s="578">
        <f>'Chi NSH'!P16</f>
        <v>10406</v>
      </c>
      <c r="G36" s="578"/>
      <c r="H36" s="578">
        <f t="shared" si="19"/>
        <v>10406</v>
      </c>
      <c r="I36" s="578">
        <f>'Chi NSH'!X16</f>
        <v>5191</v>
      </c>
      <c r="J36" s="578"/>
      <c r="K36" s="578">
        <f t="shared" si="20"/>
        <v>5191</v>
      </c>
      <c r="L36" s="578">
        <f>'Chi NSH'!AF16</f>
        <v>0</v>
      </c>
      <c r="M36" s="578"/>
      <c r="N36" s="578">
        <f t="shared" si="21"/>
        <v>0</v>
      </c>
      <c r="O36" s="578">
        <f>'Chi NSH'!AN16</f>
        <v>2619</v>
      </c>
      <c r="P36" s="578"/>
      <c r="Q36" s="578">
        <f t="shared" si="22"/>
        <v>2619</v>
      </c>
      <c r="R36" s="578">
        <f>'Chi NSH'!AV16</f>
        <v>13595</v>
      </c>
      <c r="S36" s="578"/>
      <c r="T36" s="578">
        <f t="shared" si="23"/>
        <v>13595</v>
      </c>
      <c r="U36" s="578">
        <f>'Chi NSH'!BD16</f>
        <v>0</v>
      </c>
      <c r="V36" s="578"/>
      <c r="W36" s="578">
        <f t="shared" si="24"/>
        <v>0</v>
      </c>
      <c r="X36" s="578">
        <f>'Chi NSH'!BL16</f>
        <v>18949</v>
      </c>
      <c r="Y36" s="578"/>
      <c r="Z36" s="578">
        <f t="shared" si="25"/>
        <v>18949</v>
      </c>
      <c r="AA36" s="578">
        <f>'Chi NSH'!BT16</f>
        <v>9881</v>
      </c>
      <c r="AB36" s="578"/>
      <c r="AC36" s="578">
        <f t="shared" si="26"/>
        <v>9881</v>
      </c>
      <c r="AD36" s="578">
        <f>'Chi NSH'!CB16</f>
        <v>16598</v>
      </c>
      <c r="AE36" s="578"/>
      <c r="AF36" s="578">
        <f t="shared" si="27"/>
        <v>16598</v>
      </c>
      <c r="AG36" s="578">
        <f>'Chi NSH'!CJ16</f>
        <v>13311</v>
      </c>
      <c r="AH36" s="578"/>
      <c r="AI36" s="578">
        <f t="shared" si="28"/>
        <v>13311</v>
      </c>
      <c r="AJ36" s="578">
        <f>'Chi NSH'!CR16</f>
        <v>0</v>
      </c>
      <c r="AK36" s="578"/>
      <c r="AL36" s="578">
        <f t="shared" si="29"/>
        <v>0</v>
      </c>
      <c r="AM36" s="578">
        <f>'Chi NSH'!CZ16</f>
        <v>13538</v>
      </c>
      <c r="AN36" s="578"/>
      <c r="AO36" s="578">
        <f t="shared" si="30"/>
        <v>13538</v>
      </c>
    </row>
    <row r="37" spans="1:41" s="61" customFormat="1" x14ac:dyDescent="0.25">
      <c r="A37" s="250" t="s">
        <v>564</v>
      </c>
      <c r="B37" s="339" t="s">
        <v>1214</v>
      </c>
      <c r="C37" s="578">
        <f t="shared" si="17"/>
        <v>9704</v>
      </c>
      <c r="D37" s="578"/>
      <c r="E37" s="578">
        <f t="shared" si="18"/>
        <v>9704</v>
      </c>
      <c r="F37" s="578">
        <f>'Chi NSH'!P17</f>
        <v>1012</v>
      </c>
      <c r="G37" s="578"/>
      <c r="H37" s="578">
        <f t="shared" si="19"/>
        <v>1012</v>
      </c>
      <c r="I37" s="578">
        <f>'Chi NSH'!X17</f>
        <v>628</v>
      </c>
      <c r="J37" s="578"/>
      <c r="K37" s="578">
        <f t="shared" si="20"/>
        <v>628</v>
      </c>
      <c r="L37" s="578">
        <f>'Chi NSH'!AF17</f>
        <v>806</v>
      </c>
      <c r="M37" s="578"/>
      <c r="N37" s="578">
        <f t="shared" si="21"/>
        <v>806</v>
      </c>
      <c r="O37" s="578">
        <f>'Chi NSH'!AN17</f>
        <v>1096</v>
      </c>
      <c r="P37" s="578"/>
      <c r="Q37" s="578">
        <f t="shared" si="22"/>
        <v>1096</v>
      </c>
      <c r="R37" s="578">
        <f>'Chi NSH'!AV17</f>
        <v>1174</v>
      </c>
      <c r="S37" s="578"/>
      <c r="T37" s="578">
        <f t="shared" si="23"/>
        <v>1174</v>
      </c>
      <c r="U37" s="578">
        <f>'Chi NSH'!BD17</f>
        <v>0</v>
      </c>
      <c r="V37" s="578"/>
      <c r="W37" s="578">
        <f t="shared" si="24"/>
        <v>0</v>
      </c>
      <c r="X37" s="578">
        <f>'Chi NSH'!BL17</f>
        <v>1644</v>
      </c>
      <c r="Y37" s="578"/>
      <c r="Z37" s="578">
        <f t="shared" si="25"/>
        <v>1644</v>
      </c>
      <c r="AA37" s="578">
        <f>'Chi NSH'!BT17</f>
        <v>1160</v>
      </c>
      <c r="AB37" s="578"/>
      <c r="AC37" s="578">
        <f t="shared" si="26"/>
        <v>1160</v>
      </c>
      <c r="AD37" s="578">
        <f>'Chi NSH'!CB17</f>
        <v>0</v>
      </c>
      <c r="AE37" s="578"/>
      <c r="AF37" s="578">
        <f t="shared" si="27"/>
        <v>0</v>
      </c>
      <c r="AG37" s="578">
        <f>'Chi NSH'!CJ17</f>
        <v>1088</v>
      </c>
      <c r="AH37" s="578"/>
      <c r="AI37" s="578">
        <f t="shared" si="28"/>
        <v>1088</v>
      </c>
      <c r="AJ37" s="578">
        <f>'Chi NSH'!CR17</f>
        <v>0</v>
      </c>
      <c r="AK37" s="578"/>
      <c r="AL37" s="578">
        <f t="shared" si="29"/>
        <v>0</v>
      </c>
      <c r="AM37" s="578">
        <f>'Chi NSH'!CZ17</f>
        <v>1096</v>
      </c>
      <c r="AN37" s="578"/>
      <c r="AO37" s="578">
        <f t="shared" si="30"/>
        <v>1096</v>
      </c>
    </row>
    <row r="38" spans="1:41" s="61" customFormat="1" x14ac:dyDescent="0.25">
      <c r="A38" s="250" t="s">
        <v>564</v>
      </c>
      <c r="B38" s="339" t="s">
        <v>1649</v>
      </c>
      <c r="C38" s="578">
        <f t="shared" si="17"/>
        <v>3600</v>
      </c>
      <c r="D38" s="578"/>
      <c r="E38" s="578">
        <f t="shared" si="18"/>
        <v>3600</v>
      </c>
      <c r="F38" s="578">
        <f>'Chi NSH'!P18</f>
        <v>400</v>
      </c>
      <c r="G38" s="578"/>
      <c r="H38" s="578">
        <f t="shared" si="19"/>
        <v>400</v>
      </c>
      <c r="I38" s="578">
        <f>'Chi NSH'!X18</f>
        <v>400</v>
      </c>
      <c r="J38" s="578"/>
      <c r="K38" s="578">
        <f t="shared" si="20"/>
        <v>400</v>
      </c>
      <c r="L38" s="578">
        <f>'Chi NSH'!AF18</f>
        <v>400</v>
      </c>
      <c r="M38" s="578"/>
      <c r="N38" s="578">
        <f t="shared" si="21"/>
        <v>400</v>
      </c>
      <c r="O38" s="578">
        <f>'Chi NSH'!AN18</f>
        <v>400</v>
      </c>
      <c r="P38" s="578"/>
      <c r="Q38" s="578">
        <f t="shared" si="22"/>
        <v>400</v>
      </c>
      <c r="R38" s="578">
        <f>'Chi NSH'!AV18</f>
        <v>400</v>
      </c>
      <c r="S38" s="578"/>
      <c r="T38" s="578">
        <f t="shared" si="23"/>
        <v>400</v>
      </c>
      <c r="U38" s="578">
        <f>'Chi NSH'!BD18</f>
        <v>0</v>
      </c>
      <c r="V38" s="578"/>
      <c r="W38" s="578">
        <f t="shared" si="24"/>
        <v>0</v>
      </c>
      <c r="X38" s="578">
        <f>'Chi NSH'!BL18</f>
        <v>0</v>
      </c>
      <c r="Y38" s="578"/>
      <c r="Z38" s="578">
        <f t="shared" si="25"/>
        <v>0</v>
      </c>
      <c r="AA38" s="578">
        <f>'Chi NSH'!BT18</f>
        <v>400</v>
      </c>
      <c r="AB38" s="578"/>
      <c r="AC38" s="578">
        <f t="shared" si="26"/>
        <v>400</v>
      </c>
      <c r="AD38" s="578">
        <f>'Chi NSH'!CB18</f>
        <v>400</v>
      </c>
      <c r="AE38" s="578"/>
      <c r="AF38" s="578">
        <f t="shared" si="27"/>
        <v>400</v>
      </c>
      <c r="AG38" s="578">
        <f>'Chi NSH'!CJ18</f>
        <v>400</v>
      </c>
      <c r="AH38" s="578"/>
      <c r="AI38" s="578">
        <f t="shared" si="28"/>
        <v>400</v>
      </c>
      <c r="AJ38" s="578">
        <f>'Chi NSH'!CR18</f>
        <v>0</v>
      </c>
      <c r="AK38" s="578"/>
      <c r="AL38" s="578">
        <f t="shared" si="29"/>
        <v>0</v>
      </c>
      <c r="AM38" s="578">
        <f>'Chi NSH'!CZ18</f>
        <v>400</v>
      </c>
      <c r="AN38" s="578"/>
      <c r="AO38" s="578">
        <f t="shared" si="30"/>
        <v>400</v>
      </c>
    </row>
    <row r="39" spans="1:41" s="61" customFormat="1" x14ac:dyDescent="0.25">
      <c r="A39" s="250" t="s">
        <v>564</v>
      </c>
      <c r="B39" s="339" t="s">
        <v>1220</v>
      </c>
      <c r="C39" s="578">
        <f t="shared" si="17"/>
        <v>8860</v>
      </c>
      <c r="D39" s="578"/>
      <c r="E39" s="578">
        <f t="shared" si="18"/>
        <v>8860</v>
      </c>
      <c r="F39" s="578">
        <f>'Chi NSH'!P19</f>
        <v>700</v>
      </c>
      <c r="G39" s="578"/>
      <c r="H39" s="578">
        <f t="shared" si="19"/>
        <v>700</v>
      </c>
      <c r="I39" s="578">
        <f>'Chi NSH'!X19</f>
        <v>640</v>
      </c>
      <c r="J39" s="578"/>
      <c r="K39" s="578">
        <f t="shared" si="20"/>
        <v>640</v>
      </c>
      <c r="L39" s="578">
        <f>'Chi NSH'!AF19</f>
        <v>680</v>
      </c>
      <c r="M39" s="578"/>
      <c r="N39" s="578">
        <f t="shared" si="21"/>
        <v>680</v>
      </c>
      <c r="O39" s="578">
        <f>'Chi NSH'!AN19</f>
        <v>740</v>
      </c>
      <c r="P39" s="578"/>
      <c r="Q39" s="578">
        <f t="shared" si="22"/>
        <v>740</v>
      </c>
      <c r="R39" s="578">
        <f>'Chi NSH'!AV19</f>
        <v>760</v>
      </c>
      <c r="S39" s="578"/>
      <c r="T39" s="578">
        <f t="shared" si="23"/>
        <v>760</v>
      </c>
      <c r="U39" s="578">
        <f>'Chi NSH'!BD19</f>
        <v>800</v>
      </c>
      <c r="V39" s="578"/>
      <c r="W39" s="578">
        <f t="shared" si="24"/>
        <v>800</v>
      </c>
      <c r="X39" s="578">
        <f>'Chi NSH'!BL19</f>
        <v>860</v>
      </c>
      <c r="Y39" s="578"/>
      <c r="Z39" s="578">
        <f t="shared" si="25"/>
        <v>860</v>
      </c>
      <c r="AA39" s="578">
        <f>'Chi NSH'!BT19</f>
        <v>760</v>
      </c>
      <c r="AB39" s="578"/>
      <c r="AC39" s="578">
        <f t="shared" si="26"/>
        <v>760</v>
      </c>
      <c r="AD39" s="578">
        <f>'Chi NSH'!CB19</f>
        <v>760</v>
      </c>
      <c r="AE39" s="578"/>
      <c r="AF39" s="578">
        <f t="shared" si="27"/>
        <v>760</v>
      </c>
      <c r="AG39" s="578">
        <f>'Chi NSH'!CJ19</f>
        <v>740</v>
      </c>
      <c r="AH39" s="578"/>
      <c r="AI39" s="578">
        <f t="shared" si="28"/>
        <v>740</v>
      </c>
      <c r="AJ39" s="578">
        <f>'Chi NSH'!CR19</f>
        <v>680</v>
      </c>
      <c r="AK39" s="578"/>
      <c r="AL39" s="578">
        <f t="shared" si="29"/>
        <v>680</v>
      </c>
      <c r="AM39" s="578">
        <f>'Chi NSH'!CZ19</f>
        <v>740</v>
      </c>
      <c r="AN39" s="578"/>
      <c r="AO39" s="578">
        <f t="shared" si="30"/>
        <v>740</v>
      </c>
    </row>
    <row r="40" spans="1:41" s="61" customFormat="1" hidden="1" x14ac:dyDescent="0.25">
      <c r="A40" s="250"/>
      <c r="B40" s="339"/>
      <c r="C40" s="578">
        <f t="shared" si="17"/>
        <v>0</v>
      </c>
      <c r="D40" s="578"/>
      <c r="E40" s="578">
        <f t="shared" si="18"/>
        <v>0</v>
      </c>
      <c r="F40" s="578">
        <f>'Chi NSH'!P20</f>
        <v>0</v>
      </c>
      <c r="G40" s="578"/>
      <c r="H40" s="578">
        <f t="shared" si="19"/>
        <v>0</v>
      </c>
      <c r="I40" s="578">
        <f>'Chi NSH'!X20</f>
        <v>0</v>
      </c>
      <c r="J40" s="578"/>
      <c r="K40" s="578">
        <f t="shared" si="20"/>
        <v>0</v>
      </c>
      <c r="L40" s="578">
        <f>'Chi NSH'!AF20</f>
        <v>0</v>
      </c>
      <c r="M40" s="578"/>
      <c r="N40" s="578">
        <f t="shared" si="21"/>
        <v>0</v>
      </c>
      <c r="O40" s="578">
        <f>'Chi NSH'!AN20</f>
        <v>0</v>
      </c>
      <c r="P40" s="578"/>
      <c r="Q40" s="578">
        <f t="shared" si="22"/>
        <v>0</v>
      </c>
      <c r="R40" s="578">
        <f>'Chi NSH'!AV20</f>
        <v>0</v>
      </c>
      <c r="S40" s="578"/>
      <c r="T40" s="578">
        <f t="shared" si="23"/>
        <v>0</v>
      </c>
      <c r="U40" s="578">
        <f>'Chi NSH'!BD20</f>
        <v>0</v>
      </c>
      <c r="V40" s="578"/>
      <c r="W40" s="578">
        <f t="shared" si="24"/>
        <v>0</v>
      </c>
      <c r="X40" s="578">
        <f>'Chi NSH'!BL20</f>
        <v>0</v>
      </c>
      <c r="Y40" s="578"/>
      <c r="Z40" s="578">
        <f t="shared" si="25"/>
        <v>0</v>
      </c>
      <c r="AA40" s="578">
        <f>'Chi NSH'!BT20</f>
        <v>0</v>
      </c>
      <c r="AB40" s="578"/>
      <c r="AC40" s="578">
        <f t="shared" si="26"/>
        <v>0</v>
      </c>
      <c r="AD40" s="578">
        <f>'Chi NSH'!CB20</f>
        <v>0</v>
      </c>
      <c r="AE40" s="578"/>
      <c r="AF40" s="578">
        <f t="shared" si="27"/>
        <v>0</v>
      </c>
      <c r="AG40" s="578">
        <f>'Chi NSH'!CJ20</f>
        <v>0</v>
      </c>
      <c r="AH40" s="578"/>
      <c r="AI40" s="578">
        <f t="shared" si="28"/>
        <v>0</v>
      </c>
      <c r="AJ40" s="578">
        <f>'Chi NSH'!CR20</f>
        <v>0</v>
      </c>
      <c r="AK40" s="578"/>
      <c r="AL40" s="578">
        <f t="shared" si="29"/>
        <v>0</v>
      </c>
      <c r="AM40" s="578">
        <f>'Chi NSH'!CZ20</f>
        <v>0</v>
      </c>
      <c r="AN40" s="578"/>
      <c r="AO40" s="578">
        <f t="shared" si="30"/>
        <v>0</v>
      </c>
    </row>
    <row r="41" spans="1:41" x14ac:dyDescent="0.25">
      <c r="A41" s="60" t="s">
        <v>564</v>
      </c>
      <c r="B41" s="1196" t="s">
        <v>605</v>
      </c>
      <c r="C41" s="578">
        <f t="shared" si="17"/>
        <v>317798</v>
      </c>
      <c r="D41" s="578"/>
      <c r="E41" s="578">
        <f t="shared" si="18"/>
        <v>317798</v>
      </c>
      <c r="F41" s="578">
        <f>'Chi NSH'!P21</f>
        <v>18800</v>
      </c>
      <c r="G41" s="578"/>
      <c r="H41" s="578">
        <f t="shared" si="19"/>
        <v>18800</v>
      </c>
      <c r="I41" s="578">
        <f>'Chi NSH'!X21</f>
        <v>13300</v>
      </c>
      <c r="J41" s="578"/>
      <c r="K41" s="578">
        <f t="shared" si="20"/>
        <v>13300</v>
      </c>
      <c r="L41" s="578">
        <f>'Chi NSH'!AF21</f>
        <v>34100</v>
      </c>
      <c r="M41" s="578"/>
      <c r="N41" s="578">
        <f t="shared" si="21"/>
        <v>34100</v>
      </c>
      <c r="O41" s="578">
        <f>'Chi NSH'!AN21</f>
        <v>45900</v>
      </c>
      <c r="P41" s="578"/>
      <c r="Q41" s="578">
        <f t="shared" si="22"/>
        <v>45900</v>
      </c>
      <c r="R41" s="578">
        <f>'Chi NSH'!AV21</f>
        <v>32298</v>
      </c>
      <c r="S41" s="578"/>
      <c r="T41" s="578">
        <f t="shared" si="23"/>
        <v>32298</v>
      </c>
      <c r="U41" s="578">
        <f>'Chi NSH'!BD21</f>
        <v>8000</v>
      </c>
      <c r="V41" s="578"/>
      <c r="W41" s="578">
        <f t="shared" si="24"/>
        <v>8000</v>
      </c>
      <c r="X41" s="578">
        <f>'Chi NSH'!BL21</f>
        <v>47400</v>
      </c>
      <c r="Y41" s="578"/>
      <c r="Z41" s="578">
        <f t="shared" si="25"/>
        <v>47400</v>
      </c>
      <c r="AA41" s="578">
        <f>'Chi NSH'!BT21</f>
        <v>61600</v>
      </c>
      <c r="AB41" s="578"/>
      <c r="AC41" s="578">
        <f t="shared" si="26"/>
        <v>61600</v>
      </c>
      <c r="AD41" s="578">
        <f>'Chi NSH'!CB21</f>
        <v>15900</v>
      </c>
      <c r="AE41" s="578"/>
      <c r="AF41" s="578">
        <f t="shared" si="27"/>
        <v>15900</v>
      </c>
      <c r="AG41" s="578">
        <f>'Chi NSH'!CJ21</f>
        <v>18300</v>
      </c>
      <c r="AH41" s="578"/>
      <c r="AI41" s="578">
        <f t="shared" si="28"/>
        <v>18300</v>
      </c>
      <c r="AJ41" s="578">
        <f>'Chi NSH'!CR21</f>
        <v>4500</v>
      </c>
      <c r="AK41" s="578"/>
      <c r="AL41" s="578">
        <f t="shared" si="29"/>
        <v>4500</v>
      </c>
      <c r="AM41" s="578">
        <f>'Chi NSH'!CZ21</f>
        <v>17700</v>
      </c>
      <c r="AN41" s="578"/>
      <c r="AO41" s="578">
        <f t="shared" si="30"/>
        <v>17700</v>
      </c>
    </row>
    <row r="42" spans="1:41" x14ac:dyDescent="0.25">
      <c r="A42" s="250" t="s">
        <v>564</v>
      </c>
      <c r="B42" s="1196" t="s">
        <v>933</v>
      </c>
      <c r="C42" s="578">
        <f>SUM(F42,L42,O42,R42,U42,X42,AA42,AD42,AG42,AJ42,AM42,I42)</f>
        <v>76750</v>
      </c>
      <c r="D42" s="578"/>
      <c r="E42" s="578">
        <f t="shared" si="18"/>
        <v>76750</v>
      </c>
      <c r="F42" s="578">
        <f>'Chi NSH'!P22</f>
        <v>0</v>
      </c>
      <c r="G42" s="578"/>
      <c r="H42" s="578">
        <f t="shared" si="19"/>
        <v>0</v>
      </c>
      <c r="I42" s="578">
        <f>'Chi NSH'!X22</f>
        <v>4250</v>
      </c>
      <c r="J42" s="578"/>
      <c r="K42" s="578">
        <f t="shared" si="20"/>
        <v>4250</v>
      </c>
      <c r="L42" s="578">
        <f>'Chi NSH'!AF22</f>
        <v>0</v>
      </c>
      <c r="M42" s="578"/>
      <c r="N42" s="578">
        <f t="shared" si="21"/>
        <v>0</v>
      </c>
      <c r="O42" s="578">
        <f>'Chi NSH'!AN22</f>
        <v>0</v>
      </c>
      <c r="P42" s="578"/>
      <c r="Q42" s="578">
        <f t="shared" si="22"/>
        <v>0</v>
      </c>
      <c r="R42" s="578">
        <f>'Chi NSH'!AV22</f>
        <v>0</v>
      </c>
      <c r="S42" s="578"/>
      <c r="T42" s="578">
        <f t="shared" si="23"/>
        <v>0</v>
      </c>
      <c r="U42" s="578">
        <f>'Chi NSH'!BD22</f>
        <v>33750</v>
      </c>
      <c r="V42" s="578"/>
      <c r="W42" s="578">
        <f t="shared" si="24"/>
        <v>33750</v>
      </c>
      <c r="X42" s="578">
        <f>'Chi NSH'!BL22</f>
        <v>0</v>
      </c>
      <c r="Y42" s="578"/>
      <c r="Z42" s="578">
        <f t="shared" si="25"/>
        <v>0</v>
      </c>
      <c r="AA42" s="578">
        <f>'Chi NSH'!BT22</f>
        <v>0</v>
      </c>
      <c r="AB42" s="578"/>
      <c r="AC42" s="578">
        <f t="shared" si="26"/>
        <v>0</v>
      </c>
      <c r="AD42" s="578">
        <f>'Chi NSH'!CB22</f>
        <v>0</v>
      </c>
      <c r="AE42" s="578"/>
      <c r="AF42" s="578">
        <f t="shared" si="27"/>
        <v>0</v>
      </c>
      <c r="AG42" s="578">
        <f>'Chi NSH'!CJ22</f>
        <v>5000</v>
      </c>
      <c r="AH42" s="578"/>
      <c r="AI42" s="578">
        <f t="shared" si="28"/>
        <v>5000</v>
      </c>
      <c r="AJ42" s="578">
        <f>'Chi NSH'!CR22</f>
        <v>33750</v>
      </c>
      <c r="AK42" s="578"/>
      <c r="AL42" s="578">
        <f t="shared" si="29"/>
        <v>33750</v>
      </c>
      <c r="AM42" s="578">
        <f>'Chi NSH'!CZ22</f>
        <v>0</v>
      </c>
      <c r="AN42" s="578"/>
      <c r="AO42" s="578">
        <f t="shared" si="30"/>
        <v>0</v>
      </c>
    </row>
    <row r="43" spans="1:41" x14ac:dyDescent="0.25">
      <c r="A43" s="250" t="s">
        <v>564</v>
      </c>
      <c r="B43" s="339" t="s">
        <v>1205</v>
      </c>
      <c r="C43" s="578">
        <f>SUM(F43,L43,O43,R43,U43,X43,AA43,AD43,AG43,AJ43,AM43,I43)</f>
        <v>0</v>
      </c>
      <c r="D43" s="578"/>
      <c r="E43" s="578">
        <f t="shared" si="18"/>
        <v>0</v>
      </c>
      <c r="F43" s="578">
        <f>'Chi NSH'!P23</f>
        <v>0</v>
      </c>
      <c r="G43" s="578"/>
      <c r="H43" s="578">
        <f t="shared" si="19"/>
        <v>0</v>
      </c>
      <c r="I43" s="578">
        <f>'Chi NSH'!X23</f>
        <v>0</v>
      </c>
      <c r="J43" s="578"/>
      <c r="K43" s="578">
        <f t="shared" si="20"/>
        <v>0</v>
      </c>
      <c r="L43" s="578">
        <f>'Chi NSH'!AF23</f>
        <v>0</v>
      </c>
      <c r="M43" s="578"/>
      <c r="N43" s="578">
        <f t="shared" si="21"/>
        <v>0</v>
      </c>
      <c r="O43" s="578">
        <f>'Chi NSH'!AN23</f>
        <v>0</v>
      </c>
      <c r="P43" s="578"/>
      <c r="Q43" s="578">
        <f t="shared" si="22"/>
        <v>0</v>
      </c>
      <c r="R43" s="578">
        <f>'Chi NSH'!AV23</f>
        <v>0</v>
      </c>
      <c r="S43" s="578"/>
      <c r="T43" s="578">
        <f t="shared" si="23"/>
        <v>0</v>
      </c>
      <c r="U43" s="578">
        <f>'Chi NSH'!BD23</f>
        <v>0</v>
      </c>
      <c r="V43" s="578"/>
      <c r="W43" s="578">
        <f t="shared" si="24"/>
        <v>0</v>
      </c>
      <c r="X43" s="578">
        <f>'Chi NSH'!BL23</f>
        <v>0</v>
      </c>
      <c r="Y43" s="578"/>
      <c r="Z43" s="578">
        <f t="shared" si="25"/>
        <v>0</v>
      </c>
      <c r="AA43" s="578">
        <f>'Chi NSH'!BT23</f>
        <v>0</v>
      </c>
      <c r="AB43" s="578"/>
      <c r="AC43" s="578">
        <f t="shared" si="26"/>
        <v>0</v>
      </c>
      <c r="AD43" s="578">
        <f>'Chi NSH'!CB23</f>
        <v>0</v>
      </c>
      <c r="AE43" s="578"/>
      <c r="AF43" s="578">
        <f t="shared" si="27"/>
        <v>0</v>
      </c>
      <c r="AG43" s="578">
        <f>'Chi NSH'!CJ23</f>
        <v>0</v>
      </c>
      <c r="AH43" s="578"/>
      <c r="AI43" s="578">
        <f t="shared" si="28"/>
        <v>0</v>
      </c>
      <c r="AJ43" s="578">
        <f>'Chi NSH'!CR23</f>
        <v>0</v>
      </c>
      <c r="AK43" s="578"/>
      <c r="AL43" s="578">
        <f t="shared" si="29"/>
        <v>0</v>
      </c>
      <c r="AM43" s="578">
        <f>'Chi NSH'!CZ23</f>
        <v>0</v>
      </c>
      <c r="AN43" s="578"/>
      <c r="AO43" s="578">
        <f t="shared" si="30"/>
        <v>0</v>
      </c>
    </row>
    <row r="44" spans="1:41" x14ac:dyDescent="0.25">
      <c r="A44" s="1207" t="s">
        <v>564</v>
      </c>
      <c r="B44" s="232" t="s">
        <v>1529</v>
      </c>
      <c r="C44" s="578">
        <f>SUM(F44,L44,O44,R44,U44,X44,AA44,AD44,AG44,AJ44,AM44,I44)</f>
        <v>43105</v>
      </c>
      <c r="D44" s="578"/>
      <c r="E44" s="578">
        <f t="shared" si="18"/>
        <v>43105</v>
      </c>
      <c r="F44" s="578">
        <f>'Chi NSH'!N24</f>
        <v>3165</v>
      </c>
      <c r="G44" s="578"/>
      <c r="H44" s="578">
        <f t="shared" si="19"/>
        <v>3165</v>
      </c>
      <c r="I44" s="578">
        <f>'Chi NSH'!V24</f>
        <v>16475</v>
      </c>
      <c r="J44" s="578"/>
      <c r="K44" s="578">
        <f t="shared" si="20"/>
        <v>16475</v>
      </c>
      <c r="L44" s="578">
        <f>'Chi NSH'!AD24</f>
        <v>0</v>
      </c>
      <c r="M44" s="578"/>
      <c r="N44" s="578">
        <f t="shared" si="21"/>
        <v>0</v>
      </c>
      <c r="O44" s="578">
        <f>'Chi NSH'!AL24</f>
        <v>6100</v>
      </c>
      <c r="P44" s="578"/>
      <c r="Q44" s="578">
        <f t="shared" si="22"/>
        <v>6100</v>
      </c>
      <c r="R44" s="578">
        <f>'Chi NSH'!AT24</f>
        <v>0</v>
      </c>
      <c r="S44" s="578"/>
      <c r="T44" s="578">
        <f t="shared" si="23"/>
        <v>0</v>
      </c>
      <c r="U44" s="578">
        <f>'Chi NSH'!BB24</f>
        <v>0</v>
      </c>
      <c r="V44" s="578"/>
      <c r="W44" s="578">
        <f t="shared" si="24"/>
        <v>0</v>
      </c>
      <c r="X44" s="578">
        <f>'Chi NSH'!BJ24</f>
        <v>0</v>
      </c>
      <c r="Y44" s="578"/>
      <c r="Z44" s="578">
        <f t="shared" si="25"/>
        <v>0</v>
      </c>
      <c r="AA44" s="578">
        <f>'Chi NSH'!BR24</f>
        <v>0</v>
      </c>
      <c r="AB44" s="578"/>
      <c r="AC44" s="578">
        <f t="shared" si="26"/>
        <v>0</v>
      </c>
      <c r="AD44" s="578">
        <f>'Chi NSH'!BZ24</f>
        <v>15160</v>
      </c>
      <c r="AE44" s="578"/>
      <c r="AF44" s="578">
        <f t="shared" si="27"/>
        <v>15160</v>
      </c>
      <c r="AG44" s="578">
        <f>'Chi NSH'!CH24</f>
        <v>2205</v>
      </c>
      <c r="AH44" s="578"/>
      <c r="AI44" s="578">
        <f t="shared" si="28"/>
        <v>2205</v>
      </c>
      <c r="AJ44" s="578">
        <f>'Chi NSH'!CP24</f>
        <v>0</v>
      </c>
      <c r="AK44" s="578"/>
      <c r="AL44" s="578">
        <f t="shared" si="29"/>
        <v>0</v>
      </c>
      <c r="AM44" s="578">
        <f>'Chi NSH'!CX24</f>
        <v>0</v>
      </c>
      <c r="AN44" s="578"/>
      <c r="AO44" s="578">
        <f t="shared" si="30"/>
        <v>0</v>
      </c>
    </row>
    <row r="45" spans="1:41" hidden="1" x14ac:dyDescent="0.25">
      <c r="A45" s="621"/>
      <c r="B45" s="50"/>
      <c r="C45" s="578"/>
      <c r="D45" s="578"/>
      <c r="E45" s="578"/>
      <c r="F45" s="578"/>
      <c r="G45" s="578"/>
      <c r="H45" s="578">
        <f t="shared" si="19"/>
        <v>0</v>
      </c>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row>
    <row r="46" spans="1:41" hidden="1" x14ac:dyDescent="0.25">
      <c r="A46" s="621"/>
      <c r="B46" s="50"/>
      <c r="C46" s="578"/>
      <c r="D46" s="578"/>
      <c r="E46" s="578"/>
      <c r="F46" s="578"/>
      <c r="G46" s="578"/>
      <c r="H46" s="578">
        <f t="shared" si="19"/>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idden="1" x14ac:dyDescent="0.25">
      <c r="A47" s="623"/>
      <c r="B47" s="624"/>
      <c r="C47" s="578"/>
      <c r="D47" s="578"/>
      <c r="E47" s="578"/>
      <c r="F47" s="578"/>
      <c r="G47" s="578"/>
      <c r="H47" s="578">
        <f t="shared" si="19"/>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s="59" customFormat="1" hidden="1" x14ac:dyDescent="0.25">
      <c r="A48" s="179"/>
      <c r="B48" s="180"/>
      <c r="C48" s="578">
        <f>SUM(F48,L48,O48,R48,U48,X48,AA48,AD48,AG48,AJ48,AM48,I48)</f>
        <v>0</v>
      </c>
      <c r="D48" s="578"/>
      <c r="E48" s="578">
        <f>SUM(H48,N48,Q48,T48,W48,Z48,AC48,AF48,AI48,AL48,AO48,K48)</f>
        <v>0</v>
      </c>
      <c r="F48" s="578"/>
      <c r="G48" s="578"/>
      <c r="H48" s="578">
        <f t="shared" si="19"/>
        <v>0</v>
      </c>
      <c r="I48" s="578"/>
      <c r="J48" s="578"/>
      <c r="K48" s="578">
        <f>I48</f>
        <v>0</v>
      </c>
      <c r="L48" s="578"/>
      <c r="M48" s="578"/>
      <c r="N48" s="578">
        <f>L48</f>
        <v>0</v>
      </c>
      <c r="O48" s="578"/>
      <c r="P48" s="578"/>
      <c r="Q48" s="578">
        <f>O48</f>
        <v>0</v>
      </c>
      <c r="R48" s="578"/>
      <c r="S48" s="578"/>
      <c r="T48" s="578">
        <f>R48</f>
        <v>0</v>
      </c>
      <c r="U48" s="578"/>
      <c r="V48" s="578"/>
      <c r="W48" s="578">
        <f>U48</f>
        <v>0</v>
      </c>
      <c r="X48" s="578"/>
      <c r="Y48" s="578"/>
      <c r="Z48" s="578">
        <f>X48</f>
        <v>0</v>
      </c>
      <c r="AA48" s="578"/>
      <c r="AB48" s="578"/>
      <c r="AC48" s="578">
        <f>AA48</f>
        <v>0</v>
      </c>
      <c r="AD48" s="578"/>
      <c r="AE48" s="578"/>
      <c r="AF48" s="578">
        <f>AD48</f>
        <v>0</v>
      </c>
      <c r="AG48" s="578"/>
      <c r="AH48" s="578"/>
      <c r="AI48" s="578">
        <f>AG48</f>
        <v>0</v>
      </c>
      <c r="AJ48" s="578"/>
      <c r="AK48" s="578"/>
      <c r="AL48" s="578">
        <f>AJ48</f>
        <v>0</v>
      </c>
      <c r="AM48" s="578"/>
      <c r="AN48" s="578"/>
      <c r="AO48" s="578">
        <f>AM48</f>
        <v>0</v>
      </c>
    </row>
    <row r="49" spans="1:41" s="61" customFormat="1" x14ac:dyDescent="0.25">
      <c r="A49" s="51" t="s">
        <v>449</v>
      </c>
      <c r="B49" s="49" t="s">
        <v>1212</v>
      </c>
      <c r="C49" s="577">
        <f>SUM(F49,L49,O49,R49,U49,X49,AA49,AD49,AG49,AJ49,AM49,I49)</f>
        <v>538114</v>
      </c>
      <c r="D49" s="577"/>
      <c r="E49" s="577">
        <f>SUM(H49,N49,Q49,T49,W49,Z49,AC49,AF49,AI49,AL49,AO49,K49)</f>
        <v>538114</v>
      </c>
      <c r="F49" s="577">
        <f>'Chi NSH'!P25</f>
        <v>5467</v>
      </c>
      <c r="G49" s="577"/>
      <c r="H49" s="577">
        <f t="shared" si="19"/>
        <v>5467</v>
      </c>
      <c r="I49" s="577">
        <f>'Chi NSH'!X25</f>
        <v>0</v>
      </c>
      <c r="J49" s="577"/>
      <c r="K49" s="577">
        <f>I49</f>
        <v>0</v>
      </c>
      <c r="L49" s="577">
        <f>'Chi NSH'!AF25</f>
        <v>8754</v>
      </c>
      <c r="M49" s="577"/>
      <c r="N49" s="577">
        <f>L49</f>
        <v>8754</v>
      </c>
      <c r="O49" s="577">
        <f>'Chi NSH'!AN25</f>
        <v>7763</v>
      </c>
      <c r="P49" s="577"/>
      <c r="Q49" s="577">
        <f>O49</f>
        <v>7763</v>
      </c>
      <c r="R49" s="577">
        <f>'Chi NSH'!AV25</f>
        <v>0</v>
      </c>
      <c r="S49" s="577"/>
      <c r="T49" s="577">
        <f>R49</f>
        <v>0</v>
      </c>
      <c r="U49" s="577">
        <f>'Chi NSH'!BD25</f>
        <v>390133</v>
      </c>
      <c r="V49" s="577"/>
      <c r="W49" s="577">
        <f>U49</f>
        <v>390133</v>
      </c>
      <c r="X49" s="577">
        <f>'Chi NSH'!BL25</f>
        <v>0</v>
      </c>
      <c r="Y49" s="577"/>
      <c r="Z49" s="577">
        <f>X49</f>
        <v>0</v>
      </c>
      <c r="AA49" s="577">
        <f>'Chi NSH'!BT25</f>
        <v>0</v>
      </c>
      <c r="AB49" s="577"/>
      <c r="AC49" s="577">
        <f>AA49</f>
        <v>0</v>
      </c>
      <c r="AD49" s="577">
        <f>'Chi NSH'!CB25</f>
        <v>3178</v>
      </c>
      <c r="AE49" s="577"/>
      <c r="AF49" s="577">
        <f>AD49</f>
        <v>3178</v>
      </c>
      <c r="AG49" s="577">
        <f>'Chi NSH'!CJ25</f>
        <v>1112</v>
      </c>
      <c r="AH49" s="577"/>
      <c r="AI49" s="577">
        <f>AG49</f>
        <v>1112</v>
      </c>
      <c r="AJ49" s="577">
        <f>'Chi NSH'!CR25</f>
        <v>119826</v>
      </c>
      <c r="AK49" s="577"/>
      <c r="AL49" s="577">
        <f>AJ49</f>
        <v>119826</v>
      </c>
      <c r="AM49" s="577">
        <f>'Chi NSH'!CZ25</f>
        <v>1881</v>
      </c>
      <c r="AN49" s="577"/>
      <c r="AO49" s="577">
        <f>AM49</f>
        <v>1881</v>
      </c>
    </row>
    <row r="50" spans="1:41" x14ac:dyDescent="0.25">
      <c r="A50" s="62"/>
      <c r="B50" s="62" t="s">
        <v>685</v>
      </c>
      <c r="C50" s="580"/>
      <c r="D50" s="580"/>
      <c r="E50" s="580">
        <f>SUM(H50,N50,Q50,T50,W50,Z50,AC50,AF50,AI50,AL50,AO50,K50)</f>
        <v>7453009</v>
      </c>
      <c r="F50" s="580"/>
      <c r="G50" s="580"/>
      <c r="H50" s="580">
        <f>SUM(H5,H32,H49)</f>
        <v>508630</v>
      </c>
      <c r="I50" s="580"/>
      <c r="J50" s="580"/>
      <c r="K50" s="580">
        <f>SUM(K5,K32,K49)</f>
        <v>466908</v>
      </c>
      <c r="L50" s="580"/>
      <c r="M50" s="580"/>
      <c r="N50" s="580">
        <f>SUM(N5,N32,N49)</f>
        <v>443090</v>
      </c>
      <c r="O50" s="580"/>
      <c r="P50" s="580"/>
      <c r="Q50" s="580">
        <f>SUM(Q5,Q32,Q49)</f>
        <v>449344</v>
      </c>
      <c r="R50" s="580"/>
      <c r="S50" s="580"/>
      <c r="T50" s="580">
        <f>SUM(T5,T32,T49)</f>
        <v>565232</v>
      </c>
      <c r="U50" s="580"/>
      <c r="V50" s="580"/>
      <c r="W50" s="580">
        <f>SUM(W5,W32,W49)</f>
        <v>1287780</v>
      </c>
      <c r="X50" s="580"/>
      <c r="Y50" s="580"/>
      <c r="Z50" s="580">
        <f>SUM(Z5,Z32,Z49)</f>
        <v>701919</v>
      </c>
      <c r="AA50" s="580"/>
      <c r="AB50" s="580"/>
      <c r="AC50" s="580">
        <f>SUM(AC5,AC32,AC49)</f>
        <v>641617</v>
      </c>
      <c r="AD50" s="580"/>
      <c r="AE50" s="580"/>
      <c r="AF50" s="580">
        <f>SUM(AF5,AF32,AF49)</f>
        <v>592111</v>
      </c>
      <c r="AG50" s="580"/>
      <c r="AH50" s="580"/>
      <c r="AI50" s="580">
        <f>SUM(AI5,AI32,AI49)</f>
        <v>515138</v>
      </c>
      <c r="AJ50" s="580"/>
      <c r="AK50" s="580"/>
      <c r="AL50" s="580">
        <f>SUM(AL5,AL32,AL49)</f>
        <v>791375</v>
      </c>
      <c r="AM50" s="580"/>
      <c r="AN50" s="580"/>
      <c r="AO50" s="580">
        <f>SUM(AO5,AO32,AO49)</f>
        <v>489865</v>
      </c>
    </row>
    <row r="51" spans="1:41" x14ac:dyDescent="0.25">
      <c r="E51" s="847">
        <f>E5/C5</f>
        <v>0.79968716361679226</v>
      </c>
      <c r="H51" s="847">
        <f>H5/F5</f>
        <v>0.91559370529327611</v>
      </c>
      <c r="K51" s="847">
        <f>K5/I5</f>
        <v>0.91629646948795884</v>
      </c>
      <c r="N51" s="847">
        <f>N5/L5</f>
        <v>0.81106655974338415</v>
      </c>
      <c r="Q51" s="847">
        <f>Q5/O5</f>
        <v>0.74250559284116335</v>
      </c>
      <c r="T51" s="847">
        <f>T5/R5</f>
        <v>0.86372007366482506</v>
      </c>
      <c r="W51" s="847">
        <f>W5/U5</f>
        <v>0.6924374472870396</v>
      </c>
      <c r="Z51" s="847">
        <f>Z5/X5</f>
        <v>0.80933074146070538</v>
      </c>
      <c r="AC51" s="847">
        <f>AC5/AA5</f>
        <v>0.83795284646348478</v>
      </c>
      <c r="AF51" s="847">
        <f>AF5/AD5</f>
        <v>0.83654114365411436</v>
      </c>
      <c r="AI51" s="847">
        <f>AI5/AG5</f>
        <v>0.78815679733110922</v>
      </c>
      <c r="AL51" s="847">
        <f>AL5/AJ5</f>
        <v>0.90782208588957058</v>
      </c>
      <c r="AO51" s="847">
        <f>AO5/AM5</f>
        <v>0.84012066365007543</v>
      </c>
    </row>
  </sheetData>
  <mergeCells count="17">
    <mergeCell ref="AJ3:AL3"/>
    <mergeCell ref="U2:W2"/>
    <mergeCell ref="AM2:AO2"/>
    <mergeCell ref="A3:A4"/>
    <mergeCell ref="B3:B4"/>
    <mergeCell ref="C3:E3"/>
    <mergeCell ref="F3:H3"/>
    <mergeCell ref="I3:K3"/>
    <mergeCell ref="L3:N3"/>
    <mergeCell ref="O3:Q3"/>
    <mergeCell ref="R3:T3"/>
    <mergeCell ref="AM3:AO3"/>
    <mergeCell ref="U3:W3"/>
    <mergeCell ref="X3:Z3"/>
    <mergeCell ref="AA3:AC3"/>
    <mergeCell ref="AD3:AF3"/>
    <mergeCell ref="AG3:AI3"/>
  </mergeCells>
  <printOptions horizontalCentered="1"/>
  <pageMargins left="0" right="0" top="0.39370078740157483" bottom="0.39370078740157483" header="0.19685039370078741" footer="0.19685039370078741"/>
  <pageSetup paperSize="9" scale="62" fitToWidth="2" orientation="landscape" r:id="rId1"/>
  <headerFooter alignWithMargins="0">
    <oddHeader>&amp;R&amp;A</oddHead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O22"/>
  <sheetViews>
    <sheetView zoomScale="110" zoomScaleNormal="110" workbookViewId="0">
      <pane xSplit="3" ySplit="5" topLeftCell="D7" activePane="bottomRight" state="frozen"/>
      <selection activeCell="A3" sqref="A3:E4"/>
      <selection pane="topRight" activeCell="A3" sqref="A3:E4"/>
      <selection pane="bottomLeft" activeCell="A3" sqref="A3:E4"/>
      <selection pane="bottomRight" activeCell="A3" sqref="A3:E4"/>
    </sheetView>
  </sheetViews>
  <sheetFormatPr defaultRowHeight="18.75" customHeight="1" x14ac:dyDescent="0.25"/>
  <cols>
    <col min="1" max="1" width="4.5" style="15" customWidth="1"/>
    <col min="2" max="2" width="24.25" style="3" customWidth="1"/>
    <col min="3" max="3" width="12" style="3" customWidth="1"/>
    <col min="4" max="15" width="7.625" style="3" customWidth="1"/>
    <col min="16" max="16384" width="9" style="3"/>
  </cols>
  <sheetData>
    <row r="1" spans="1:15" ht="18.75" customHeight="1" x14ac:dyDescent="0.25">
      <c r="A1" s="1450" t="s">
        <v>1536</v>
      </c>
      <c r="B1" s="1450"/>
      <c r="C1" s="1450"/>
      <c r="D1" s="1450"/>
      <c r="E1" s="1450"/>
      <c r="F1" s="1450"/>
      <c r="G1" s="1450"/>
      <c r="H1" s="1450"/>
      <c r="I1" s="1450"/>
      <c r="J1" s="1450"/>
      <c r="K1" s="1450"/>
      <c r="L1" s="1450"/>
      <c r="M1" s="1450"/>
      <c r="N1" s="1450"/>
      <c r="O1" s="1450"/>
    </row>
    <row r="2" spans="1:15" ht="18.75" customHeight="1" x14ac:dyDescent="0.25">
      <c r="A2" s="63"/>
      <c r="B2" s="10"/>
      <c r="C2" s="10"/>
      <c r="D2" s="10"/>
      <c r="E2" s="10"/>
      <c r="F2" s="10"/>
      <c r="G2" s="10"/>
      <c r="H2" s="10"/>
      <c r="I2" s="10"/>
      <c r="J2" s="10"/>
      <c r="K2" s="10"/>
      <c r="L2" s="10"/>
      <c r="M2" s="1478" t="s">
        <v>0</v>
      </c>
      <c r="N2" s="1478"/>
      <c r="O2" s="1478"/>
    </row>
    <row r="3" spans="1:15" ht="69" customHeight="1" x14ac:dyDescent="0.25">
      <c r="A3" s="1328" t="s">
        <v>1</v>
      </c>
      <c r="B3" s="1335" t="s">
        <v>2</v>
      </c>
      <c r="C3" s="1328" t="s">
        <v>455</v>
      </c>
      <c r="D3" s="1328" t="s">
        <v>3</v>
      </c>
      <c r="E3" s="1328" t="s">
        <v>1522</v>
      </c>
      <c r="F3" s="1328" t="s">
        <v>4</v>
      </c>
      <c r="G3" s="1328" t="s">
        <v>5</v>
      </c>
      <c r="H3" s="1328" t="s">
        <v>6</v>
      </c>
      <c r="I3" s="1328" t="s">
        <v>7</v>
      </c>
      <c r="J3" s="1328" t="s">
        <v>8</v>
      </c>
      <c r="K3" s="1328" t="s">
        <v>9</v>
      </c>
      <c r="L3" s="1328" t="s">
        <v>10</v>
      </c>
      <c r="M3" s="1328" t="s">
        <v>11</v>
      </c>
      <c r="N3" s="1328" t="s">
        <v>145</v>
      </c>
      <c r="O3" s="1328" t="s">
        <v>12</v>
      </c>
    </row>
    <row r="4" spans="1:15" s="61" customFormat="1" ht="18.75" customHeight="1" x14ac:dyDescent="0.25">
      <c r="A4" s="20"/>
      <c r="B4" s="58" t="s">
        <v>1561</v>
      </c>
      <c r="C4" s="570">
        <f t="shared" ref="C4:O4" si="0">SUM(C5,C9,C14,C15,C16)</f>
        <v>7453009</v>
      </c>
      <c r="D4" s="570">
        <f>SUM(D5,D9,D14,D15,D16)</f>
        <v>508630</v>
      </c>
      <c r="E4" s="570">
        <f t="shared" si="0"/>
        <v>466908</v>
      </c>
      <c r="F4" s="570">
        <f t="shared" si="0"/>
        <v>443090</v>
      </c>
      <c r="G4" s="570">
        <f t="shared" si="0"/>
        <v>449344</v>
      </c>
      <c r="H4" s="570">
        <f t="shared" si="0"/>
        <v>565232</v>
      </c>
      <c r="I4" s="570">
        <f t="shared" si="0"/>
        <v>1287780</v>
      </c>
      <c r="J4" s="570">
        <f t="shared" si="0"/>
        <v>701919</v>
      </c>
      <c r="K4" s="570">
        <f t="shared" si="0"/>
        <v>641617</v>
      </c>
      <c r="L4" s="570">
        <f t="shared" si="0"/>
        <v>592111</v>
      </c>
      <c r="M4" s="570">
        <f t="shared" si="0"/>
        <v>515138</v>
      </c>
      <c r="N4" s="570">
        <f t="shared" si="0"/>
        <v>791375</v>
      </c>
      <c r="O4" s="570">
        <f t="shared" si="0"/>
        <v>489865</v>
      </c>
    </row>
    <row r="5" spans="1:15" s="61" customFormat="1" ht="18.75" customHeight="1" x14ac:dyDescent="0.25">
      <c r="A5" s="23" t="s">
        <v>409</v>
      </c>
      <c r="B5" s="49" t="s">
        <v>227</v>
      </c>
      <c r="C5" s="571">
        <f t="shared" ref="C5:O5" si="1">SUM(C7:C8)</f>
        <v>1155246</v>
      </c>
      <c r="D5" s="571">
        <f t="shared" si="1"/>
        <v>52606</v>
      </c>
      <c r="E5" s="571">
        <f t="shared" si="1"/>
        <v>177233</v>
      </c>
      <c r="F5" s="571">
        <f t="shared" si="1"/>
        <v>41557</v>
      </c>
      <c r="G5" s="571">
        <f t="shared" si="1"/>
        <v>48751</v>
      </c>
      <c r="H5" s="571">
        <f t="shared" si="1"/>
        <v>61302</v>
      </c>
      <c r="I5" s="571">
        <f t="shared" si="1"/>
        <v>216534</v>
      </c>
      <c r="J5" s="571">
        <f t="shared" si="1"/>
        <v>74662</v>
      </c>
      <c r="K5" s="571">
        <f t="shared" si="1"/>
        <v>96250</v>
      </c>
      <c r="L5" s="571">
        <f t="shared" si="1"/>
        <v>60177</v>
      </c>
      <c r="M5" s="571">
        <f t="shared" si="1"/>
        <v>53432</v>
      </c>
      <c r="N5" s="571">
        <f t="shared" si="1"/>
        <v>211569</v>
      </c>
      <c r="O5" s="571">
        <f t="shared" si="1"/>
        <v>61173</v>
      </c>
    </row>
    <row r="6" spans="1:15" s="65" customFormat="1" ht="15.75" hidden="1" x14ac:dyDescent="0.25">
      <c r="A6" s="261"/>
      <c r="B6" s="262"/>
      <c r="C6" s="572">
        <f t="shared" ref="C6:C13" si="2">SUM(D6:O6)</f>
        <v>0</v>
      </c>
      <c r="D6" s="572"/>
      <c r="E6" s="572"/>
      <c r="F6" s="572"/>
      <c r="G6" s="572"/>
      <c r="H6" s="572"/>
      <c r="I6" s="572"/>
      <c r="J6" s="572"/>
      <c r="K6" s="572"/>
      <c r="L6" s="572"/>
      <c r="M6" s="572"/>
      <c r="N6" s="572"/>
      <c r="O6" s="572"/>
    </row>
    <row r="7" spans="1:15" ht="18.75" customHeight="1" x14ac:dyDescent="0.25">
      <c r="A7" s="22">
        <v>1</v>
      </c>
      <c r="B7" s="50" t="s">
        <v>13</v>
      </c>
      <c r="C7" s="573">
        <f t="shared" si="2"/>
        <v>505246</v>
      </c>
      <c r="D7" s="573">
        <f>'Chi NSH'!P28</f>
        <v>27606</v>
      </c>
      <c r="E7" s="573">
        <f>'Chi NSH'!X28</f>
        <v>27233</v>
      </c>
      <c r="F7" s="573">
        <f>'Chi NSH'!AF28</f>
        <v>26557</v>
      </c>
      <c r="G7" s="573">
        <f>'Chi NSH'!AN28</f>
        <v>28751</v>
      </c>
      <c r="H7" s="573">
        <f>'Chi NSH'!AV28</f>
        <v>36302</v>
      </c>
      <c r="I7" s="573">
        <f>'Chi NSH'!BD28</f>
        <v>116534</v>
      </c>
      <c r="J7" s="573">
        <f>'Chi NSH'!BL28</f>
        <v>39662</v>
      </c>
      <c r="K7" s="573">
        <f>'Chi NSH'!BT28</f>
        <v>36250</v>
      </c>
      <c r="L7" s="573">
        <f>'Chi NSH'!CB28</f>
        <v>35177</v>
      </c>
      <c r="M7" s="573">
        <f>'Chi NSH'!CJ28</f>
        <v>33432</v>
      </c>
      <c r="N7" s="573">
        <f>'Chi NSH'!CR28</f>
        <v>71569</v>
      </c>
      <c r="O7" s="573">
        <f>'Chi NSH'!CZ28</f>
        <v>26173</v>
      </c>
    </row>
    <row r="8" spans="1:15" ht="18.75" customHeight="1" x14ac:dyDescent="0.25">
      <c r="A8" s="22">
        <v>2</v>
      </c>
      <c r="B8" s="50" t="s">
        <v>14</v>
      </c>
      <c r="C8" s="573">
        <f t="shared" si="2"/>
        <v>650000</v>
      </c>
      <c r="D8" s="573">
        <f>'Chi NSH'!P30</f>
        <v>25000</v>
      </c>
      <c r="E8" s="573">
        <f>'Chi NSH'!X30</f>
        <v>150000</v>
      </c>
      <c r="F8" s="573">
        <f>'Chi NSH'!AF30</f>
        <v>15000</v>
      </c>
      <c r="G8" s="573">
        <f>'Chi NSH'!AN30</f>
        <v>20000</v>
      </c>
      <c r="H8" s="573">
        <f>'Chi NSH'!AV30</f>
        <v>25000</v>
      </c>
      <c r="I8" s="573">
        <f>'Chi NSH'!BD30</f>
        <v>100000</v>
      </c>
      <c r="J8" s="573">
        <f>'Chi NSH'!BL30</f>
        <v>35000</v>
      </c>
      <c r="K8" s="573">
        <f>'Chi NSH'!BT30</f>
        <v>60000</v>
      </c>
      <c r="L8" s="573">
        <f>'Chi NSH'!CB30</f>
        <v>25000</v>
      </c>
      <c r="M8" s="573">
        <f>'Chi NSH'!CJ30</f>
        <v>20000</v>
      </c>
      <c r="N8" s="573">
        <f>'Chi NSH'!CR30</f>
        <v>140000</v>
      </c>
      <c r="O8" s="573">
        <f>'Chi NSH'!CZ30</f>
        <v>35000</v>
      </c>
    </row>
    <row r="9" spans="1:15" s="61" customFormat="1" ht="18.75" customHeight="1" x14ac:dyDescent="0.25">
      <c r="A9" s="23" t="s">
        <v>421</v>
      </c>
      <c r="B9" s="49" t="s">
        <v>15</v>
      </c>
      <c r="C9" s="571">
        <f>SUM(D9:O9)</f>
        <v>5578092</v>
      </c>
      <c r="D9" s="571">
        <f>'Chi NSH'!P31-D19</f>
        <v>448046</v>
      </c>
      <c r="E9" s="571">
        <f>'Chi NSH'!X31-E19</f>
        <v>284266</v>
      </c>
      <c r="F9" s="571">
        <f>'Chi NSH'!AF31-F19</f>
        <v>394737</v>
      </c>
      <c r="G9" s="571">
        <f>'Chi NSH'!AN31-G19</f>
        <v>394303</v>
      </c>
      <c r="H9" s="571">
        <f>'Chi NSH'!AV31-H19</f>
        <v>494521</v>
      </c>
      <c r="I9" s="571">
        <f>'Chi NSH'!BD31-I19</f>
        <v>573220</v>
      </c>
      <c r="J9" s="571">
        <f>'Chi NSH'!BL31-J19</f>
        <v>616420</v>
      </c>
      <c r="K9" s="571">
        <f>'Chi NSH'!BT31-K19</f>
        <v>535965</v>
      </c>
      <c r="L9" s="571">
        <f>'Chi NSH'!CB31-L19</f>
        <v>520981</v>
      </c>
      <c r="M9" s="571">
        <f>'Chi NSH'!CJ31-M19</f>
        <v>453611</v>
      </c>
      <c r="N9" s="571">
        <f>'Chi NSH'!CR31-N19</f>
        <v>440969</v>
      </c>
      <c r="O9" s="571">
        <f>'Chi NSH'!CZ31-O19</f>
        <v>421053</v>
      </c>
    </row>
    <row r="10" spans="1:15" s="65" customFormat="1" ht="18.75" customHeight="1" x14ac:dyDescent="0.25">
      <c r="A10" s="165"/>
      <c r="B10" s="166" t="s">
        <v>242</v>
      </c>
      <c r="C10" s="574"/>
      <c r="D10" s="574"/>
      <c r="E10" s="574"/>
      <c r="F10" s="574"/>
      <c r="G10" s="574"/>
      <c r="H10" s="574"/>
      <c r="I10" s="574"/>
      <c r="J10" s="574"/>
      <c r="K10" s="574"/>
      <c r="L10" s="574"/>
      <c r="M10" s="574"/>
      <c r="N10" s="574"/>
      <c r="O10" s="574"/>
    </row>
    <row r="11" spans="1:15" s="61" customFormat="1" ht="18.75" customHeight="1" x14ac:dyDescent="0.25">
      <c r="A11" s="22">
        <v>1</v>
      </c>
      <c r="B11" s="50" t="s">
        <v>16</v>
      </c>
      <c r="C11" s="573">
        <f t="shared" si="2"/>
        <v>2875462</v>
      </c>
      <c r="D11" s="573">
        <f>'Chi NSH'!P32</f>
        <v>248862</v>
      </c>
      <c r="E11" s="573">
        <f>'Chi NSH'!X32</f>
        <v>129396</v>
      </c>
      <c r="F11" s="573">
        <f>'Chi NSH'!AF32</f>
        <v>208620</v>
      </c>
      <c r="G11" s="573">
        <f>'Chi NSH'!AN32</f>
        <v>190080</v>
      </c>
      <c r="H11" s="573">
        <f>'Chi NSH'!AV32</f>
        <v>279054</v>
      </c>
      <c r="I11" s="573">
        <f>'Chi NSH'!BD32</f>
        <v>275271</v>
      </c>
      <c r="J11" s="573">
        <f>'Chi NSH'!BL32</f>
        <v>324148</v>
      </c>
      <c r="K11" s="573">
        <f>'Chi NSH'!BT32</f>
        <v>289708</v>
      </c>
      <c r="L11" s="573">
        <f>'Chi NSH'!CB32</f>
        <v>286861</v>
      </c>
      <c r="M11" s="573">
        <f>'Chi NSH'!CJ32</f>
        <v>249845</v>
      </c>
      <c r="N11" s="573">
        <f>'Chi NSH'!CR32</f>
        <v>181007</v>
      </c>
      <c r="O11" s="573">
        <f>'Chi NSH'!CZ32</f>
        <v>212610</v>
      </c>
    </row>
    <row r="12" spans="1:15" s="61" customFormat="1" ht="18.75" customHeight="1" x14ac:dyDescent="0.25">
      <c r="A12" s="22">
        <v>2</v>
      </c>
      <c r="B12" s="50" t="s">
        <v>502</v>
      </c>
      <c r="C12" s="573">
        <f t="shared" si="2"/>
        <v>81470</v>
      </c>
      <c r="D12" s="573">
        <f>'Chi NSH'!P33</f>
        <v>4025</v>
      </c>
      <c r="E12" s="573">
        <f>'Chi NSH'!X33</f>
        <v>6871</v>
      </c>
      <c r="F12" s="573">
        <f>'Chi NSH'!AF33</f>
        <v>3707</v>
      </c>
      <c r="G12" s="573">
        <f>'Chi NSH'!AN33</f>
        <v>3821</v>
      </c>
      <c r="H12" s="573">
        <f>'Chi NSH'!AV33</f>
        <v>6573</v>
      </c>
      <c r="I12" s="573">
        <f>'Chi NSH'!BD33</f>
        <v>15103</v>
      </c>
      <c r="J12" s="573">
        <f>'Chi NSH'!BL33</f>
        <v>6823</v>
      </c>
      <c r="K12" s="573">
        <f>'Chi NSH'!BT33</f>
        <v>6021</v>
      </c>
      <c r="L12" s="573">
        <f>'Chi NSH'!CB33</f>
        <v>7903</v>
      </c>
      <c r="M12" s="573">
        <f>'Chi NSH'!CJ33</f>
        <v>4713</v>
      </c>
      <c r="N12" s="573">
        <f>'Chi NSH'!CR33</f>
        <v>11300</v>
      </c>
      <c r="O12" s="573">
        <f>'Chi NSH'!CZ33</f>
        <v>4610</v>
      </c>
    </row>
    <row r="13" spans="1:15" ht="18.75" customHeight="1" x14ac:dyDescent="0.25">
      <c r="A13" s="22">
        <v>3</v>
      </c>
      <c r="B13" s="50" t="s">
        <v>364</v>
      </c>
      <c r="C13" s="573">
        <f t="shared" si="2"/>
        <v>2621160</v>
      </c>
      <c r="D13" s="573">
        <f t="shared" ref="D13:O13" si="3">D9-D11-D12</f>
        <v>195159</v>
      </c>
      <c r="E13" s="573">
        <f t="shared" si="3"/>
        <v>147999</v>
      </c>
      <c r="F13" s="573">
        <f t="shared" si="3"/>
        <v>182410</v>
      </c>
      <c r="G13" s="573">
        <f t="shared" si="3"/>
        <v>200402</v>
      </c>
      <c r="H13" s="573">
        <f t="shared" si="3"/>
        <v>208894</v>
      </c>
      <c r="I13" s="573">
        <f t="shared" si="3"/>
        <v>282846</v>
      </c>
      <c r="J13" s="573">
        <f t="shared" si="3"/>
        <v>285449</v>
      </c>
      <c r="K13" s="573">
        <f t="shared" si="3"/>
        <v>240236</v>
      </c>
      <c r="L13" s="573">
        <f t="shared" si="3"/>
        <v>226217</v>
      </c>
      <c r="M13" s="573">
        <f t="shared" si="3"/>
        <v>199053</v>
      </c>
      <c r="N13" s="573">
        <f t="shared" si="3"/>
        <v>248662</v>
      </c>
      <c r="O13" s="573">
        <f t="shared" si="3"/>
        <v>203833</v>
      </c>
    </row>
    <row r="14" spans="1:15" s="61" customFormat="1" ht="18.75" customHeight="1" x14ac:dyDescent="0.25">
      <c r="A14" s="23" t="s">
        <v>449</v>
      </c>
      <c r="B14" s="49" t="s">
        <v>487</v>
      </c>
      <c r="C14" s="571">
        <f t="shared" ref="C14:C21" si="4">SUM(D14:O14)</f>
        <v>112922</v>
      </c>
      <c r="D14" s="571">
        <f>'Chi NSH'!P35</f>
        <v>7978</v>
      </c>
      <c r="E14" s="571">
        <f>'Chi NSH'!X35</f>
        <v>5409</v>
      </c>
      <c r="F14" s="571">
        <f>'Chi NSH'!AF35</f>
        <v>6796</v>
      </c>
      <c r="G14" s="571">
        <f>'Chi NSH'!AN35</f>
        <v>6290</v>
      </c>
      <c r="H14" s="571">
        <f>'Chi NSH'!AV35</f>
        <v>9409</v>
      </c>
      <c r="I14" s="571">
        <f>'Chi NSH'!BD35</f>
        <v>18928</v>
      </c>
      <c r="J14" s="571">
        <f>'Chi NSH'!BL35</f>
        <v>10837</v>
      </c>
      <c r="K14" s="571">
        <f>'Chi NSH'!BT35</f>
        <v>9402</v>
      </c>
      <c r="L14" s="571">
        <f>'Chi NSH'!CB35</f>
        <v>10953</v>
      </c>
      <c r="M14" s="571">
        <f>'Chi NSH'!CJ35</f>
        <v>8095</v>
      </c>
      <c r="N14" s="571">
        <f>'Chi NSH'!CR35</f>
        <v>11186</v>
      </c>
      <c r="O14" s="571">
        <f>'Chi NSH'!CZ35</f>
        <v>7639</v>
      </c>
    </row>
    <row r="15" spans="1:15" s="61" customFormat="1" ht="18.75" customHeight="1" x14ac:dyDescent="0.25">
      <c r="A15" s="260" t="s">
        <v>450</v>
      </c>
      <c r="B15" s="196" t="s">
        <v>1686</v>
      </c>
      <c r="C15" s="575">
        <f t="shared" si="4"/>
        <v>606749</v>
      </c>
      <c r="D15" s="575">
        <f>'Chi NSH'!P36</f>
        <v>0</v>
      </c>
      <c r="E15" s="575">
        <f>'Chi NSH'!X36</f>
        <v>0</v>
      </c>
      <c r="F15" s="575">
        <f>'Chi NSH'!AF36</f>
        <v>0</v>
      </c>
      <c r="G15" s="575">
        <f>'Chi NSH'!AN36</f>
        <v>0</v>
      </c>
      <c r="H15" s="575">
        <f>'Chi NSH'!AV36</f>
        <v>0</v>
      </c>
      <c r="I15" s="575">
        <f>'Chi NSH'!BD36</f>
        <v>479098</v>
      </c>
      <c r="J15" s="575">
        <f>'Chi NSH'!BL36</f>
        <v>0</v>
      </c>
      <c r="K15" s="575">
        <f>'Chi NSH'!BT36</f>
        <v>0</v>
      </c>
      <c r="L15" s="575">
        <f>'Chi NSH'!CB36</f>
        <v>0</v>
      </c>
      <c r="M15" s="575">
        <f>'Chi NSH'!CJ36</f>
        <v>0</v>
      </c>
      <c r="N15" s="575">
        <f>'Chi NSH'!CR36</f>
        <v>127651</v>
      </c>
      <c r="O15" s="575">
        <f>'Chi NSH'!CZ36</f>
        <v>0</v>
      </c>
    </row>
    <row r="16" spans="1:15" s="61" customFormat="1" ht="18.75" hidden="1" customHeight="1" x14ac:dyDescent="0.25">
      <c r="A16" s="619" t="s">
        <v>472</v>
      </c>
      <c r="B16" s="19" t="s">
        <v>17</v>
      </c>
      <c r="C16" s="620">
        <f t="shared" si="4"/>
        <v>0</v>
      </c>
      <c r="D16" s="620">
        <f>ROUND(SUM(D17:D21),0)</f>
        <v>0</v>
      </c>
      <c r="E16" s="620">
        <f t="shared" ref="E16:O16" si="5">ROUND(SUM(E17:E21),0)</f>
        <v>0</v>
      </c>
      <c r="F16" s="620">
        <f t="shared" si="5"/>
        <v>0</v>
      </c>
      <c r="G16" s="620">
        <f t="shared" si="5"/>
        <v>0</v>
      </c>
      <c r="H16" s="620">
        <f t="shared" si="5"/>
        <v>0</v>
      </c>
      <c r="I16" s="620">
        <f t="shared" si="5"/>
        <v>0</v>
      </c>
      <c r="J16" s="620">
        <f t="shared" si="5"/>
        <v>0</v>
      </c>
      <c r="K16" s="620">
        <f t="shared" si="5"/>
        <v>0</v>
      </c>
      <c r="L16" s="620">
        <f t="shared" si="5"/>
        <v>0</v>
      </c>
      <c r="M16" s="620">
        <f t="shared" si="5"/>
        <v>0</v>
      </c>
      <c r="N16" s="620">
        <f t="shared" si="5"/>
        <v>0</v>
      </c>
      <c r="O16" s="620">
        <f t="shared" si="5"/>
        <v>0</v>
      </c>
    </row>
    <row r="17" spans="1:15" ht="18.75" hidden="1" customHeight="1" x14ac:dyDescent="0.25">
      <c r="A17" s="621" t="s">
        <v>564</v>
      </c>
      <c r="B17" s="50" t="s">
        <v>29</v>
      </c>
      <c r="C17" s="622">
        <f t="shared" si="4"/>
        <v>0</v>
      </c>
      <c r="D17" s="622"/>
      <c r="E17" s="622"/>
      <c r="F17" s="622"/>
      <c r="G17" s="622"/>
      <c r="H17" s="622"/>
      <c r="I17" s="622"/>
      <c r="J17" s="622"/>
      <c r="K17" s="622"/>
      <c r="L17" s="622"/>
      <c r="M17" s="622"/>
      <c r="N17" s="622"/>
      <c r="O17" s="622"/>
    </row>
    <row r="18" spans="1:15" ht="18.75" hidden="1" customHeight="1" x14ac:dyDescent="0.25">
      <c r="A18" s="621" t="s">
        <v>564</v>
      </c>
      <c r="B18" s="50" t="s">
        <v>30</v>
      </c>
      <c r="C18" s="622">
        <f t="shared" si="4"/>
        <v>0</v>
      </c>
      <c r="D18" s="622"/>
      <c r="E18" s="622"/>
      <c r="F18" s="622"/>
      <c r="G18" s="622"/>
      <c r="H18" s="622"/>
      <c r="I18" s="622"/>
      <c r="J18" s="622"/>
      <c r="K18" s="622"/>
      <c r="L18" s="622"/>
      <c r="M18" s="622"/>
      <c r="N18" s="622"/>
      <c r="O18" s="622"/>
    </row>
    <row r="19" spans="1:15" ht="18.75" hidden="1" customHeight="1" x14ac:dyDescent="0.25">
      <c r="A19" s="621" t="s">
        <v>564</v>
      </c>
      <c r="B19" s="50" t="s">
        <v>231</v>
      </c>
      <c r="C19" s="622">
        <f t="shared" si="4"/>
        <v>0</v>
      </c>
      <c r="D19" s="622"/>
      <c r="E19" s="622"/>
      <c r="F19" s="622"/>
      <c r="G19" s="622"/>
      <c r="H19" s="622"/>
      <c r="I19" s="622"/>
      <c r="J19" s="622"/>
      <c r="K19" s="622"/>
      <c r="L19" s="622"/>
      <c r="M19" s="622"/>
      <c r="N19" s="622"/>
      <c r="O19" s="622"/>
    </row>
    <row r="20" spans="1:15" s="178" customFormat="1" ht="18.75" hidden="1" customHeight="1" x14ac:dyDescent="0.25">
      <c r="A20" s="623" t="s">
        <v>564</v>
      </c>
      <c r="B20" s="624" t="s">
        <v>1562</v>
      </c>
      <c r="C20" s="191">
        <f t="shared" si="4"/>
        <v>0</v>
      </c>
      <c r="D20" s="191"/>
      <c r="E20" s="191"/>
      <c r="F20" s="191"/>
      <c r="G20" s="191"/>
      <c r="H20" s="191"/>
      <c r="I20" s="191"/>
      <c r="J20" s="191"/>
      <c r="K20" s="191"/>
      <c r="L20" s="191"/>
      <c r="M20" s="191"/>
      <c r="N20" s="191"/>
      <c r="O20" s="191"/>
    </row>
    <row r="21" spans="1:15" s="178" customFormat="1" ht="18.75" hidden="1" customHeight="1" x14ac:dyDescent="0.25">
      <c r="A21" s="179"/>
      <c r="B21" s="180" t="s">
        <v>288</v>
      </c>
      <c r="C21" s="192">
        <f t="shared" si="4"/>
        <v>0</v>
      </c>
      <c r="D21" s="192"/>
      <c r="E21" s="192"/>
      <c r="F21" s="192"/>
      <c r="G21" s="192"/>
      <c r="H21" s="192"/>
      <c r="I21" s="192"/>
      <c r="J21" s="192"/>
      <c r="K21" s="192"/>
      <c r="L21" s="192"/>
      <c r="M21" s="192"/>
      <c r="N21" s="192"/>
      <c r="O21" s="192"/>
    </row>
    <row r="22" spans="1:15" ht="18.75" customHeight="1" x14ac:dyDescent="0.25">
      <c r="C22" s="1197"/>
    </row>
  </sheetData>
  <mergeCells count="2">
    <mergeCell ref="A1:O1"/>
    <mergeCell ref="M2:O2"/>
  </mergeCells>
  <printOptions horizontalCentered="1"/>
  <pageMargins left="0" right="0" top="0.39370078740157483" bottom="0.39370078740157483" header="0.19685039370078741" footer="0.19685039370078741"/>
  <pageSetup paperSize="9" orientation="landscape" r:id="rId1"/>
  <headerFooter alignWithMargins="0">
    <oddHeader>&amp;R&amp;A</oddHeader>
  </headerFooter>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C21"/>
  <sheetViews>
    <sheetView zoomScale="86" zoomScaleNormal="86" workbookViewId="0">
      <pane xSplit="4" ySplit="7" topLeftCell="E8" activePane="bottomRight" state="frozen"/>
      <selection activeCell="A3" sqref="A3:E4"/>
      <selection pane="topRight" activeCell="A3" sqref="A3:E4"/>
      <selection pane="bottomLeft" activeCell="A3" sqref="A3:E4"/>
      <selection pane="bottomRight" activeCell="A3" sqref="A3:E4"/>
    </sheetView>
  </sheetViews>
  <sheetFormatPr defaultRowHeight="15.75" x14ac:dyDescent="0.25"/>
  <cols>
    <col min="1" max="1" width="3.75" style="2" customWidth="1"/>
    <col min="2" max="2" width="12.25" style="40" customWidth="1"/>
    <col min="3" max="3" width="9.125" style="40" customWidth="1"/>
    <col min="4" max="4" width="11.625" style="40" customWidth="1"/>
    <col min="5" max="19" width="9.125" style="40" customWidth="1"/>
    <col min="20" max="20" width="12.5" style="40" customWidth="1"/>
    <col min="21" max="25" width="9" style="40"/>
    <col min="26" max="26" width="9.75" style="40" customWidth="1"/>
    <col min="27" max="16384" width="9" style="40"/>
  </cols>
  <sheetData>
    <row r="1" spans="1:29" x14ac:dyDescent="0.25">
      <c r="A1" s="1472" t="s">
        <v>1533</v>
      </c>
      <c r="B1" s="1472"/>
      <c r="C1" s="1472"/>
      <c r="D1" s="1472"/>
      <c r="E1" s="1472"/>
      <c r="F1" s="1472"/>
      <c r="G1" s="1472"/>
      <c r="H1" s="1472"/>
      <c r="I1" s="1472"/>
      <c r="J1" s="1472"/>
      <c r="K1" s="1472"/>
      <c r="L1" s="1472"/>
      <c r="M1" s="1472"/>
      <c r="N1" s="1472"/>
      <c r="O1" s="1472"/>
      <c r="P1" s="1472"/>
      <c r="Q1" s="1472"/>
      <c r="R1" s="1472"/>
      <c r="S1" s="1472"/>
      <c r="T1" s="1472"/>
      <c r="U1" s="1472"/>
      <c r="V1" s="1472"/>
      <c r="W1" s="1472"/>
      <c r="X1" s="1472"/>
      <c r="Y1" s="1472"/>
      <c r="Z1" s="1472"/>
      <c r="AA1" s="1472"/>
      <c r="AB1" s="1472"/>
    </row>
    <row r="2" spans="1:29" ht="17.25" customHeight="1" x14ac:dyDescent="0.25">
      <c r="AC2" s="283" t="s">
        <v>547</v>
      </c>
    </row>
    <row r="3" spans="1:29" s="14" customFormat="1" ht="16.5" customHeight="1" x14ac:dyDescent="0.25">
      <c r="A3" s="1406" t="s">
        <v>519</v>
      </c>
      <c r="B3" s="1406" t="s">
        <v>1531</v>
      </c>
      <c r="C3" s="1406" t="s">
        <v>1530</v>
      </c>
      <c r="D3" s="1423" t="s">
        <v>1532</v>
      </c>
      <c r="E3" s="1424"/>
      <c r="F3" s="1424"/>
      <c r="G3" s="1424"/>
      <c r="H3" s="1424"/>
      <c r="I3" s="1424"/>
      <c r="J3" s="1424"/>
      <c r="K3" s="1424"/>
      <c r="L3" s="1424"/>
      <c r="M3" s="1424"/>
      <c r="N3" s="1424"/>
      <c r="O3" s="1424"/>
      <c r="P3" s="1424"/>
      <c r="Q3" s="1424"/>
      <c r="R3" s="1424"/>
      <c r="S3" s="1425"/>
      <c r="T3" s="1406" t="s">
        <v>1535</v>
      </c>
      <c r="U3" s="1421" t="s">
        <v>1534</v>
      </c>
      <c r="V3" s="1457"/>
      <c r="W3" s="1457"/>
      <c r="X3" s="1457"/>
      <c r="Y3" s="1457"/>
      <c r="Z3" s="1457"/>
      <c r="AA3" s="1457"/>
      <c r="AB3" s="1457"/>
      <c r="AC3" s="1422"/>
    </row>
    <row r="4" spans="1:29" s="14" customFormat="1" ht="15.75" customHeight="1" x14ac:dyDescent="0.25">
      <c r="A4" s="1406"/>
      <c r="B4" s="1406"/>
      <c r="C4" s="1406"/>
      <c r="D4" s="1365" t="s">
        <v>18</v>
      </c>
      <c r="E4" s="1406" t="s">
        <v>19</v>
      </c>
      <c r="F4" s="1482" t="s">
        <v>21</v>
      </c>
      <c r="G4" s="1483"/>
      <c r="H4" s="1406" t="s">
        <v>20</v>
      </c>
      <c r="I4" s="1423" t="s">
        <v>21</v>
      </c>
      <c r="J4" s="1424"/>
      <c r="K4" s="1424"/>
      <c r="L4" s="1424"/>
      <c r="M4" s="1424"/>
      <c r="N4" s="1424"/>
      <c r="O4" s="1424"/>
      <c r="P4" s="1424"/>
      <c r="Q4" s="1424"/>
      <c r="R4" s="1425"/>
      <c r="S4" s="1365" t="s">
        <v>1215</v>
      </c>
      <c r="T4" s="1406"/>
      <c r="U4" s="1461" t="s">
        <v>227</v>
      </c>
      <c r="V4" s="1461"/>
      <c r="W4" s="1461"/>
      <c r="X4" s="1461" t="s">
        <v>460</v>
      </c>
      <c r="Y4" s="1461"/>
      <c r="Z4" s="1461"/>
      <c r="AA4" s="1461"/>
      <c r="AB4" s="1406" t="s">
        <v>487</v>
      </c>
      <c r="AC4" s="1406" t="s">
        <v>1510</v>
      </c>
    </row>
    <row r="5" spans="1:29" s="14" customFormat="1" ht="15.75" customHeight="1" x14ac:dyDescent="0.25">
      <c r="A5" s="1406"/>
      <c r="B5" s="1406"/>
      <c r="C5" s="1406"/>
      <c r="D5" s="1481"/>
      <c r="E5" s="1406"/>
      <c r="F5" s="1484"/>
      <c r="G5" s="1485"/>
      <c r="H5" s="1406"/>
      <c r="I5" s="1406" t="s">
        <v>532</v>
      </c>
      <c r="J5" s="1406" t="s">
        <v>22</v>
      </c>
      <c r="K5" s="1423" t="s">
        <v>21</v>
      </c>
      <c r="L5" s="1424"/>
      <c r="M5" s="1424"/>
      <c r="N5" s="1424"/>
      <c r="O5" s="1424"/>
      <c r="P5" s="1424"/>
      <c r="Q5" s="1424"/>
      <c r="R5" s="1425"/>
      <c r="S5" s="1481"/>
      <c r="T5" s="1406"/>
      <c r="U5" s="1406" t="s">
        <v>398</v>
      </c>
      <c r="V5" s="1406" t="s">
        <v>21</v>
      </c>
      <c r="W5" s="1406"/>
      <c r="X5" s="1406" t="s">
        <v>398</v>
      </c>
      <c r="Y5" s="1461" t="s">
        <v>21</v>
      </c>
      <c r="Z5" s="1461"/>
      <c r="AA5" s="1461"/>
      <c r="AB5" s="1406"/>
      <c r="AC5" s="1406"/>
    </row>
    <row r="6" spans="1:29" s="14" customFormat="1" ht="223.5" customHeight="1" x14ac:dyDescent="0.25">
      <c r="A6" s="1406"/>
      <c r="B6" s="1406"/>
      <c r="C6" s="1406"/>
      <c r="D6" s="1366"/>
      <c r="E6" s="1406"/>
      <c r="F6" s="1329" t="s">
        <v>314</v>
      </c>
      <c r="G6" s="1330" t="s">
        <v>315</v>
      </c>
      <c r="H6" s="1406"/>
      <c r="I6" s="1406"/>
      <c r="J6" s="1406"/>
      <c r="K6" s="1329" t="s">
        <v>1464</v>
      </c>
      <c r="L6" s="1329" t="s">
        <v>374</v>
      </c>
      <c r="M6" s="1329" t="s">
        <v>1214</v>
      </c>
      <c r="N6" s="1334" t="s">
        <v>1649</v>
      </c>
      <c r="O6" s="1334" t="s">
        <v>1220</v>
      </c>
      <c r="P6" s="1334" t="s">
        <v>605</v>
      </c>
      <c r="Q6" s="1334" t="s">
        <v>933</v>
      </c>
      <c r="R6" s="1329" t="s">
        <v>1545</v>
      </c>
      <c r="S6" s="1366"/>
      <c r="T6" s="1406"/>
      <c r="U6" s="1406"/>
      <c r="V6" s="1329" t="s">
        <v>668</v>
      </c>
      <c r="W6" s="1329" t="s">
        <v>669</v>
      </c>
      <c r="X6" s="1406"/>
      <c r="Y6" s="1329" t="s">
        <v>16</v>
      </c>
      <c r="Z6" s="1329" t="s">
        <v>670</v>
      </c>
      <c r="AA6" s="1329" t="s">
        <v>364</v>
      </c>
      <c r="AB6" s="1406"/>
      <c r="AC6" s="1406"/>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79" t="s">
        <v>28</v>
      </c>
      <c r="B20" s="1480"/>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row r="21" spans="1:29" x14ac:dyDescent="0.25">
      <c r="E21" s="847">
        <f>E20/C20</f>
        <v>0.79968716361679226</v>
      </c>
      <c r="T21" s="618"/>
    </row>
  </sheetData>
  <mergeCells count="25">
    <mergeCell ref="A20:B20"/>
    <mergeCell ref="AC4:AC6"/>
    <mergeCell ref="I5:I6"/>
    <mergeCell ref="J5:J6"/>
    <mergeCell ref="K5:R5"/>
    <mergeCell ref="U5:U6"/>
    <mergeCell ref="V5:W5"/>
    <mergeCell ref="X5:X6"/>
    <mergeCell ref="Y5:AA5"/>
    <mergeCell ref="H4:H6"/>
    <mergeCell ref="I4:R4"/>
    <mergeCell ref="S4:S6"/>
    <mergeCell ref="U4:W4"/>
    <mergeCell ref="X4:AA4"/>
    <mergeCell ref="AB4:AB6"/>
    <mergeCell ref="A1:AB1"/>
    <mergeCell ref="A3:A6"/>
    <mergeCell ref="B3:B6"/>
    <mergeCell ref="C3:C6"/>
    <mergeCell ref="D3:S3"/>
    <mergeCell ref="T3:T6"/>
    <mergeCell ref="U3:AC3"/>
    <mergeCell ref="D4:D6"/>
    <mergeCell ref="E4:E6"/>
    <mergeCell ref="F4:G5"/>
  </mergeCells>
  <printOptions horizontalCentered="1"/>
  <pageMargins left="0" right="0" top="0.39370078740157483" bottom="0.39370078740157483" header="0.19685039370078741" footer="0.19685039370078741"/>
  <pageSetup paperSize="9" scale="52" orientation="landscape" r:id="rId1"/>
  <headerFooter alignWithMargins="0">
    <oddHeader>&amp;R&amp;A</oddHead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E50"/>
  <sheetViews>
    <sheetView topLeftCell="A2" zoomScale="85" zoomScaleNormal="85" workbookViewId="0">
      <selection activeCell="A3" sqref="A3:E4"/>
    </sheetView>
  </sheetViews>
  <sheetFormatPr defaultRowHeight="13.5" x14ac:dyDescent="0.2"/>
  <cols>
    <col min="1" max="1" width="6.625" style="436" customWidth="1"/>
    <col min="2" max="2" width="80.625" style="436" customWidth="1"/>
    <col min="3" max="3" width="20.625" style="436" customWidth="1"/>
    <col min="4" max="4" width="18.625" style="436" customWidth="1"/>
    <col min="5" max="5" width="17.875" style="436" customWidth="1"/>
    <col min="6" max="16384" width="9" style="436"/>
  </cols>
  <sheetData>
    <row r="1" spans="1:5" ht="69.75" hidden="1" customHeight="1" x14ac:dyDescent="0.2">
      <c r="A1" s="1487" t="s">
        <v>32</v>
      </c>
      <c r="B1" s="1487"/>
      <c r="C1" s="1487"/>
      <c r="D1" s="1487"/>
      <c r="E1" s="1487"/>
    </row>
    <row r="3" spans="1:5" ht="36.75" customHeight="1" x14ac:dyDescent="0.2">
      <c r="A3" s="1488" t="s">
        <v>1397</v>
      </c>
      <c r="B3" s="1489"/>
      <c r="C3" s="1489"/>
      <c r="D3" s="1489"/>
      <c r="E3" s="1489"/>
    </row>
    <row r="4" spans="1:5" x14ac:dyDescent="0.2">
      <c r="E4" s="437" t="s">
        <v>516</v>
      </c>
    </row>
    <row r="5" spans="1:5" s="1336" customFormat="1" ht="31.5" customHeight="1" x14ac:dyDescent="0.25">
      <c r="A5" s="1490" t="s">
        <v>519</v>
      </c>
      <c r="B5" s="1490" t="s">
        <v>33</v>
      </c>
      <c r="C5" s="1490" t="s">
        <v>1398</v>
      </c>
      <c r="D5" s="1490" t="s">
        <v>34</v>
      </c>
      <c r="E5" s="1490"/>
    </row>
    <row r="6" spans="1:5" s="1336" customFormat="1" ht="39" customHeight="1" x14ac:dyDescent="0.25">
      <c r="A6" s="1490"/>
      <c r="B6" s="1490"/>
      <c r="C6" s="1490"/>
      <c r="D6" s="439" t="s">
        <v>482</v>
      </c>
      <c r="E6" s="439" t="s">
        <v>35</v>
      </c>
    </row>
    <row r="7" spans="1:5" ht="35.1" customHeight="1" x14ac:dyDescent="0.2">
      <c r="A7" s="440" t="s">
        <v>407</v>
      </c>
      <c r="B7" s="441" t="s">
        <v>1244</v>
      </c>
      <c r="C7" s="442">
        <f>SUM(D7:E7)</f>
        <v>0</v>
      </c>
      <c r="D7" s="442">
        <f>SUM(D8:D9)</f>
        <v>0</v>
      </c>
      <c r="E7" s="442">
        <f>SUM(E8:E9)</f>
        <v>0</v>
      </c>
    </row>
    <row r="8" spans="1:5" ht="35.1" hidden="1" customHeight="1" x14ac:dyDescent="0.2">
      <c r="A8" s="434">
        <v>1</v>
      </c>
      <c r="B8" s="435" t="s">
        <v>389</v>
      </c>
      <c r="C8" s="443">
        <f>SUM(D8:E8)</f>
        <v>0</v>
      </c>
      <c r="D8" s="443"/>
      <c r="E8" s="443"/>
    </row>
    <row r="9" spans="1:5" ht="35.1" hidden="1" customHeight="1" x14ac:dyDescent="0.2">
      <c r="A9" s="434">
        <v>2</v>
      </c>
      <c r="B9" s="444" t="s">
        <v>319</v>
      </c>
      <c r="C9" s="433">
        <f>SUM(D9:E9)</f>
        <v>0</v>
      </c>
      <c r="D9" s="443"/>
      <c r="E9" s="443"/>
    </row>
    <row r="10" spans="1:5" ht="35.1" customHeight="1" x14ac:dyDescent="0.2">
      <c r="A10" s="445" t="s">
        <v>422</v>
      </c>
      <c r="B10" s="446" t="s">
        <v>36</v>
      </c>
      <c r="C10" s="447">
        <f>SUM(C11,C19)</f>
        <v>1680276</v>
      </c>
      <c r="D10" s="447">
        <f>SUM(D11,D19)</f>
        <v>1263824</v>
      </c>
      <c r="E10" s="447">
        <f>SUM(E11,E19)</f>
        <v>416452</v>
      </c>
    </row>
    <row r="11" spans="1:5" ht="35.1" customHeight="1" x14ac:dyDescent="0.2">
      <c r="A11" s="448" t="s">
        <v>409</v>
      </c>
      <c r="B11" s="449" t="s">
        <v>759</v>
      </c>
      <c r="C11" s="447">
        <f>SUM(C12,C14)</f>
        <v>1263824</v>
      </c>
      <c r="D11" s="447">
        <f>SUM(D12,D14)</f>
        <v>1263824</v>
      </c>
      <c r="E11" s="447">
        <f>SUM(E12,E14)</f>
        <v>0</v>
      </c>
    </row>
    <row r="12" spans="1:5" s="453" customFormat="1" ht="35.1" customHeight="1" x14ac:dyDescent="0.2">
      <c r="A12" s="448">
        <v>1</v>
      </c>
      <c r="B12" s="454" t="s">
        <v>1647</v>
      </c>
      <c r="C12" s="452">
        <f>SUM(D12:E12)</f>
        <v>310000</v>
      </c>
      <c r="D12" s="452">
        <v>310000</v>
      </c>
      <c r="E12" s="452"/>
    </row>
    <row r="13" spans="1:5" s="629" customFormat="1" ht="35.1" hidden="1" customHeight="1" x14ac:dyDescent="0.2">
      <c r="A13" s="626"/>
      <c r="B13" s="627" t="s">
        <v>942</v>
      </c>
      <c r="C13" s="628">
        <f>SUM(D13:E13)</f>
        <v>0</v>
      </c>
      <c r="D13" s="628"/>
      <c r="E13" s="628"/>
    </row>
    <row r="14" spans="1:5" s="453" customFormat="1" ht="48.75" customHeight="1" x14ac:dyDescent="0.2">
      <c r="A14" s="457">
        <v>2</v>
      </c>
      <c r="B14" s="454" t="s">
        <v>1646</v>
      </c>
      <c r="C14" s="452">
        <f>SUM(C15,C18)</f>
        <v>953824</v>
      </c>
      <c r="D14" s="452">
        <f>SUM(D15,D18)</f>
        <v>953824</v>
      </c>
      <c r="E14" s="452">
        <f>SUM(E15,E18)</f>
        <v>0</v>
      </c>
    </row>
    <row r="15" spans="1:5" ht="48.75" hidden="1" customHeight="1" x14ac:dyDescent="0.2">
      <c r="A15" s="450" t="s">
        <v>434</v>
      </c>
      <c r="B15" s="435" t="s">
        <v>1643</v>
      </c>
      <c r="C15" s="433">
        <f>SUM(D15:E15)</f>
        <v>953824</v>
      </c>
      <c r="D15" s="433">
        <v>953824</v>
      </c>
      <c r="E15" s="433">
        <v>0</v>
      </c>
    </row>
    <row r="16" spans="1:5" s="629" customFormat="1" ht="39" customHeight="1" x14ac:dyDescent="0.2">
      <c r="A16" s="1288"/>
      <c r="B16" s="627" t="s">
        <v>1644</v>
      </c>
      <c r="C16" s="628">
        <f>SUM(D16:E16)</f>
        <v>100000</v>
      </c>
      <c r="D16" s="628">
        <v>100000</v>
      </c>
      <c r="E16" s="628"/>
    </row>
    <row r="17" spans="1:5" s="629" customFormat="1" ht="48.75" customHeight="1" x14ac:dyDescent="0.2">
      <c r="A17" s="626"/>
      <c r="B17" s="627" t="s">
        <v>1645</v>
      </c>
      <c r="C17" s="628">
        <f>SUM(D17:E17)</f>
        <v>47155</v>
      </c>
      <c r="D17" s="628">
        <v>47155</v>
      </c>
      <c r="E17" s="628"/>
    </row>
    <row r="18" spans="1:5" ht="35.1" hidden="1" customHeight="1" x14ac:dyDescent="0.2">
      <c r="A18" s="450" t="s">
        <v>435</v>
      </c>
      <c r="B18" s="435" t="s">
        <v>764</v>
      </c>
      <c r="C18" s="433">
        <f>SUM(D18:E18)</f>
        <v>0</v>
      </c>
      <c r="D18" s="433">
        <v>0</v>
      </c>
      <c r="E18" s="433"/>
    </row>
    <row r="19" spans="1:5" ht="35.1" customHeight="1" x14ac:dyDescent="0.2">
      <c r="A19" s="448" t="s">
        <v>421</v>
      </c>
      <c r="B19" s="449" t="s">
        <v>37</v>
      </c>
      <c r="C19" s="447">
        <f>SUM(C20,C30)</f>
        <v>416452</v>
      </c>
      <c r="D19" s="447">
        <f>SUM(D20,D30)</f>
        <v>0</v>
      </c>
      <c r="E19" s="447">
        <f>SUM(E20,E30)</f>
        <v>416452</v>
      </c>
    </row>
    <row r="20" spans="1:5" ht="35.1" customHeight="1" x14ac:dyDescent="0.2">
      <c r="A20" s="448" t="s">
        <v>713</v>
      </c>
      <c r="B20" s="449" t="s">
        <v>714</v>
      </c>
      <c r="C20" s="447">
        <f>SUM(C21:C29)</f>
        <v>309482</v>
      </c>
      <c r="D20" s="447">
        <f>SUM(D21:D29)</f>
        <v>0</v>
      </c>
      <c r="E20" s="447">
        <f>SUM(E21:E29)</f>
        <v>309482</v>
      </c>
    </row>
    <row r="21" spans="1:5" ht="35.1" customHeight="1" x14ac:dyDescent="0.2">
      <c r="A21" s="434">
        <v>1</v>
      </c>
      <c r="B21" s="435" t="s">
        <v>916</v>
      </c>
      <c r="C21" s="433">
        <f t="shared" ref="C21:C48" si="0">SUM(D21:E21)</f>
        <v>18016</v>
      </c>
      <c r="D21" s="433"/>
      <c r="E21" s="433">
        <v>18016</v>
      </c>
    </row>
    <row r="22" spans="1:5" ht="40.5" x14ac:dyDescent="0.2">
      <c r="A22" s="434">
        <v>2</v>
      </c>
      <c r="B22" s="435" t="s">
        <v>1641</v>
      </c>
      <c r="C22" s="433">
        <f t="shared" si="0"/>
        <v>75079</v>
      </c>
      <c r="D22" s="433"/>
      <c r="E22" s="433">
        <v>75079</v>
      </c>
    </row>
    <row r="23" spans="1:5" ht="40.5" x14ac:dyDescent="0.2">
      <c r="A23" s="434">
        <v>3</v>
      </c>
      <c r="B23" s="435" t="s">
        <v>1640</v>
      </c>
      <c r="C23" s="433">
        <f t="shared" si="0"/>
        <v>85460</v>
      </c>
      <c r="D23" s="433"/>
      <c r="E23" s="433">
        <v>85460</v>
      </c>
    </row>
    <row r="24" spans="1:5" ht="40.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27" x14ac:dyDescent="0.2">
      <c r="A27" s="434">
        <v>7</v>
      </c>
      <c r="B27" s="435" t="s">
        <v>1639</v>
      </c>
      <c r="C27" s="433">
        <f>SUM(D27:E27)</f>
        <v>6710</v>
      </c>
      <c r="D27" s="433"/>
      <c r="E27" s="433">
        <v>6710</v>
      </c>
    </row>
    <row r="28" spans="1:5" ht="18.75" customHeight="1" x14ac:dyDescent="0.2">
      <c r="A28" s="434">
        <v>8</v>
      </c>
      <c r="B28" s="435" t="s">
        <v>1642</v>
      </c>
      <c r="C28" s="433">
        <f>SUM(D28:E28)</f>
        <v>5000</v>
      </c>
      <c r="D28" s="433"/>
      <c r="E28" s="433">
        <v>5000</v>
      </c>
    </row>
    <row r="29" spans="1:5" x14ac:dyDescent="0.2">
      <c r="A29" s="434">
        <v>9</v>
      </c>
      <c r="B29" s="435" t="s">
        <v>1638</v>
      </c>
      <c r="C29" s="433">
        <f t="shared" si="0"/>
        <v>71750</v>
      </c>
      <c r="D29" s="433"/>
      <c r="E29" s="433">
        <f>(33750+4250)+33750</f>
        <v>71750</v>
      </c>
    </row>
    <row r="30" spans="1:5" s="456" customFormat="1" ht="35.1" customHeight="1" x14ac:dyDescent="0.2">
      <c r="A30" s="448" t="s">
        <v>715</v>
      </c>
      <c r="B30" s="449" t="s">
        <v>716</v>
      </c>
      <c r="C30" s="455">
        <f>SUM(C31,C32,C41)</f>
        <v>106970</v>
      </c>
      <c r="D30" s="455">
        <f>SUM(D31,D32,D41)</f>
        <v>0</v>
      </c>
      <c r="E30" s="455">
        <f>SUM(E31,E32,E41)</f>
        <v>106970</v>
      </c>
    </row>
    <row r="31" spans="1:5" s="453" customFormat="1" ht="35.1" customHeight="1" x14ac:dyDescent="0.2">
      <c r="A31" s="451" t="s">
        <v>730</v>
      </c>
      <c r="B31" s="454" t="s">
        <v>377</v>
      </c>
      <c r="C31" s="452">
        <f t="shared" si="0"/>
        <v>0</v>
      </c>
      <c r="D31" s="452"/>
      <c r="E31" s="452"/>
    </row>
    <row r="32" spans="1:5" s="453" customFormat="1" ht="35.1" customHeight="1" x14ac:dyDescent="0.2">
      <c r="A32" s="451" t="s">
        <v>731</v>
      </c>
      <c r="B32" s="454" t="s">
        <v>376</v>
      </c>
      <c r="C32" s="452">
        <f>SUM(C33:C40)</f>
        <v>106970</v>
      </c>
      <c r="D32" s="452">
        <f>SUM(D33:D40)</f>
        <v>0</v>
      </c>
      <c r="E32" s="452">
        <f>SUM(E33:E40)</f>
        <v>106970</v>
      </c>
    </row>
    <row r="33" spans="1:5" s="453" customFormat="1" ht="35.1" customHeight="1" x14ac:dyDescent="0.2">
      <c r="A33" s="434">
        <v>1</v>
      </c>
      <c r="B33" s="435" t="s">
        <v>917</v>
      </c>
      <c r="C33" s="433">
        <f>SUM(D33:E33)</f>
        <v>23286</v>
      </c>
      <c r="D33" s="433"/>
      <c r="E33" s="433">
        <v>23286</v>
      </c>
    </row>
    <row r="34" spans="1:5" ht="35.1" hidden="1" customHeight="1" x14ac:dyDescent="0.2">
      <c r="A34" s="434">
        <v>2</v>
      </c>
      <c r="B34" s="435" t="s">
        <v>769</v>
      </c>
      <c r="C34" s="433">
        <f t="shared" si="0"/>
        <v>0</v>
      </c>
      <c r="D34" s="433"/>
      <c r="E34" s="433"/>
    </row>
    <row r="35" spans="1:5" ht="35.1" hidden="1" customHeight="1" x14ac:dyDescent="0.2">
      <c r="A35" s="434">
        <v>3</v>
      </c>
      <c r="B35" s="435" t="s">
        <v>768</v>
      </c>
      <c r="C35" s="433">
        <f t="shared" si="0"/>
        <v>0</v>
      </c>
      <c r="D35" s="433"/>
      <c r="E35" s="433"/>
    </row>
    <row r="36" spans="1:5" ht="35.1" hidden="1" customHeight="1" x14ac:dyDescent="0.2">
      <c r="A36" s="434">
        <v>4</v>
      </c>
      <c r="B36" s="435" t="s">
        <v>1242</v>
      </c>
      <c r="C36" s="433">
        <f t="shared" si="0"/>
        <v>0</v>
      </c>
      <c r="D36" s="433"/>
      <c r="E36" s="433"/>
    </row>
    <row r="37" spans="1:5" ht="35.1" hidden="1" customHeight="1" x14ac:dyDescent="0.2">
      <c r="A37" s="434">
        <v>5</v>
      </c>
      <c r="B37" s="435" t="s">
        <v>1241</v>
      </c>
      <c r="C37" s="433">
        <f t="shared" si="0"/>
        <v>0</v>
      </c>
      <c r="D37" s="433"/>
      <c r="E37" s="433"/>
    </row>
    <row r="38" spans="1:5" s="936" customFormat="1" ht="35.1" customHeight="1" x14ac:dyDescent="0.2">
      <c r="A38" s="434">
        <v>6</v>
      </c>
      <c r="B38" s="435" t="s">
        <v>1240</v>
      </c>
      <c r="C38" s="433">
        <f t="shared" si="0"/>
        <v>4825</v>
      </c>
      <c r="D38" s="433"/>
      <c r="E38" s="433">
        <v>4825</v>
      </c>
    </row>
    <row r="39" spans="1:5" ht="35.1" customHeight="1" x14ac:dyDescent="0.2">
      <c r="A39" s="434">
        <v>7</v>
      </c>
      <c r="B39" s="435" t="s">
        <v>767</v>
      </c>
      <c r="C39" s="433">
        <f t="shared" si="0"/>
        <v>33671</v>
      </c>
      <c r="D39" s="433"/>
      <c r="E39" s="433">
        <v>33671</v>
      </c>
    </row>
    <row r="40" spans="1:5" ht="35.1" customHeight="1" x14ac:dyDescent="0.2">
      <c r="A40" s="434">
        <v>8</v>
      </c>
      <c r="B40" s="435" t="s">
        <v>941</v>
      </c>
      <c r="C40" s="433">
        <f t="shared" si="0"/>
        <v>45188</v>
      </c>
      <c r="D40" s="433"/>
      <c r="E40" s="433">
        <v>45188</v>
      </c>
    </row>
    <row r="41" spans="1:5" s="456" customFormat="1" ht="35.1" customHeight="1" x14ac:dyDescent="0.2">
      <c r="A41" s="448" t="s">
        <v>943</v>
      </c>
      <c r="B41" s="449" t="s">
        <v>945</v>
      </c>
      <c r="C41" s="455">
        <f>SUM(C42:C49)</f>
        <v>0</v>
      </c>
      <c r="D41" s="455">
        <f>SUM(D42:D49)</f>
        <v>0</v>
      </c>
      <c r="E41" s="455">
        <f>SUM(E42:E49)</f>
        <v>0</v>
      </c>
    </row>
    <row r="42" spans="1:5" ht="35.1" hidden="1" customHeight="1" x14ac:dyDescent="0.2">
      <c r="A42" s="434">
        <v>1</v>
      </c>
      <c r="B42" s="435" t="s">
        <v>753</v>
      </c>
      <c r="C42" s="433">
        <f t="shared" si="0"/>
        <v>0</v>
      </c>
      <c r="D42" s="433"/>
      <c r="E42" s="433"/>
    </row>
    <row r="43" spans="1:5" ht="35.1" hidden="1" customHeight="1" x14ac:dyDescent="0.2">
      <c r="A43" s="434">
        <v>2</v>
      </c>
      <c r="B43" s="435" t="s">
        <v>754</v>
      </c>
      <c r="C43" s="433">
        <f t="shared" si="0"/>
        <v>0</v>
      </c>
      <c r="D43" s="433"/>
      <c r="E43" s="433"/>
    </row>
    <row r="44" spans="1:5" ht="35.1" hidden="1" customHeight="1" x14ac:dyDescent="0.2">
      <c r="A44" s="434">
        <v>3</v>
      </c>
      <c r="B44" s="435" t="s">
        <v>755</v>
      </c>
      <c r="C44" s="433">
        <f t="shared" si="0"/>
        <v>0</v>
      </c>
      <c r="D44" s="433"/>
      <c r="E44" s="433"/>
    </row>
    <row r="45" spans="1:5" ht="35.1" hidden="1" customHeight="1" x14ac:dyDescent="0.2">
      <c r="A45" s="434">
        <v>4</v>
      </c>
      <c r="B45" s="435" t="s">
        <v>756</v>
      </c>
      <c r="C45" s="433">
        <f t="shared" si="0"/>
        <v>0</v>
      </c>
      <c r="D45" s="433"/>
      <c r="E45" s="433"/>
    </row>
    <row r="46" spans="1:5" ht="35.1" hidden="1" customHeight="1" x14ac:dyDescent="0.2">
      <c r="A46" s="434">
        <v>5</v>
      </c>
      <c r="B46" s="435" t="s">
        <v>757</v>
      </c>
      <c r="C46" s="433">
        <f t="shared" si="0"/>
        <v>0</v>
      </c>
      <c r="D46" s="433"/>
      <c r="E46" s="433"/>
    </row>
    <row r="47" spans="1:5" ht="35.1" hidden="1" customHeight="1" x14ac:dyDescent="0.2">
      <c r="A47" s="434">
        <v>6</v>
      </c>
      <c r="B47" s="435" t="s">
        <v>758</v>
      </c>
      <c r="C47" s="433">
        <f t="shared" si="0"/>
        <v>0</v>
      </c>
      <c r="D47" s="433"/>
      <c r="E47" s="433"/>
    </row>
    <row r="48" spans="1:5" ht="35.1" hidden="1" customHeight="1" x14ac:dyDescent="0.2">
      <c r="A48" s="434">
        <v>7</v>
      </c>
      <c r="B48" s="435" t="s">
        <v>762</v>
      </c>
      <c r="C48" s="433">
        <f t="shared" si="0"/>
        <v>0</v>
      </c>
      <c r="D48" s="433"/>
      <c r="E48" s="433"/>
    </row>
    <row r="49" spans="1:5" ht="35.1" hidden="1" customHeight="1" x14ac:dyDescent="0.2">
      <c r="A49" s="598">
        <v>8</v>
      </c>
      <c r="B49" s="599" t="s">
        <v>946</v>
      </c>
      <c r="C49" s="600">
        <f>SUM(D49:E49)</f>
        <v>0</v>
      </c>
      <c r="D49" s="600"/>
      <c r="E49" s="600"/>
    </row>
    <row r="50" spans="1:5" ht="35.1" customHeight="1" x14ac:dyDescent="0.2">
      <c r="A50" s="1486" t="s">
        <v>38</v>
      </c>
      <c r="B50" s="1486"/>
      <c r="C50" s="601">
        <f>SUM(C7,C10)</f>
        <v>1680276</v>
      </c>
      <c r="D50" s="601">
        <f>SUM(D7,D10)</f>
        <v>1263824</v>
      </c>
      <c r="E50" s="601">
        <f>SUM(E7,E10)</f>
        <v>416452</v>
      </c>
    </row>
  </sheetData>
  <mergeCells count="7">
    <mergeCell ref="A50:B50"/>
    <mergeCell ref="A1:E1"/>
    <mergeCell ref="A3:E3"/>
    <mergeCell ref="A5:A6"/>
    <mergeCell ref="B5:B6"/>
    <mergeCell ref="C5:C6"/>
    <mergeCell ref="D5:E5"/>
  </mergeCells>
  <printOptions horizontalCentered="1"/>
  <pageMargins left="0" right="0" top="0.39370078740157483" bottom="0.39370078740157483" header="0.19685039370078741" footer="0.19685039370078741"/>
  <pageSetup paperSize="9" scale="65" orientation="portrait" r:id="rId1"/>
  <headerFooter alignWithMargins="0">
    <oddHeader>&amp;R&amp;A</oddHead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S114"/>
  <sheetViews>
    <sheetView zoomScale="90" zoomScaleNormal="90" workbookViewId="0">
      <pane xSplit="4" ySplit="11" topLeftCell="E12" activePane="bottomRight" state="frozen"/>
      <selection activeCell="A3" sqref="A3:E4"/>
      <selection pane="topRight" activeCell="A3" sqref="A3:E4"/>
      <selection pane="bottomLeft" activeCell="A3" sqref="A3:E4"/>
      <selection pane="bottomRight" activeCell="A3" sqref="A3:E4"/>
    </sheetView>
  </sheetViews>
  <sheetFormatPr defaultRowHeight="15.95" customHeight="1" x14ac:dyDescent="0.2"/>
  <cols>
    <col min="1" max="1" width="4.875" style="161" customWidth="1"/>
    <col min="2" max="2" width="46.75" style="79" customWidth="1"/>
    <col min="3" max="3" width="10.625" style="79" customWidth="1"/>
    <col min="4" max="4" width="9.5" style="78" customWidth="1"/>
    <col min="5" max="5" width="8.125" style="79" customWidth="1"/>
    <col min="6" max="17" width="9.625" style="79" customWidth="1"/>
    <col min="18" max="18" width="8.125" style="79" customWidth="1"/>
    <col min="19" max="19" width="9.625" style="78" customWidth="1"/>
    <col min="20" max="16384" width="9" style="79"/>
  </cols>
  <sheetData>
    <row r="1" spans="1:19" ht="12.75" x14ac:dyDescent="0.2">
      <c r="A1" s="1472" t="s">
        <v>1395</v>
      </c>
      <c r="B1" s="1472"/>
      <c r="C1" s="1472"/>
      <c r="D1" s="1472"/>
      <c r="E1" s="1472"/>
      <c r="F1" s="1472"/>
      <c r="G1" s="1472"/>
      <c r="H1" s="1472"/>
      <c r="I1" s="1472"/>
      <c r="J1" s="1472"/>
      <c r="K1" s="1472"/>
      <c r="L1" s="1472"/>
      <c r="M1" s="1472"/>
      <c r="N1" s="1472"/>
      <c r="O1" s="1472"/>
      <c r="P1" s="1472"/>
      <c r="Q1" s="1472"/>
      <c r="R1" s="1472"/>
      <c r="S1" s="1472"/>
    </row>
    <row r="2" spans="1:19" ht="15.95" customHeight="1" x14ac:dyDescent="0.2">
      <c r="P2" s="78" t="s">
        <v>539</v>
      </c>
    </row>
    <row r="3" spans="1:19" ht="12.75" x14ac:dyDescent="0.2">
      <c r="A3" s="1473" t="s">
        <v>519</v>
      </c>
      <c r="B3" s="1462" t="s">
        <v>540</v>
      </c>
      <c r="C3" s="1462" t="s">
        <v>1023</v>
      </c>
      <c r="D3" s="1462"/>
      <c r="E3" s="1462"/>
      <c r="F3" s="1462"/>
      <c r="G3" s="1462"/>
      <c r="H3" s="1462"/>
      <c r="I3" s="1462"/>
      <c r="J3" s="1462"/>
      <c r="K3" s="1462"/>
      <c r="L3" s="1462"/>
      <c r="M3" s="1462"/>
      <c r="N3" s="1462"/>
      <c r="O3" s="1462"/>
      <c r="P3" s="1462"/>
      <c r="Q3" s="1462"/>
      <c r="R3" s="1462"/>
      <c r="S3" s="1462"/>
    </row>
    <row r="4" spans="1:19" ht="12.75" customHeight="1" x14ac:dyDescent="0.2">
      <c r="A4" s="1473"/>
      <c r="B4" s="1462"/>
      <c r="C4" s="1462" t="s">
        <v>750</v>
      </c>
      <c r="D4" s="1474" t="s">
        <v>595</v>
      </c>
      <c r="E4" s="1474"/>
      <c r="F4" s="1474"/>
      <c r="G4" s="1474"/>
      <c r="H4" s="1474"/>
      <c r="I4" s="1474"/>
      <c r="J4" s="1474"/>
      <c r="K4" s="1474"/>
      <c r="L4" s="1474"/>
      <c r="M4" s="1474"/>
      <c r="N4" s="1474"/>
      <c r="O4" s="1474"/>
      <c r="P4" s="1474"/>
      <c r="Q4" s="1464" t="s">
        <v>735</v>
      </c>
      <c r="R4" s="1465"/>
      <c r="S4" s="1466"/>
    </row>
    <row r="5" spans="1:19" ht="12.75" customHeight="1" x14ac:dyDescent="0.2">
      <c r="A5" s="1473"/>
      <c r="B5" s="1462"/>
      <c r="C5" s="1462"/>
      <c r="D5" s="1462" t="s">
        <v>235</v>
      </c>
      <c r="E5" s="1474" t="s">
        <v>541</v>
      </c>
      <c r="F5" s="1474"/>
      <c r="G5" s="1474"/>
      <c r="H5" s="1474"/>
      <c r="I5" s="1474"/>
      <c r="J5" s="1474"/>
      <c r="K5" s="1474"/>
      <c r="L5" s="1474"/>
      <c r="M5" s="1474"/>
      <c r="N5" s="1474"/>
      <c r="O5" s="1474"/>
      <c r="P5" s="1474"/>
      <c r="Q5" s="1467" t="s">
        <v>751</v>
      </c>
      <c r="R5" s="1470" t="s">
        <v>596</v>
      </c>
      <c r="S5" s="1471"/>
    </row>
    <row r="6" spans="1:19" ht="21.75" customHeight="1" x14ac:dyDescent="0.2">
      <c r="A6" s="1473"/>
      <c r="B6" s="1462"/>
      <c r="C6" s="1462"/>
      <c r="D6" s="1462"/>
      <c r="E6" s="1462" t="s">
        <v>542</v>
      </c>
      <c r="F6" s="1462" t="s">
        <v>584</v>
      </c>
      <c r="G6" s="1462" t="s">
        <v>585</v>
      </c>
      <c r="H6" s="1462" t="s">
        <v>586</v>
      </c>
      <c r="I6" s="1462" t="s">
        <v>587</v>
      </c>
      <c r="J6" s="1462" t="s">
        <v>588</v>
      </c>
      <c r="K6" s="1462" t="s">
        <v>543</v>
      </c>
      <c r="L6" s="1462" t="s">
        <v>589</v>
      </c>
      <c r="M6" s="1462" t="s">
        <v>590</v>
      </c>
      <c r="N6" s="1462" t="s">
        <v>591</v>
      </c>
      <c r="O6" s="1462" t="s">
        <v>592</v>
      </c>
      <c r="P6" s="1462" t="s">
        <v>593</v>
      </c>
      <c r="Q6" s="1468"/>
      <c r="R6" s="1467" t="s">
        <v>711</v>
      </c>
      <c r="S6" s="1467" t="s">
        <v>1487</v>
      </c>
    </row>
    <row r="7" spans="1:19" ht="98.25" customHeight="1" x14ac:dyDescent="0.2">
      <c r="A7" s="1473"/>
      <c r="B7" s="1462"/>
      <c r="C7" s="1462"/>
      <c r="D7" s="1463"/>
      <c r="E7" s="1462"/>
      <c r="F7" s="1462"/>
      <c r="G7" s="1462"/>
      <c r="H7" s="1462"/>
      <c r="I7" s="1462"/>
      <c r="J7" s="1462"/>
      <c r="K7" s="1462"/>
      <c r="L7" s="1462"/>
      <c r="M7" s="1462"/>
      <c r="N7" s="1462"/>
      <c r="O7" s="1462"/>
      <c r="P7" s="1462"/>
      <c r="Q7" s="1469"/>
      <c r="R7" s="1469"/>
      <c r="S7" s="1469"/>
    </row>
    <row r="8" spans="1:19" s="1333" customFormat="1" ht="18"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19" ht="24.95" customHeight="1"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19" ht="24.95" customHeight="1"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row>
    <row r="11" spans="1:19" s="78" customFormat="1" ht="24.95" customHeight="1"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row>
    <row r="12" spans="1:19" s="78" customFormat="1" ht="24.95" customHeight="1"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19" s="78" customFormat="1" ht="24.95" customHeight="1"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19" s="78" customFormat="1" ht="24.95" customHeight="1"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19" s="78" customFormat="1" ht="24.95" customHeight="1"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19" s="78" customFormat="1" ht="24.95" customHeight="1"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s="78" customFormat="1" ht="24.95" customHeight="1"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s="78" customFormat="1" ht="24.95" customHeight="1"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s="78" customFormat="1" ht="24.95" customHeight="1"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s="78" customFormat="1" ht="24.95" customHeight="1"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s="78" customFormat="1" ht="24.95" customHeight="1"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s="78" customFormat="1" ht="24.95" customHeight="1"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s="78" customFormat="1" ht="24.95" customHeight="1"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s="78" customFormat="1" ht="24.95" customHeight="1"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s="78" customFormat="1" ht="24.95" customHeight="1"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s="78" customFormat="1" ht="24.95" customHeight="1"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s="78" customFormat="1" ht="24.95" customHeight="1"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s="78" customFormat="1" ht="24.95" customHeight="1"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s="78" customFormat="1" ht="24.95" customHeight="1"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s="78" customFormat="1" ht="24.95" customHeight="1"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s="78" customFormat="1" ht="24.95" customHeight="1"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s="78" customFormat="1" ht="24.95" customHeight="1"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s="78" customFormat="1" ht="24.95" customHeight="1"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s="78" customFormat="1" ht="24.95" customHeight="1"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s="78" customFormat="1" ht="24.95" customHeight="1"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s="78" customFormat="1" ht="24.95" customHeight="1"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s="78" customFormat="1" ht="24.95" customHeight="1"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s="78" customFormat="1" ht="24.95" customHeight="1"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s="78" customFormat="1" ht="24.95" customHeight="1"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s="78" customFormat="1" ht="24.95" customHeight="1"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s="242" customFormat="1" ht="24.95" customHeight="1"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s="242" customFormat="1" ht="24.95" customHeight="1"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s="242" customFormat="1" ht="24.95" customHeight="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s="242" customFormat="1" ht="24.95" customHeight="1"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24.95" customHeight="1"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s="140" customFormat="1" ht="24.95" customHeight="1"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s="140" customFormat="1" ht="24.95" customHeight="1"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24.95" customHeight="1"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24.95" customHeight="1"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24.95" customHeight="1"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24.95" customHeight="1"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24.95" customHeight="1"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s="140" customFormat="1" ht="24.95" customHeight="1"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24.95" customHeight="1"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24.95" customHeight="1"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24.95" customHeight="1"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24.95" customHeight="1"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24.95" customHeight="1"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24.95" customHeight="1"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24.95" customHeight="1"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s="140" customFormat="1" ht="24.95" customHeight="1"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24.95" customHeight="1"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24.95" customHeight="1"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24.95" customHeight="1"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s="140" customFormat="1" ht="24.95" customHeight="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s="205" customFormat="1" ht="24.95" hidden="1" customHeight="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24.95" hidden="1" customHeight="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24.95" hidden="1" customHeight="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24.95" hidden="1" customHeight="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24.95" hidden="1" customHeight="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24.95" hidden="1" customHeight="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4.95" hidden="1" customHeight="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24.95" hidden="1" customHeight="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s="205" customFormat="1" ht="24.95" hidden="1" customHeight="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s="205" customFormat="1" ht="24.95" hidden="1" customHeight="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94" si="23">R75+S75</f>
        <v>0</v>
      </c>
      <c r="R75" s="418"/>
      <c r="S75" s="418"/>
    </row>
    <row r="76" spans="1:19" ht="24.95" hidden="1" customHeight="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24.95" hidden="1" customHeight="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24.95" hidden="1" customHeight="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24.95" hidden="1" customHeight="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s="205" customFormat="1" ht="24.95" hidden="1" customHeight="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24.95" hidden="1" customHeight="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24.95" hidden="1" customHeight="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si="23"/>
        <v>0</v>
      </c>
      <c r="R82" s="418"/>
      <c r="S82" s="418"/>
    </row>
    <row r="83" spans="1:19" ht="24.95" hidden="1" customHeight="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3"/>
        <v>0</v>
      </c>
      <c r="R83" s="418"/>
      <c r="S83" s="418"/>
    </row>
    <row r="84" spans="1:19" ht="24.95" hidden="1" customHeight="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3"/>
        <v>0</v>
      </c>
      <c r="R84" s="418"/>
      <c r="S84" s="418"/>
    </row>
    <row r="85" spans="1:19" ht="24.95" hidden="1" customHeight="1" x14ac:dyDescent="0.2">
      <c r="A85" s="939">
        <v>62</v>
      </c>
      <c r="B85" s="181" t="s">
        <v>500</v>
      </c>
      <c r="C85" s="417">
        <f t="shared" si="17"/>
        <v>0</v>
      </c>
      <c r="D85" s="417">
        <f t="shared" ref="D85:D90" si="24">SUM(E85:P85)</f>
        <v>0</v>
      </c>
      <c r="E85" s="418"/>
      <c r="F85" s="418"/>
      <c r="G85" s="418"/>
      <c r="H85" s="418"/>
      <c r="I85" s="418"/>
      <c r="J85" s="418"/>
      <c r="K85" s="418"/>
      <c r="L85" s="418"/>
      <c r="M85" s="418"/>
      <c r="N85" s="418"/>
      <c r="O85" s="418"/>
      <c r="P85" s="418"/>
      <c r="Q85" s="418">
        <f t="shared" si="23"/>
        <v>0</v>
      </c>
      <c r="R85" s="418"/>
      <c r="S85" s="418"/>
    </row>
    <row r="86" spans="1:19" ht="24.95" hidden="1" customHeight="1" x14ac:dyDescent="0.2">
      <c r="A86" s="939">
        <v>63</v>
      </c>
      <c r="B86" s="181" t="s">
        <v>765</v>
      </c>
      <c r="C86" s="417">
        <f>D86+Q86</f>
        <v>0</v>
      </c>
      <c r="D86" s="417">
        <f t="shared" si="24"/>
        <v>0</v>
      </c>
      <c r="E86" s="418"/>
      <c r="F86" s="418"/>
      <c r="G86" s="418"/>
      <c r="H86" s="418"/>
      <c r="I86" s="418"/>
      <c r="J86" s="418"/>
      <c r="K86" s="418"/>
      <c r="L86" s="418"/>
      <c r="M86" s="418"/>
      <c r="N86" s="418"/>
      <c r="O86" s="418"/>
      <c r="P86" s="418"/>
      <c r="Q86" s="418">
        <f>R86+S86</f>
        <v>0</v>
      </c>
      <c r="R86" s="418"/>
      <c r="S86" s="418"/>
    </row>
    <row r="87" spans="1:19" ht="24.95" hidden="1" customHeight="1" x14ac:dyDescent="0.2">
      <c r="A87" s="939">
        <v>64</v>
      </c>
      <c r="B87" s="181" t="s">
        <v>766</v>
      </c>
      <c r="C87" s="417">
        <f>D87+Q87</f>
        <v>0</v>
      </c>
      <c r="D87" s="417">
        <f t="shared" si="24"/>
        <v>0</v>
      </c>
      <c r="E87" s="418"/>
      <c r="F87" s="418"/>
      <c r="G87" s="418"/>
      <c r="H87" s="418"/>
      <c r="I87" s="418"/>
      <c r="J87" s="418"/>
      <c r="K87" s="418"/>
      <c r="L87" s="418"/>
      <c r="M87" s="418"/>
      <c r="N87" s="418"/>
      <c r="O87" s="418"/>
      <c r="P87" s="418"/>
      <c r="Q87" s="418">
        <f>R87+S87</f>
        <v>0</v>
      </c>
      <c r="R87" s="418"/>
      <c r="S87" s="418"/>
    </row>
    <row r="88" spans="1:19" ht="24.95" hidden="1" customHeight="1" x14ac:dyDescent="0.2">
      <c r="A88" s="939">
        <v>65</v>
      </c>
      <c r="B88" s="953" t="s">
        <v>1356</v>
      </c>
      <c r="C88" s="417">
        <f t="shared" si="17"/>
        <v>0</v>
      </c>
      <c r="D88" s="417">
        <f t="shared" si="24"/>
        <v>0</v>
      </c>
      <c r="E88" s="421"/>
      <c r="F88" s="421"/>
      <c r="G88" s="421"/>
      <c r="H88" s="421"/>
      <c r="I88" s="421"/>
      <c r="J88" s="421"/>
      <c r="K88" s="421"/>
      <c r="L88" s="421"/>
      <c r="M88" s="421"/>
      <c r="N88" s="421"/>
      <c r="O88" s="421"/>
      <c r="P88" s="421"/>
      <c r="Q88" s="421">
        <f t="shared" si="23"/>
        <v>0</v>
      </c>
      <c r="R88" s="421"/>
      <c r="S88" s="421"/>
    </row>
    <row r="89" spans="1:19" ht="24.95" hidden="1" customHeight="1" x14ac:dyDescent="0.2">
      <c r="A89" s="939">
        <v>66</v>
      </c>
      <c r="B89" s="953" t="s">
        <v>1357</v>
      </c>
      <c r="C89" s="417">
        <f t="shared" si="17"/>
        <v>0</v>
      </c>
      <c r="D89" s="417">
        <f t="shared" si="24"/>
        <v>0</v>
      </c>
      <c r="E89" s="421"/>
      <c r="F89" s="421"/>
      <c r="G89" s="421"/>
      <c r="H89" s="421"/>
      <c r="I89" s="421"/>
      <c r="J89" s="421"/>
      <c r="K89" s="421"/>
      <c r="L89" s="421"/>
      <c r="M89" s="421"/>
      <c r="N89" s="421"/>
      <c r="O89" s="421"/>
      <c r="P89" s="421"/>
      <c r="Q89" s="421">
        <f t="shared" si="23"/>
        <v>0</v>
      </c>
      <c r="R89" s="421"/>
      <c r="S89" s="421"/>
    </row>
    <row r="90" spans="1:19" ht="24.95" hidden="1" customHeight="1" x14ac:dyDescent="0.2">
      <c r="A90" s="939">
        <v>67</v>
      </c>
      <c r="B90" s="953" t="s">
        <v>1358</v>
      </c>
      <c r="C90" s="417">
        <f t="shared" si="17"/>
        <v>0</v>
      </c>
      <c r="D90" s="417">
        <f t="shared" si="24"/>
        <v>0</v>
      </c>
      <c r="E90" s="421"/>
      <c r="F90" s="421"/>
      <c r="G90" s="421"/>
      <c r="H90" s="421"/>
      <c r="I90" s="421"/>
      <c r="J90" s="421"/>
      <c r="K90" s="421"/>
      <c r="L90" s="421"/>
      <c r="M90" s="421"/>
      <c r="N90" s="421"/>
      <c r="O90" s="421"/>
      <c r="P90" s="421"/>
      <c r="Q90" s="421">
        <f t="shared" si="23"/>
        <v>0</v>
      </c>
      <c r="R90" s="421"/>
      <c r="S90" s="421"/>
    </row>
    <row r="91" spans="1:19" ht="24.95" hidden="1" customHeight="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3"/>
        <v>0</v>
      </c>
      <c r="R91" s="418"/>
      <c r="S91" s="418"/>
    </row>
    <row r="92" spans="1:19" ht="24.95" hidden="1" customHeight="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3"/>
        <v>0</v>
      </c>
      <c r="R92" s="418"/>
      <c r="S92" s="418"/>
    </row>
    <row r="93" spans="1:19" ht="24.95" hidden="1" customHeight="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3"/>
        <v>0</v>
      </c>
      <c r="R93" s="418"/>
      <c r="S93" s="418"/>
    </row>
    <row r="94" spans="1:19" ht="24.95" hidden="1" customHeight="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3"/>
        <v>0</v>
      </c>
      <c r="R94" s="418"/>
      <c r="S94" s="418"/>
    </row>
    <row r="95" spans="1:19" s="205" customFormat="1" ht="24.95" customHeight="1" x14ac:dyDescent="0.2">
      <c r="A95" s="206">
        <v>3</v>
      </c>
      <c r="B95" s="951" t="s">
        <v>600</v>
      </c>
      <c r="C95" s="422">
        <f>SUM(C96:C104)</f>
        <v>408362</v>
      </c>
      <c r="D95" s="422">
        <f t="shared" ref="D95:S95" si="25">SUM(D96:D104)</f>
        <v>408362</v>
      </c>
      <c r="E95" s="422">
        <f t="shared" si="25"/>
        <v>0</v>
      </c>
      <c r="F95" s="422">
        <f t="shared" si="25"/>
        <v>0</v>
      </c>
      <c r="G95" s="422">
        <f t="shared" si="25"/>
        <v>0</v>
      </c>
      <c r="H95" s="422">
        <f t="shared" si="25"/>
        <v>15000</v>
      </c>
      <c r="I95" s="422">
        <f t="shared" si="25"/>
        <v>373362</v>
      </c>
      <c r="J95" s="422">
        <f t="shared" si="25"/>
        <v>0</v>
      </c>
      <c r="K95" s="422">
        <f t="shared" si="25"/>
        <v>0</v>
      </c>
      <c r="L95" s="422">
        <f t="shared" si="25"/>
        <v>0</v>
      </c>
      <c r="M95" s="422">
        <f t="shared" si="25"/>
        <v>20000</v>
      </c>
      <c r="N95" s="422">
        <f t="shared" si="25"/>
        <v>0</v>
      </c>
      <c r="O95" s="422">
        <f t="shared" si="25"/>
        <v>0</v>
      </c>
      <c r="P95" s="422">
        <f t="shared" si="25"/>
        <v>0</v>
      </c>
      <c r="Q95" s="422">
        <f t="shared" si="25"/>
        <v>0</v>
      </c>
      <c r="R95" s="422">
        <f t="shared" si="25"/>
        <v>0</v>
      </c>
      <c r="S95" s="422">
        <f t="shared" si="25"/>
        <v>0</v>
      </c>
    </row>
    <row r="96" spans="1:19" ht="24.95" hidden="1" customHeight="1" x14ac:dyDescent="0.2">
      <c r="A96" s="944">
        <v>72</v>
      </c>
      <c r="B96" s="950" t="s">
        <v>387</v>
      </c>
      <c r="C96" s="417">
        <f t="shared" si="17"/>
        <v>0</v>
      </c>
      <c r="D96" s="417">
        <f t="shared" ref="D96:D104" si="26">SUM(E96:P96)</f>
        <v>0</v>
      </c>
      <c r="E96" s="418"/>
      <c r="F96" s="418"/>
      <c r="G96" s="418"/>
      <c r="H96" s="418"/>
      <c r="I96" s="418"/>
      <c r="J96" s="418"/>
      <c r="K96" s="418"/>
      <c r="L96" s="418"/>
      <c r="M96" s="418"/>
      <c r="N96" s="418"/>
      <c r="O96" s="418"/>
      <c r="P96" s="418"/>
      <c r="Q96" s="418">
        <f>R96+S96</f>
        <v>0</v>
      </c>
      <c r="R96" s="418"/>
      <c r="S96" s="418"/>
    </row>
    <row r="97" spans="1:19" ht="24.95" hidden="1" customHeight="1" x14ac:dyDescent="0.2">
      <c r="A97" s="944">
        <v>73</v>
      </c>
      <c r="B97" s="207" t="s">
        <v>388</v>
      </c>
      <c r="C97" s="417">
        <f t="shared" si="17"/>
        <v>0</v>
      </c>
      <c r="D97" s="417">
        <f t="shared" si="26"/>
        <v>0</v>
      </c>
      <c r="E97" s="418"/>
      <c r="F97" s="418"/>
      <c r="G97" s="418"/>
      <c r="H97" s="418"/>
      <c r="I97" s="418"/>
      <c r="J97" s="418"/>
      <c r="K97" s="418"/>
      <c r="L97" s="418"/>
      <c r="M97" s="418"/>
      <c r="N97" s="418"/>
      <c r="O97" s="418"/>
      <c r="P97" s="418"/>
      <c r="Q97" s="418">
        <f t="shared" ref="Q97:Q104" si="27">R97+S97</f>
        <v>0</v>
      </c>
      <c r="R97" s="418"/>
      <c r="S97" s="418"/>
    </row>
    <row r="98" spans="1:19" ht="24.95" hidden="1" customHeight="1" x14ac:dyDescent="0.2">
      <c r="A98" s="944">
        <v>74</v>
      </c>
      <c r="B98" s="950" t="s">
        <v>1363</v>
      </c>
      <c r="C98" s="417">
        <f t="shared" si="17"/>
        <v>0</v>
      </c>
      <c r="D98" s="417">
        <f t="shared" si="26"/>
        <v>0</v>
      </c>
      <c r="E98" s="418"/>
      <c r="F98" s="418"/>
      <c r="G98" s="418"/>
      <c r="H98" s="418"/>
      <c r="I98" s="418"/>
      <c r="J98" s="418"/>
      <c r="K98" s="418"/>
      <c r="L98" s="418"/>
      <c r="M98" s="418"/>
      <c r="N98" s="418"/>
      <c r="O98" s="418"/>
      <c r="P98" s="418"/>
      <c r="Q98" s="418">
        <f t="shared" si="27"/>
        <v>0</v>
      </c>
      <c r="R98" s="418"/>
      <c r="S98" s="418"/>
    </row>
    <row r="99" spans="1:19" ht="24.95" hidden="1" customHeight="1" x14ac:dyDescent="0.2">
      <c r="A99" s="944">
        <v>75</v>
      </c>
      <c r="B99" s="950" t="s">
        <v>338</v>
      </c>
      <c r="C99" s="417">
        <f t="shared" si="17"/>
        <v>0</v>
      </c>
      <c r="D99" s="417">
        <f t="shared" si="26"/>
        <v>0</v>
      </c>
      <c r="E99" s="418"/>
      <c r="F99" s="418"/>
      <c r="G99" s="418"/>
      <c r="H99" s="418"/>
      <c r="I99" s="418"/>
      <c r="J99" s="418"/>
      <c r="K99" s="418"/>
      <c r="L99" s="418"/>
      <c r="M99" s="418"/>
      <c r="N99" s="418"/>
      <c r="O99" s="418"/>
      <c r="P99" s="418"/>
      <c r="Q99" s="418">
        <f t="shared" si="27"/>
        <v>0</v>
      </c>
      <c r="R99" s="418"/>
      <c r="S99" s="418"/>
    </row>
    <row r="100" spans="1:19" ht="24.95" hidden="1" customHeight="1" x14ac:dyDescent="0.2">
      <c r="A100" s="944">
        <v>76</v>
      </c>
      <c r="B100" s="950" t="s">
        <v>233</v>
      </c>
      <c r="C100" s="417">
        <f t="shared" si="17"/>
        <v>0</v>
      </c>
      <c r="D100" s="417">
        <f t="shared" si="26"/>
        <v>0</v>
      </c>
      <c r="E100" s="418"/>
      <c r="F100" s="418"/>
      <c r="G100" s="418"/>
      <c r="H100" s="418"/>
      <c r="I100" s="418"/>
      <c r="J100" s="418"/>
      <c r="K100" s="418"/>
      <c r="L100" s="418"/>
      <c r="M100" s="418"/>
      <c r="N100" s="418"/>
      <c r="O100" s="418"/>
      <c r="P100" s="418"/>
      <c r="Q100" s="418">
        <f t="shared" si="27"/>
        <v>0</v>
      </c>
      <c r="R100" s="418"/>
      <c r="S100" s="418"/>
    </row>
    <row r="101" spans="1:19" ht="24.95" hidden="1" customHeight="1" x14ac:dyDescent="0.2">
      <c r="A101" s="944">
        <v>77</v>
      </c>
      <c r="B101" s="950" t="s">
        <v>606</v>
      </c>
      <c r="C101" s="417">
        <f t="shared" si="17"/>
        <v>0</v>
      </c>
      <c r="D101" s="417">
        <f t="shared" si="26"/>
        <v>0</v>
      </c>
      <c r="E101" s="418"/>
      <c r="F101" s="418"/>
      <c r="G101" s="418"/>
      <c r="H101" s="418"/>
      <c r="I101" s="418"/>
      <c r="J101" s="418"/>
      <c r="K101" s="418"/>
      <c r="L101" s="418"/>
      <c r="M101" s="418"/>
      <c r="N101" s="418"/>
      <c r="O101" s="418"/>
      <c r="P101" s="418"/>
      <c r="Q101" s="418">
        <f t="shared" si="27"/>
        <v>0</v>
      </c>
      <c r="R101" s="418"/>
      <c r="S101" s="418"/>
    </row>
    <row r="102" spans="1:19" ht="24.95" customHeight="1" x14ac:dyDescent="0.2">
      <c r="A102" s="944">
        <v>78</v>
      </c>
      <c r="B102" s="950" t="s">
        <v>603</v>
      </c>
      <c r="C102" s="417">
        <f>D102+Q102</f>
        <v>373362</v>
      </c>
      <c r="D102" s="417">
        <f t="shared" si="26"/>
        <v>373362</v>
      </c>
      <c r="E102" s="418"/>
      <c r="F102" s="418"/>
      <c r="G102" s="418"/>
      <c r="H102" s="418"/>
      <c r="I102" s="418">
        <f>(39503+64000+127226+44735+14000+344+1554+80000+1200+800)</f>
        <v>373362</v>
      </c>
      <c r="J102" s="418"/>
      <c r="K102" s="418"/>
      <c r="L102" s="418"/>
      <c r="M102" s="418"/>
      <c r="N102" s="418"/>
      <c r="O102" s="418"/>
      <c r="P102" s="418"/>
      <c r="Q102" s="418">
        <f t="shared" si="27"/>
        <v>0</v>
      </c>
      <c r="R102" s="418"/>
      <c r="S102" s="418"/>
    </row>
    <row r="103" spans="1:19" ht="24.95" customHeight="1" x14ac:dyDescent="0.2">
      <c r="A103" s="944">
        <v>79</v>
      </c>
      <c r="B103" s="950" t="s">
        <v>1218</v>
      </c>
      <c r="C103" s="417">
        <f>D103+Q103</f>
        <v>35000</v>
      </c>
      <c r="D103" s="417">
        <f t="shared" si="26"/>
        <v>35000</v>
      </c>
      <c r="E103" s="418"/>
      <c r="F103" s="418"/>
      <c r="G103" s="418"/>
      <c r="H103" s="418">
        <v>15000</v>
      </c>
      <c r="I103" s="418"/>
      <c r="J103" s="418"/>
      <c r="K103" s="418"/>
      <c r="L103" s="418"/>
      <c r="M103" s="418">
        <v>20000</v>
      </c>
      <c r="N103" s="418"/>
      <c r="O103" s="418"/>
      <c r="P103" s="418"/>
      <c r="Q103" s="418">
        <f t="shared" si="27"/>
        <v>0</v>
      </c>
      <c r="R103" s="418"/>
      <c r="S103" s="418"/>
    </row>
    <row r="104" spans="1:19" ht="24.95" hidden="1" customHeight="1" x14ac:dyDescent="0.2">
      <c r="A104" s="944">
        <v>80</v>
      </c>
      <c r="B104" s="950" t="s">
        <v>521</v>
      </c>
      <c r="C104" s="417">
        <f t="shared" si="17"/>
        <v>0</v>
      </c>
      <c r="D104" s="417">
        <f t="shared" si="26"/>
        <v>0</v>
      </c>
      <c r="E104" s="418"/>
      <c r="F104" s="418"/>
      <c r="G104" s="418"/>
      <c r="H104" s="418"/>
      <c r="I104" s="418"/>
      <c r="J104" s="418"/>
      <c r="K104" s="418"/>
      <c r="L104" s="418"/>
      <c r="M104" s="418"/>
      <c r="N104" s="418"/>
      <c r="O104" s="418"/>
      <c r="P104" s="418"/>
      <c r="Q104" s="418">
        <f t="shared" si="27"/>
        <v>0</v>
      </c>
      <c r="R104" s="418"/>
      <c r="S104" s="418"/>
    </row>
    <row r="105" spans="1:19" s="140" customFormat="1" ht="24.95" customHeight="1"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s="140" customFormat="1" ht="24.95" customHeight="1"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s="140" customFormat="1" ht="24.95" customHeight="1"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s="140" customFormat="1" ht="24.95" customHeight="1"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s="140" customFormat="1" ht="24.95" customHeight="1"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s="140" customFormat="1" ht="24.95" customHeight="1"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s="140" customFormat="1" ht="24.95" customHeight="1"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s="140" customFormat="1" ht="24.95" customHeight="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s="140" customFormat="1" ht="24.95" customHeight="1"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4.95" customHeight="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sheetData>
  <mergeCells count="25">
    <mergeCell ref="O6:O7"/>
    <mergeCell ref="P6:P7"/>
    <mergeCell ref="R6:R7"/>
    <mergeCell ref="S6:S7"/>
    <mergeCell ref="J6:J7"/>
    <mergeCell ref="K6:K7"/>
    <mergeCell ref="L6:L7"/>
    <mergeCell ref="M6:M7"/>
    <mergeCell ref="N6:N7"/>
    <mergeCell ref="A1:S1"/>
    <mergeCell ref="A3:A7"/>
    <mergeCell ref="B3:B7"/>
    <mergeCell ref="C3:S3"/>
    <mergeCell ref="C4:C7"/>
    <mergeCell ref="D4:P4"/>
    <mergeCell ref="Q4:S4"/>
    <mergeCell ref="D5:D7"/>
    <mergeCell ref="E5:P5"/>
    <mergeCell ref="Q5:Q7"/>
    <mergeCell ref="R5:S5"/>
    <mergeCell ref="E6:E7"/>
    <mergeCell ref="F6:F7"/>
    <mergeCell ref="G6:G7"/>
    <mergeCell ref="H6:H7"/>
    <mergeCell ref="I6:I7"/>
  </mergeCells>
  <hyperlinks>
    <hyperlink ref="E41" r:id="rId1" display="..\DutoanNSNN2020\Stc\QLDN\Lập dự toán 2020.xls"/>
  </hyperlinks>
  <printOptions horizontalCentered="1"/>
  <pageMargins left="0" right="0" top="0.39370078740157483" bottom="0.19685039370078741" header="0" footer="0"/>
  <pageSetup paperSize="9" scale="51" fitToHeight="2" orientation="landscape" r:id="rId2"/>
  <headerFooter alignWithMargins="0">
    <oddHeader>&amp;RPhụ lục số 4</oddHeader>
  </headerFooter>
  <drawing r:id="rId3"/>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pageSetUpPr fitToPage="1"/>
  </sheetPr>
  <dimension ref="A1:D42"/>
  <sheetViews>
    <sheetView topLeftCell="A4" workbookViewId="0">
      <selection activeCell="A4" sqref="A4:C4"/>
    </sheetView>
  </sheetViews>
  <sheetFormatPr defaultRowHeight="15.75" x14ac:dyDescent="0.25"/>
  <cols>
    <col min="1" max="1" width="4.875" customWidth="1"/>
    <col min="2" max="2" width="60.25" customWidth="1"/>
    <col min="3" max="3" width="18" customWidth="1"/>
    <col min="4" max="4" width="9.625" bestFit="1"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ht="56.25" customHeight="1" x14ac:dyDescent="0.25">
      <c r="A4" s="1530" t="s">
        <v>1597</v>
      </c>
      <c r="B4" s="1409"/>
      <c r="C4" s="1409"/>
    </row>
    <row r="5" spans="1:3" x14ac:dyDescent="0.25">
      <c r="A5" s="71"/>
      <c r="B5" s="71"/>
      <c r="C5" s="71"/>
    </row>
    <row r="6" spans="1:3" x14ac:dyDescent="0.25">
      <c r="A6" s="71"/>
      <c r="C6" s="52" t="s">
        <v>516</v>
      </c>
    </row>
    <row r="7" spans="1:3" s="72" customFormat="1" ht="45.75" customHeight="1" x14ac:dyDescent="0.25">
      <c r="A7" s="233" t="s">
        <v>40</v>
      </c>
      <c r="B7" s="233" t="s">
        <v>517</v>
      </c>
      <c r="C7" s="2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14" customFormat="1" ht="20.100000000000001" customHeight="1" x14ac:dyDescent="0.25">
      <c r="A10" s="234" t="s">
        <v>564</v>
      </c>
      <c r="B10" s="236" t="s">
        <v>311</v>
      </c>
      <c r="C10" s="386"/>
    </row>
    <row r="11" spans="1:3" s="86" customFormat="1" ht="20.100000000000001" customHeight="1" x14ac:dyDescent="0.25">
      <c r="A11" s="93" t="s">
        <v>564</v>
      </c>
      <c r="B11" s="94" t="s">
        <v>351</v>
      </c>
      <c r="C11" s="387">
        <f>'Phụ lục số 1'!N44</f>
        <v>750000</v>
      </c>
    </row>
    <row r="12" spans="1:3" s="14" customFormat="1" ht="20.100000000000001" customHeight="1" x14ac:dyDescent="0.25">
      <c r="A12" s="93" t="s">
        <v>564</v>
      </c>
      <c r="B12" s="94" t="s">
        <v>226</v>
      </c>
      <c r="C12" s="387">
        <f>'Phụ lục số 1'!N51</f>
        <v>1500000</v>
      </c>
    </row>
    <row r="13" spans="1:3" s="40" customFormat="1" ht="20.100000000000001" customHeight="1" x14ac:dyDescent="0.25">
      <c r="A13" s="87" t="s">
        <v>421</v>
      </c>
      <c r="B13" s="88" t="s">
        <v>219</v>
      </c>
      <c r="C13" s="385">
        <f>'Phụ lục số 1'!N52</f>
        <v>105000</v>
      </c>
    </row>
    <row r="14" spans="1:3" s="95" customFormat="1" ht="20.100000000000001" customHeight="1" x14ac:dyDescent="0.25">
      <c r="A14" s="89" t="s">
        <v>422</v>
      </c>
      <c r="B14" s="90" t="s">
        <v>925</v>
      </c>
      <c r="C14" s="388">
        <f>SUM(C15,C18,C22,C23)</f>
        <v>14124109</v>
      </c>
    </row>
    <row r="15" spans="1:3" s="95" customFormat="1" ht="20.100000000000001" customHeight="1" x14ac:dyDescent="0.25">
      <c r="A15" s="87" t="s">
        <v>409</v>
      </c>
      <c r="B15" s="88" t="s">
        <v>220</v>
      </c>
      <c r="C15" s="385">
        <f>'Phụ lục số 1'!Q12</f>
        <v>6480440</v>
      </c>
    </row>
    <row r="16" spans="1:3" s="40" customFormat="1" ht="20.100000000000001" customHeight="1" x14ac:dyDescent="0.25">
      <c r="A16" s="93" t="s">
        <v>434</v>
      </c>
      <c r="B16" s="94" t="s">
        <v>221</v>
      </c>
      <c r="C16" s="387">
        <f>C15-C17</f>
        <v>3144040</v>
      </c>
    </row>
    <row r="17" spans="1:4"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4" s="95" customFormat="1" ht="20.100000000000001" customHeight="1" x14ac:dyDescent="0.25">
      <c r="A18" s="87" t="s">
        <v>421</v>
      </c>
      <c r="B18" s="88" t="s">
        <v>223</v>
      </c>
      <c r="C18" s="385">
        <f>SUM(C19:C20)</f>
        <v>6765596</v>
      </c>
    </row>
    <row r="19" spans="1:4" s="95" customFormat="1" ht="20.100000000000001" customHeight="1" x14ac:dyDescent="0.25">
      <c r="A19" s="93" t="s">
        <v>434</v>
      </c>
      <c r="B19" s="94" t="s">
        <v>532</v>
      </c>
      <c r="C19" s="387">
        <f>'Phụ lục số 1'!Q56</f>
        <v>4883126</v>
      </c>
    </row>
    <row r="20" spans="1:4" s="95" customFormat="1" ht="20.100000000000001" customHeight="1" x14ac:dyDescent="0.25">
      <c r="A20" s="93" t="s">
        <v>435</v>
      </c>
      <c r="B20" s="94" t="s">
        <v>533</v>
      </c>
      <c r="C20" s="387">
        <f>'Phụ lục số 1'!Q57</f>
        <v>1882470</v>
      </c>
      <c r="D20" s="959"/>
    </row>
    <row r="21" spans="1:4" s="14" customFormat="1" ht="20.100000000000001" customHeight="1" x14ac:dyDescent="0.25">
      <c r="A21" s="960" t="s">
        <v>224</v>
      </c>
      <c r="B21" s="961" t="s">
        <v>602</v>
      </c>
      <c r="C21" s="962">
        <f>'Phụ lục số 1'!N61+('Phụ lục số 1'!N60-'Phụ lục số 2'!K40)</f>
        <v>511676</v>
      </c>
      <c r="D21" s="594"/>
    </row>
    <row r="22" spans="1:4" s="14" customFormat="1" ht="20.100000000000001" customHeight="1" x14ac:dyDescent="0.25">
      <c r="A22" s="87" t="s">
        <v>449</v>
      </c>
      <c r="B22" s="88" t="s">
        <v>225</v>
      </c>
      <c r="C22" s="385">
        <f>'Phụ lục số 1'!Q62</f>
        <v>816873</v>
      </c>
    </row>
    <row r="23" spans="1:4" s="86" customFormat="1" ht="20.100000000000001" customHeight="1" x14ac:dyDescent="0.25">
      <c r="A23" s="87" t="s">
        <v>450</v>
      </c>
      <c r="B23" s="88" t="s">
        <v>924</v>
      </c>
      <c r="C23" s="385">
        <f>'Phụ lục số 1'!Q63</f>
        <v>61200</v>
      </c>
    </row>
    <row r="24" spans="1:4" s="14" customFormat="1" ht="20.100000000000001" customHeight="1" x14ac:dyDescent="0.25">
      <c r="A24" s="89" t="s">
        <v>426</v>
      </c>
      <c r="B24" s="90" t="s">
        <v>926</v>
      </c>
      <c r="C24" s="388">
        <f>SUM(C25,C38,C42)</f>
        <v>14124109</v>
      </c>
    </row>
    <row r="25" spans="1:4" ht="20.100000000000001" customHeight="1" x14ac:dyDescent="0.25">
      <c r="A25" s="87" t="s">
        <v>409</v>
      </c>
      <c r="B25" s="88" t="s">
        <v>506</v>
      </c>
      <c r="C25" s="385">
        <f>SUM(C26,C30,C34,C35,C36,C37)</f>
        <v>12692115</v>
      </c>
    </row>
    <row r="26" spans="1:4" ht="20.100000000000001" customHeight="1" x14ac:dyDescent="0.25">
      <c r="A26" s="87">
        <v>1</v>
      </c>
      <c r="B26" s="88" t="s">
        <v>227</v>
      </c>
      <c r="C26" s="385">
        <f>'Phụ lục số 2'!K13</f>
        <v>3381485</v>
      </c>
    </row>
    <row r="27" spans="1:4" ht="20.100000000000001" customHeight="1" x14ac:dyDescent="0.25">
      <c r="A27" s="202" t="s">
        <v>564</v>
      </c>
      <c r="B27" s="203" t="s">
        <v>311</v>
      </c>
      <c r="C27" s="390"/>
    </row>
    <row r="28" spans="1:4" s="204" customFormat="1" ht="20.100000000000001" customHeight="1" x14ac:dyDescent="0.25">
      <c r="A28" s="199" t="s">
        <v>564</v>
      </c>
      <c r="B28" s="200" t="s">
        <v>381</v>
      </c>
      <c r="C28" s="389">
        <f>C11</f>
        <v>750000</v>
      </c>
    </row>
    <row r="29" spans="1:4" s="204" customFormat="1" ht="20.100000000000001" customHeight="1" x14ac:dyDescent="0.25">
      <c r="A29" s="199" t="s">
        <v>564</v>
      </c>
      <c r="B29" s="200" t="s">
        <v>510</v>
      </c>
      <c r="C29" s="389">
        <f>C12</f>
        <v>1500000</v>
      </c>
    </row>
    <row r="30" spans="1:4" ht="20.100000000000001" customHeight="1" x14ac:dyDescent="0.25">
      <c r="A30" s="87">
        <v>2</v>
      </c>
      <c r="B30" s="88" t="s">
        <v>460</v>
      </c>
      <c r="C30" s="385">
        <f>'Phụ lục số 2'!K18</f>
        <v>8465821</v>
      </c>
    </row>
    <row r="31" spans="1:4" ht="20.100000000000001" customHeight="1" x14ac:dyDescent="0.25">
      <c r="A31" s="202" t="s">
        <v>564</v>
      </c>
      <c r="B31" s="203" t="s">
        <v>311</v>
      </c>
      <c r="C31" s="390"/>
    </row>
    <row r="32" spans="1:4" ht="20.100000000000001" customHeight="1" x14ac:dyDescent="0.25">
      <c r="A32" s="199" t="s">
        <v>564</v>
      </c>
      <c r="B32" s="200" t="s">
        <v>385</v>
      </c>
      <c r="C32" s="389">
        <f>'Phụ lục số 2'!K23</f>
        <v>3653191</v>
      </c>
    </row>
    <row r="33" spans="1:3" ht="20.100000000000001" customHeight="1" x14ac:dyDescent="0.25">
      <c r="A33" s="199" t="s">
        <v>564</v>
      </c>
      <c r="B33" s="200" t="s">
        <v>386</v>
      </c>
      <c r="C33" s="389">
        <f>'Phụ lục số 2'!K22</f>
        <v>31000</v>
      </c>
    </row>
    <row r="34" spans="1:3" ht="20.100000000000001" customHeight="1" x14ac:dyDescent="0.25">
      <c r="A34" s="87">
        <v>3</v>
      </c>
      <c r="B34" s="88" t="s">
        <v>300</v>
      </c>
      <c r="C34" s="385">
        <f>'Phụ lục số 2'!K32</f>
        <v>2000</v>
      </c>
    </row>
    <row r="35" spans="1:3" s="40" customFormat="1" ht="20.100000000000001" customHeight="1" x14ac:dyDescent="0.25">
      <c r="A35" s="87">
        <v>4</v>
      </c>
      <c r="B35" s="88" t="s">
        <v>487</v>
      </c>
      <c r="C35" s="385">
        <f>'Phụ lục số 2'!K33</f>
        <v>233960</v>
      </c>
    </row>
    <row r="36" spans="1:3" s="14" customFormat="1" ht="20.100000000000001" customHeight="1" x14ac:dyDescent="0.25">
      <c r="A36" s="87">
        <v>5</v>
      </c>
      <c r="B36" s="88" t="s">
        <v>526</v>
      </c>
      <c r="C36" s="385">
        <f>'Phụ lục số 2'!K35</f>
        <v>606749</v>
      </c>
    </row>
    <row r="37" spans="1:3" s="14" customFormat="1" ht="20.100000000000001" customHeight="1" x14ac:dyDescent="0.25">
      <c r="A37" s="87">
        <v>6</v>
      </c>
      <c r="B37" s="26" t="s">
        <v>732</v>
      </c>
      <c r="C37" s="385">
        <f>'Phụ lục số 2'!K36</f>
        <v>2100</v>
      </c>
    </row>
    <row r="38" spans="1:3" s="14" customFormat="1" ht="20.100000000000001" customHeight="1" x14ac:dyDescent="0.25">
      <c r="A38" s="87" t="s">
        <v>421</v>
      </c>
      <c r="B38" s="98" t="s">
        <v>229</v>
      </c>
      <c r="C38" s="385">
        <f>SUM(C39:C41)</f>
        <v>1370794</v>
      </c>
    </row>
    <row r="39" spans="1:3" s="14" customFormat="1" ht="20.100000000000001" customHeight="1" x14ac:dyDescent="0.25">
      <c r="A39" s="202">
        <v>1</v>
      </c>
      <c r="B39" s="24" t="s">
        <v>599</v>
      </c>
      <c r="C39" s="390">
        <f>'Phụ lục số 2'!K38</f>
        <v>0</v>
      </c>
    </row>
    <row r="40" spans="1:3" s="14" customFormat="1" ht="20.100000000000001" customHeight="1" x14ac:dyDescent="0.25">
      <c r="A40" s="202">
        <v>2</v>
      </c>
      <c r="B40" s="24" t="s">
        <v>508</v>
      </c>
      <c r="C40" s="390">
        <f>'Phụ lục số 2'!K39</f>
        <v>1263824</v>
      </c>
    </row>
    <row r="41" spans="1:3" s="14" customFormat="1" ht="20.100000000000001" customHeight="1" x14ac:dyDescent="0.25">
      <c r="A41" s="202">
        <v>3</v>
      </c>
      <c r="B41" s="24" t="s">
        <v>509</v>
      </c>
      <c r="C41" s="390">
        <f>'Phụ lục số 2'!K40</f>
        <v>106970</v>
      </c>
    </row>
    <row r="42" spans="1:3" s="14" customFormat="1" x14ac:dyDescent="0.25">
      <c r="A42" s="595" t="s">
        <v>449</v>
      </c>
      <c r="B42" s="320" t="s">
        <v>920</v>
      </c>
      <c r="C42" s="596">
        <f>'Phụ lục số 2'!K41</f>
        <v>61200</v>
      </c>
    </row>
  </sheetData>
  <customSheetViews>
    <customSheetView guid="{88621519-296E-4458-B04E-813E881018FE}" hiddenRows="1" topLeftCell="A37">
      <selection activeCell="B46" sqref="B46:E4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4" orientation="portrait" r:id="rId2"/>
  <headerFooter alignWithMargins="0">
    <oddHeader>&amp;R&amp;A</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C37"/>
  <sheetViews>
    <sheetView topLeftCell="A4" workbookViewId="0">
      <selection activeCell="A4" sqref="A4:C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ht="47.25" x14ac:dyDescent="0.25">
      <c r="A4" s="175" t="s">
        <v>1598</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25" t="s">
        <v>40</v>
      </c>
      <c r="B7" s="1525" t="s">
        <v>454</v>
      </c>
      <c r="C7" s="1526" t="s">
        <v>1589</v>
      </c>
    </row>
    <row r="8" spans="1:3" s="121" customFormat="1" ht="42" customHeight="1" x14ac:dyDescent="0.25">
      <c r="A8" s="1525"/>
      <c r="B8" s="1525"/>
      <c r="C8" s="1527"/>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128" t="s">
        <v>301</v>
      </c>
      <c r="C11" s="397">
        <f>'Phụ lục số 1'!N15</f>
        <v>210000</v>
      </c>
    </row>
    <row r="12" spans="1:3" s="129" customFormat="1" x14ac:dyDescent="0.25">
      <c r="A12" s="127">
        <v>2</v>
      </c>
      <c r="B12" s="128" t="s">
        <v>302</v>
      </c>
      <c r="C12" s="397">
        <f>'Phụ lục số 1'!N21</f>
        <v>535000</v>
      </c>
    </row>
    <row r="13" spans="1:3" s="129" customFormat="1" x14ac:dyDescent="0.25">
      <c r="A13" s="127">
        <v>3</v>
      </c>
      <c r="B13" s="128" t="s">
        <v>303</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128" t="s">
        <v>417</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128" t="s">
        <v>45</v>
      </c>
      <c r="C23" s="397">
        <f>'Phụ lục số 1'!N50</f>
        <v>3000</v>
      </c>
    </row>
    <row r="24" spans="1:3" s="131" customFormat="1" x14ac:dyDescent="0.25">
      <c r="A24" s="127">
        <v>14</v>
      </c>
      <c r="B24" s="208" t="s">
        <v>226</v>
      </c>
      <c r="C24" s="397">
        <f>'Phụ lục số 1'!N51</f>
        <v>1500000</v>
      </c>
    </row>
    <row r="25" spans="1:3" s="131" customFormat="1" x14ac:dyDescent="0.25">
      <c r="A25" s="356">
        <v>15</v>
      </c>
      <c r="B25" s="208" t="s">
        <v>1349</v>
      </c>
      <c r="C25" s="399">
        <f>'Phụ lục số 1'!N48</f>
        <v>11000</v>
      </c>
    </row>
    <row r="26" spans="1:3" s="131" customFormat="1" x14ac:dyDescent="0.25">
      <c r="A26" s="356">
        <v>16</v>
      </c>
      <c r="B26" s="208" t="s">
        <v>633</v>
      </c>
      <c r="C26" s="399">
        <f>'Phụ lục số 1'!N49</f>
        <v>70000</v>
      </c>
    </row>
    <row r="27" spans="1:3" s="124" customFormat="1" x14ac:dyDescent="0.25">
      <c r="A27" s="125" t="s">
        <v>421</v>
      </c>
      <c r="B27" s="126" t="s">
        <v>537</v>
      </c>
      <c r="C27" s="400">
        <f>'Phụ lục số 1'!N52</f>
        <v>105000</v>
      </c>
    </row>
    <row r="28" spans="1:3" s="131" customFormat="1" hidden="1" x14ac:dyDescent="0.25">
      <c r="A28" s="125"/>
      <c r="B28" s="90" t="s">
        <v>225</v>
      </c>
      <c r="C28" s="396">
        <f>'Phụ lục số 1'!N62</f>
        <v>816873</v>
      </c>
    </row>
    <row r="29" spans="1:3" s="131" customFormat="1" ht="15.75" customHeight="1" x14ac:dyDescent="0.25">
      <c r="A29" s="125" t="s">
        <v>422</v>
      </c>
      <c r="B29" s="263" t="s">
        <v>929</v>
      </c>
      <c r="C29" s="400">
        <f>SUM(C30,C33,C36,C37)</f>
        <v>14124109</v>
      </c>
    </row>
    <row r="30" spans="1:3" s="131" customFormat="1" x14ac:dyDescent="0.25">
      <c r="A30" s="133" t="s">
        <v>409</v>
      </c>
      <c r="B30" s="134" t="s">
        <v>304</v>
      </c>
      <c r="C30" s="401">
        <f>SUM(C31:C32)</f>
        <v>6480440</v>
      </c>
    </row>
    <row r="31" spans="1:3" s="130"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29" customFormat="1" x14ac:dyDescent="0.25">
      <c r="A33" s="133" t="s">
        <v>421</v>
      </c>
      <c r="B33" s="134" t="s">
        <v>423</v>
      </c>
      <c r="C33" s="402">
        <f>SUM(C34:C35)</f>
        <v>6765596</v>
      </c>
    </row>
    <row r="34" spans="1:3" s="130"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29" customFormat="1" x14ac:dyDescent="0.25">
      <c r="A36" s="133" t="s">
        <v>449</v>
      </c>
      <c r="B36" s="88" t="s">
        <v>299</v>
      </c>
      <c r="C36" s="402">
        <f>C28</f>
        <v>816873</v>
      </c>
    </row>
    <row r="37" spans="1:3" s="130" customFormat="1" x14ac:dyDescent="0.25">
      <c r="A37" s="135" t="s">
        <v>450</v>
      </c>
      <c r="B37" s="597" t="s">
        <v>919</v>
      </c>
      <c r="C37" s="406">
        <f>'Phụ lục số 1- HĐND'!C23</f>
        <v>61200</v>
      </c>
    </row>
  </sheetData>
  <customSheetViews>
    <customSheetView guid="{88621519-296E-4458-B04E-813E881018FE}" hiddenRows="1" topLeftCell="A7">
      <selection activeCell="B46" sqref="B46:E4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92D050"/>
    <pageSetUpPr fitToPage="1"/>
  </sheetPr>
  <dimension ref="A1:DW52"/>
  <sheetViews>
    <sheetView topLeftCell="A4" workbookViewId="0">
      <selection activeCell="A4" sqref="A4:C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28" t="s">
        <v>216</v>
      </c>
      <c r="C1" s="1528"/>
      <c r="D1" s="1528"/>
      <c r="E1" s="12"/>
    </row>
    <row r="2" spans="1:5" s="14" customFormat="1" hidden="1" x14ac:dyDescent="0.25">
      <c r="B2" s="1528" t="s">
        <v>217</v>
      </c>
      <c r="C2" s="1528"/>
      <c r="D2" s="1528"/>
      <c r="E2" s="12"/>
    </row>
    <row r="3" spans="1:5" s="14" customFormat="1" hidden="1" x14ac:dyDescent="0.25">
      <c r="B3" s="13"/>
      <c r="C3" s="1409"/>
      <c r="D3" s="1409"/>
      <c r="E3" s="1409"/>
    </row>
    <row r="4" spans="1:5" s="14" customFormat="1" ht="56.25" customHeight="1" x14ac:dyDescent="0.25">
      <c r="A4" s="1530" t="s">
        <v>1599</v>
      </c>
      <c r="B4" s="1409"/>
      <c r="C4" s="1409"/>
      <c r="D4" s="1409"/>
      <c r="E4" s="1409"/>
    </row>
    <row r="5" spans="1:5" x14ac:dyDescent="0.25">
      <c r="E5" s="136" t="s">
        <v>516</v>
      </c>
    </row>
    <row r="6" spans="1:5" s="14" customFormat="1" ht="15.75" customHeight="1" x14ac:dyDescent="0.25">
      <c r="A6" s="1406" t="s">
        <v>40</v>
      </c>
      <c r="B6" s="1491" t="s">
        <v>517</v>
      </c>
      <c r="C6" s="1461" t="s">
        <v>1411</v>
      </c>
      <c r="D6" s="1461"/>
      <c r="E6" s="1461"/>
    </row>
    <row r="7" spans="1:5" s="14" customFormat="1" x14ac:dyDescent="0.25">
      <c r="A7" s="1491"/>
      <c r="B7" s="1491"/>
      <c r="C7" s="1491" t="s">
        <v>404</v>
      </c>
      <c r="D7" s="1461" t="s">
        <v>308</v>
      </c>
      <c r="E7" s="1461"/>
    </row>
    <row r="8" spans="1:5" s="72" customFormat="1" ht="78.75" customHeight="1" x14ac:dyDescent="0.25">
      <c r="A8" s="1491"/>
      <c r="B8" s="1491"/>
      <c r="C8" s="1491"/>
      <c r="D8" s="233" t="s">
        <v>309</v>
      </c>
      <c r="E8" s="233" t="s">
        <v>1592</v>
      </c>
    </row>
    <row r="9" spans="1:5" s="86" customFormat="1" ht="20.100000000000001" customHeight="1" x14ac:dyDescent="0.25">
      <c r="A9" s="99"/>
      <c r="B9" s="38" t="s">
        <v>930</v>
      </c>
      <c r="C9" s="212">
        <f>SUM(C10,C15,C29,C30,C31,C32,C33,C34)</f>
        <v>14124109</v>
      </c>
      <c r="D9" s="212">
        <f>SUM(D10,D15,D29,D30,D31,D32,D33,D34)</f>
        <v>6671100</v>
      </c>
      <c r="E9" s="212">
        <f>SUM(E10,E15,E29,E30,E31,E32,E33,E34)</f>
        <v>7453009</v>
      </c>
    </row>
    <row r="10" spans="1:5" s="86" customFormat="1" ht="20.100000000000001" customHeight="1" x14ac:dyDescent="0.25">
      <c r="A10" s="89" t="s">
        <v>409</v>
      </c>
      <c r="B10" s="90" t="s">
        <v>610</v>
      </c>
      <c r="C10" s="225">
        <f>SUM(D10:E10)</f>
        <v>3381485</v>
      </c>
      <c r="D10" s="225">
        <f>SUM(D12:D14)</f>
        <v>2226239</v>
      </c>
      <c r="E10" s="225">
        <f>SUM(E12:E14)</f>
        <v>1155246</v>
      </c>
    </row>
    <row r="11" spans="1:5" s="95" customFormat="1" ht="20.100000000000001" customHeight="1" x14ac:dyDescent="0.25">
      <c r="A11" s="202"/>
      <c r="B11" s="236" t="s">
        <v>242</v>
      </c>
      <c r="C11" s="404"/>
      <c r="D11" s="404"/>
      <c r="E11" s="404"/>
    </row>
    <row r="12" spans="1:5" ht="20.100000000000001" customHeight="1" x14ac:dyDescent="0.25">
      <c r="A12" s="91">
        <v>1</v>
      </c>
      <c r="B12" s="92" t="s">
        <v>380</v>
      </c>
      <c r="C12" s="405">
        <f>SUM(D12:E12)</f>
        <v>1131485</v>
      </c>
      <c r="D12" s="405">
        <f>'Phụ lục số 2'!N14</f>
        <v>626239</v>
      </c>
      <c r="E12" s="405">
        <f>'Phụ lục số 2'!O14</f>
        <v>505246</v>
      </c>
    </row>
    <row r="13" spans="1:5" ht="20.100000000000001" customHeight="1" x14ac:dyDescent="0.25">
      <c r="A13" s="91">
        <v>2</v>
      </c>
      <c r="B13" s="92" t="s">
        <v>381</v>
      </c>
      <c r="C13" s="405">
        <f>SUM(D13:E13)</f>
        <v>750000</v>
      </c>
      <c r="D13" s="405">
        <f>'Phụ lục số 2'!N15</f>
        <v>100000</v>
      </c>
      <c r="E13" s="405">
        <f>'Phụ lục số 2'!O15</f>
        <v>650000</v>
      </c>
    </row>
    <row r="14" spans="1:5" ht="20.100000000000001" customHeight="1" x14ac:dyDescent="0.25">
      <c r="A14" s="91">
        <v>3</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v>1</v>
      </c>
      <c r="B17" s="92" t="s">
        <v>382</v>
      </c>
      <c r="C17" s="405">
        <f t="shared" ref="C17:C34" si="0">SUM(D17:E17)</f>
        <v>3653191</v>
      </c>
      <c r="D17" s="405">
        <f>'Phụ lục số 2'!N23</f>
        <v>777729</v>
      </c>
      <c r="E17" s="405">
        <f>'Phụ lục số 2'!O23</f>
        <v>2875462</v>
      </c>
    </row>
    <row r="18" spans="1:5" ht="20.100000000000001" customHeight="1" x14ac:dyDescent="0.25">
      <c r="A18" s="91">
        <v>2</v>
      </c>
      <c r="B18" s="92" t="s">
        <v>383</v>
      </c>
      <c r="C18" s="405">
        <f t="shared" si="0"/>
        <v>31000</v>
      </c>
      <c r="D18" s="405">
        <f>'Phụ lục số 2'!N22</f>
        <v>31000</v>
      </c>
      <c r="E18" s="405">
        <f>'Phụ lục số 2'!O22</f>
        <v>0</v>
      </c>
    </row>
    <row r="19" spans="1:5" ht="20.100000000000001" customHeight="1" x14ac:dyDescent="0.25">
      <c r="A19" s="91">
        <v>3</v>
      </c>
      <c r="B19" s="92" t="s">
        <v>384</v>
      </c>
      <c r="C19" s="405">
        <f t="shared" si="0"/>
        <v>143470</v>
      </c>
      <c r="D19" s="405">
        <f>'Phụ lục số 2'!N20</f>
        <v>62000</v>
      </c>
      <c r="E19" s="405">
        <f>'Phụ lục số 2'!O20</f>
        <v>81470</v>
      </c>
    </row>
    <row r="20" spans="1:5" s="209" customFormat="1" ht="20.100000000000001" customHeight="1" x14ac:dyDescent="0.25">
      <c r="A20" s="234">
        <v>4</v>
      </c>
      <c r="B20" s="208" t="s">
        <v>285</v>
      </c>
      <c r="C20" s="405">
        <f t="shared" si="0"/>
        <v>1604001</v>
      </c>
      <c r="D20" s="219">
        <f>'Phụ lục số 2'!N19</f>
        <v>483000</v>
      </c>
      <c r="E20" s="219">
        <f>'Phụ lục số 2'!O19</f>
        <v>1121001</v>
      </c>
    </row>
    <row r="21" spans="1:5" ht="20.100000000000001" customHeight="1" x14ac:dyDescent="0.25">
      <c r="A21" s="91">
        <v>5</v>
      </c>
      <c r="B21" s="208" t="s">
        <v>439</v>
      </c>
      <c r="C21" s="405">
        <f t="shared" si="0"/>
        <v>770000</v>
      </c>
      <c r="D21" s="405">
        <f>'Phụ lục số 2'!N24</f>
        <v>770000</v>
      </c>
      <c r="E21" s="405">
        <f>'Phụ lục số 2'!O24</f>
        <v>0</v>
      </c>
    </row>
    <row r="22" spans="1:5" ht="20.100000000000001" customHeight="1" x14ac:dyDescent="0.25">
      <c r="A22" s="234">
        <v>6</v>
      </c>
      <c r="B22" s="208" t="s">
        <v>441</v>
      </c>
      <c r="C22" s="405">
        <f t="shared" si="0"/>
        <v>77733</v>
      </c>
      <c r="D22" s="405">
        <f>'Phụ lục số 2'!N25</f>
        <v>40000</v>
      </c>
      <c r="E22" s="405">
        <f>'Phụ lục số 2'!O25</f>
        <v>37733</v>
      </c>
    </row>
    <row r="23" spans="1:5" ht="20.100000000000001" customHeight="1" x14ac:dyDescent="0.25">
      <c r="A23" s="91">
        <v>7</v>
      </c>
      <c r="B23" s="208" t="s">
        <v>443</v>
      </c>
      <c r="C23" s="405">
        <f t="shared" si="0"/>
        <v>36574</v>
      </c>
      <c r="D23" s="405">
        <f>'Phụ lục số 2'!N26</f>
        <v>7000</v>
      </c>
      <c r="E23" s="405">
        <f>'Phụ lục số 2'!O26</f>
        <v>29574</v>
      </c>
    </row>
    <row r="24" spans="1:5" ht="20.100000000000001" customHeight="1" x14ac:dyDescent="0.25">
      <c r="A24" s="234">
        <v>8</v>
      </c>
      <c r="B24" s="208" t="s">
        <v>445</v>
      </c>
      <c r="C24" s="405">
        <f t="shared" si="0"/>
        <v>34237</v>
      </c>
      <c r="D24" s="405">
        <f>'Phụ lục số 2'!N27</f>
        <v>22000</v>
      </c>
      <c r="E24" s="405">
        <f>'Phụ lục số 2'!O27</f>
        <v>12237</v>
      </c>
    </row>
    <row r="25" spans="1:5" ht="20.100000000000001" customHeight="1" x14ac:dyDescent="0.25">
      <c r="A25" s="91">
        <v>9</v>
      </c>
      <c r="B25" s="208" t="s">
        <v>446</v>
      </c>
      <c r="C25" s="405">
        <f t="shared" si="0"/>
        <v>427859</v>
      </c>
      <c r="D25" s="405">
        <f>'Phụ lục số 2'!N28</f>
        <v>75000</v>
      </c>
      <c r="E25" s="405">
        <f>'Phụ lục số 2'!O28</f>
        <v>352859</v>
      </c>
    </row>
    <row r="26" spans="1:5" s="209" customFormat="1" ht="20.100000000000001" customHeight="1" x14ac:dyDescent="0.25">
      <c r="A26" s="234">
        <v>10</v>
      </c>
      <c r="B26" s="208" t="s">
        <v>447</v>
      </c>
      <c r="C26" s="219">
        <f t="shared" si="0"/>
        <v>1351525</v>
      </c>
      <c r="D26" s="405">
        <f>'Phụ lục số 2'!N29</f>
        <v>450000</v>
      </c>
      <c r="E26" s="405">
        <f>'Phụ lục số 2'!O29</f>
        <v>901525</v>
      </c>
    </row>
    <row r="27" spans="1:5" s="209" customFormat="1" ht="20.100000000000001" customHeight="1" x14ac:dyDescent="0.25">
      <c r="A27" s="91">
        <v>11</v>
      </c>
      <c r="B27" s="208" t="s">
        <v>598</v>
      </c>
      <c r="C27" s="219">
        <f t="shared" si="0"/>
        <v>271557</v>
      </c>
      <c r="D27" s="405">
        <f>'Phụ lục số 2'!N30</f>
        <v>140000</v>
      </c>
      <c r="E27" s="405">
        <f>'Phụ lục số 2'!O30</f>
        <v>131557</v>
      </c>
    </row>
    <row r="28" spans="1:5" s="209" customFormat="1" ht="20.100000000000001" customHeight="1" x14ac:dyDescent="0.25">
      <c r="A28" s="234">
        <v>12</v>
      </c>
      <c r="B28" s="208" t="s">
        <v>507</v>
      </c>
      <c r="C28" s="219">
        <f t="shared" si="0"/>
        <v>64674</v>
      </c>
      <c r="D28" s="405">
        <f>'Phụ lục số 2'!N31</f>
        <v>30000</v>
      </c>
      <c r="E28" s="405">
        <f>'Phụ lục số 2'!O31</f>
        <v>34674</v>
      </c>
    </row>
    <row r="29" spans="1:5" s="86" customFormat="1" ht="20.100000000000001" customHeight="1" x14ac:dyDescent="0.25">
      <c r="A29" s="89" t="s">
        <v>449</v>
      </c>
      <c r="B29" s="137" t="s">
        <v>228</v>
      </c>
      <c r="C29" s="225">
        <f t="shared" si="0"/>
        <v>2000</v>
      </c>
      <c r="D29" s="225">
        <f>'Phụ lục số 2'!N32</f>
        <v>2000</v>
      </c>
      <c r="E29" s="225">
        <f>'Phụ lục số 2'!O32</f>
        <v>0</v>
      </c>
    </row>
    <row r="30" spans="1:5" s="86" customFormat="1" ht="20.100000000000001" customHeight="1" x14ac:dyDescent="0.25">
      <c r="A30" s="89" t="s">
        <v>450</v>
      </c>
      <c r="B30" s="90" t="s">
        <v>487</v>
      </c>
      <c r="C30" s="225">
        <f t="shared" si="0"/>
        <v>233960</v>
      </c>
      <c r="D30" s="225">
        <f>'Phụ lục số 2'!N33</f>
        <v>121038</v>
      </c>
      <c r="E30" s="225">
        <f>'Phụ lục số 2'!O33</f>
        <v>112922</v>
      </c>
    </row>
    <row r="31" spans="1:5" s="86" customFormat="1" ht="20.100000000000001" customHeight="1" x14ac:dyDescent="0.25">
      <c r="A31" s="89" t="s">
        <v>472</v>
      </c>
      <c r="B31" s="90" t="s">
        <v>526</v>
      </c>
      <c r="C31" s="225">
        <f t="shared" si="0"/>
        <v>606749</v>
      </c>
      <c r="D31" s="225">
        <f>'Phụ lục số 2'!N35</f>
        <v>0</v>
      </c>
      <c r="E31" s="225">
        <f>'Phụ lục số 2'!O35</f>
        <v>606749</v>
      </c>
    </row>
    <row r="32" spans="1:5" s="86" customFormat="1" ht="20.100000000000001" customHeight="1" x14ac:dyDescent="0.25">
      <c r="A32" s="89" t="s">
        <v>473</v>
      </c>
      <c r="B32" s="41" t="s">
        <v>732</v>
      </c>
      <c r="C32" s="225">
        <f t="shared" si="0"/>
        <v>2100</v>
      </c>
      <c r="D32" s="225">
        <f>'Phụ lục số 2'!N36</f>
        <v>2100</v>
      </c>
      <c r="E32" s="225">
        <f>'Phụ lục số 2'!O36</f>
        <v>0</v>
      </c>
    </row>
    <row r="33" spans="1:127" s="86" customFormat="1" ht="20.100000000000001" customHeight="1" x14ac:dyDescent="0.25">
      <c r="A33" s="101" t="s">
        <v>512</v>
      </c>
      <c r="B33" s="102" t="s">
        <v>312</v>
      </c>
      <c r="C33" s="225">
        <f t="shared" si="0"/>
        <v>1370794</v>
      </c>
      <c r="D33" s="225">
        <f>'Phụ lục số 2'!N37</f>
        <v>1370794</v>
      </c>
      <c r="E33" s="225">
        <f>'Phụ lục số 2'!O37</f>
        <v>0</v>
      </c>
    </row>
    <row r="34" spans="1:127" s="86" customFormat="1" ht="20.100000000000001" customHeight="1" x14ac:dyDescent="0.25">
      <c r="A34" s="138" t="s">
        <v>513</v>
      </c>
      <c r="B34" s="649" t="s">
        <v>920</v>
      </c>
      <c r="C34" s="35">
        <f t="shared" si="0"/>
        <v>61200</v>
      </c>
      <c r="D34" s="35">
        <f>'Phụ lục số 2'!N41</f>
        <v>61200</v>
      </c>
      <c r="E34" s="35">
        <f>'Phụ lục số 2'!O41</f>
        <v>0</v>
      </c>
    </row>
    <row r="35" spans="1:127" x14ac:dyDescent="0.25">
      <c r="B35" s="140" t="s">
        <v>452</v>
      </c>
      <c r="C35" s="79"/>
      <c r="D35" s="79"/>
      <c r="E35" s="79"/>
    </row>
    <row r="36" spans="1:127" x14ac:dyDescent="0.25">
      <c r="B36" s="141" t="s">
        <v>1593</v>
      </c>
      <c r="C36" s="79"/>
      <c r="D36" s="142">
        <f>'Phụ lục số 5'!E32</f>
        <v>4537585</v>
      </c>
      <c r="E36" s="78" t="s">
        <v>313</v>
      </c>
    </row>
    <row r="37" spans="1:127" x14ac:dyDescent="0.25">
      <c r="B37" s="141" t="s">
        <v>530</v>
      </c>
      <c r="C37" s="79"/>
      <c r="D37" s="141">
        <f>'Phụ lục số 5'!E33</f>
        <v>3464851</v>
      </c>
      <c r="E37" s="79" t="s">
        <v>313</v>
      </c>
    </row>
    <row r="38" spans="1:127" x14ac:dyDescent="0.25">
      <c r="B38" s="141" t="s">
        <v>604</v>
      </c>
      <c r="C38" s="79"/>
      <c r="D38" s="141">
        <f>'Phụ lục số 5'!E41</f>
        <v>317798</v>
      </c>
      <c r="E38" s="79" t="s">
        <v>313</v>
      </c>
    </row>
    <row r="39" spans="1:127" x14ac:dyDescent="0.25">
      <c r="B39" s="141" t="s">
        <v>1583</v>
      </c>
      <c r="C39" s="79"/>
      <c r="D39" s="141">
        <f>'Phụ lục số 5'!E35</f>
        <v>508829</v>
      </c>
      <c r="E39" s="79" t="s">
        <v>313</v>
      </c>
    </row>
    <row r="40" spans="1:127" x14ac:dyDescent="0.25">
      <c r="B40" s="141" t="s">
        <v>688</v>
      </c>
      <c r="C40" s="79"/>
      <c r="D40" s="141">
        <f>'Phụ lục số 5'!E36</f>
        <v>104088</v>
      </c>
      <c r="E40" s="79" t="s">
        <v>313</v>
      </c>
    </row>
    <row r="41" spans="1:127" x14ac:dyDescent="0.25">
      <c r="B41" s="141" t="s">
        <v>937</v>
      </c>
      <c r="C41" s="79"/>
      <c r="D41" s="141">
        <f>'Phụ lục số 5'!E42</f>
        <v>76750</v>
      </c>
      <c r="E41" s="79" t="s">
        <v>313</v>
      </c>
    </row>
    <row r="42" spans="1:127" ht="15.75" customHeight="1" x14ac:dyDescent="0.25">
      <c r="B42" s="141" t="s">
        <v>1585</v>
      </c>
      <c r="C42" s="79"/>
      <c r="D42" s="141">
        <f>'Phụ lục số 5'!E44</f>
        <v>43105</v>
      </c>
      <c r="E42" s="79" t="s">
        <v>313</v>
      </c>
    </row>
    <row r="43" spans="1:127" x14ac:dyDescent="0.25">
      <c r="B43" s="141" t="s">
        <v>1224</v>
      </c>
      <c r="C43" s="79"/>
      <c r="D43" s="141">
        <f>'Phụ lục số 5'!E39</f>
        <v>8860</v>
      </c>
      <c r="E43" s="79" t="s">
        <v>313</v>
      </c>
    </row>
    <row r="44" spans="1:127" x14ac:dyDescent="0.25">
      <c r="B44" s="141" t="s">
        <v>1584</v>
      </c>
      <c r="C44" s="79"/>
      <c r="D44" s="141">
        <f>'Phụ lục số 5'!E37</f>
        <v>9704</v>
      </c>
      <c r="E44" s="79" t="s">
        <v>313</v>
      </c>
    </row>
    <row r="45" spans="1:127" x14ac:dyDescent="0.25">
      <c r="B45" s="141" t="s">
        <v>1650</v>
      </c>
      <c r="C45" s="79"/>
      <c r="D45" s="141">
        <f>'Phụ lục số 5'!E38</f>
        <v>3600</v>
      </c>
      <c r="E45" s="79" t="s">
        <v>313</v>
      </c>
    </row>
    <row r="46" spans="1:127" ht="15.75" hidden="1" customHeight="1" x14ac:dyDescent="0.25">
      <c r="A46" s="220"/>
      <c r="B46" s="238" t="s">
        <v>538</v>
      </c>
      <c r="C46" s="239"/>
      <c r="D46" s="238"/>
      <c r="E46" s="239" t="s">
        <v>313</v>
      </c>
    </row>
    <row r="47" spans="1:127" x14ac:dyDescent="0.25">
      <c r="A47" s="220"/>
      <c r="B47" s="141" t="s">
        <v>761</v>
      </c>
      <c r="C47" s="239"/>
      <c r="D47" s="238"/>
      <c r="E47" s="239"/>
    </row>
    <row r="48" spans="1:127" ht="15.75" customHeight="1" x14ac:dyDescent="0.25">
      <c r="B48" s="1529" t="s">
        <v>1586</v>
      </c>
      <c r="C48" s="1529"/>
      <c r="D48" s="1529"/>
      <c r="E48" s="1529"/>
      <c r="G48" s="3"/>
      <c r="J48" s="3"/>
      <c r="L48" s="3"/>
      <c r="O48" s="3"/>
      <c r="Q48" s="3"/>
      <c r="T48" s="3"/>
      <c r="V48" s="3"/>
      <c r="Y48" s="3"/>
      <c r="AA48" s="3"/>
      <c r="AD48" s="3"/>
      <c r="AF48" s="3"/>
      <c r="AI48" s="3"/>
      <c r="AK48" s="3"/>
      <c r="AN48" s="3"/>
      <c r="AP48" s="3"/>
      <c r="AS48" s="3"/>
      <c r="AU48" s="3"/>
      <c r="AX48" s="3"/>
      <c r="AZ48" s="3"/>
      <c r="BC48" s="3"/>
      <c r="BE48" s="3"/>
      <c r="BH48" s="3"/>
      <c r="BJ48" s="3"/>
      <c r="BM48" s="3"/>
      <c r="BO48" s="3"/>
      <c r="BR48" s="3"/>
      <c r="BT48" s="3"/>
      <c r="BW48" s="3"/>
      <c r="BY48" s="3"/>
      <c r="CB48" s="3"/>
      <c r="CD48" s="3"/>
      <c r="CG48" s="3"/>
      <c r="CI48" s="3"/>
      <c r="CL48" s="3"/>
      <c r="CN48" s="3"/>
      <c r="CQ48" s="3"/>
      <c r="CS48" s="3"/>
      <c r="CV48" s="3"/>
      <c r="CX48" s="3"/>
      <c r="DA48" s="3"/>
      <c r="DC48" s="3"/>
      <c r="DF48" s="3"/>
      <c r="DH48" s="3"/>
      <c r="DK48" s="3"/>
      <c r="DM48" s="3"/>
      <c r="DP48" s="3"/>
      <c r="DR48" s="3"/>
      <c r="DU48" s="3"/>
      <c r="DW48" s="3"/>
    </row>
    <row r="49" spans="2:5" ht="15.75" customHeight="1" x14ac:dyDescent="0.25">
      <c r="B49" s="79"/>
      <c r="C49" s="79"/>
      <c r="D49" s="79"/>
      <c r="E49" s="79"/>
    </row>
    <row r="52" spans="2:5" ht="15.75" customHeight="1" x14ac:dyDescent="0.25">
      <c r="B52" s="139"/>
      <c r="C52" s="139"/>
      <c r="D52" s="139"/>
      <c r="E52" s="139"/>
    </row>
  </sheetData>
  <customSheetViews>
    <customSheetView guid="{88621519-296E-4458-B04E-813E881018FE}" fitToPage="1" hiddenRows="1" topLeftCell="A22">
      <selection activeCell="B46" sqref="B46:E46"/>
      <pageMargins left="0" right="0" top="0.59055118110236227" bottom="0.59055118110236227" header="0.19685039370078741" footer="0.19685039370078741"/>
      <printOptions horizontalCentered="1"/>
      <pageSetup paperSize="9" scale="95" orientation="portrait" r:id="rId1"/>
      <headerFooter alignWithMargins="0">
        <oddHeader>&amp;R&amp;A</oddHeader>
      </headerFooter>
    </customSheetView>
  </customSheetViews>
  <mergeCells count="10">
    <mergeCell ref="B48:E48"/>
    <mergeCell ref="B1:D1"/>
    <mergeCell ref="B2:D2"/>
    <mergeCell ref="C3:E3"/>
    <mergeCell ref="A4:E4"/>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scale="86" orientation="portrait" r:id="rId2"/>
  <headerFooter alignWithMargins="0">
    <oddHeader>&amp;R&amp;A</oddHeader>
  </headerFooter>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92D050"/>
    <pageSetUpPr fitToPage="1"/>
  </sheetPr>
  <dimension ref="A1:E53"/>
  <sheetViews>
    <sheetView topLeftCell="A3" workbookViewId="0">
      <selection activeCell="A4" sqref="A4:C4"/>
    </sheetView>
  </sheetViews>
  <sheetFormatPr defaultRowHeight="13.5" x14ac:dyDescent="0.2"/>
  <cols>
    <col min="1" max="1" width="6" style="67" customWidth="1"/>
    <col min="2" max="2" width="56.5" style="67" customWidth="1"/>
    <col min="3" max="3" width="19" style="67" customWidth="1"/>
    <col min="4" max="4" width="14.5" style="67" customWidth="1"/>
    <col min="5" max="5" width="13.875" style="67" customWidth="1"/>
    <col min="6" max="16384" width="9" style="67"/>
  </cols>
  <sheetData>
    <row r="1" spans="1:5" ht="69.75" hidden="1" customHeight="1" x14ac:dyDescent="0.2">
      <c r="A1" s="1531" t="s">
        <v>32</v>
      </c>
      <c r="B1" s="1531"/>
      <c r="C1" s="1531"/>
      <c r="D1" s="1531"/>
      <c r="E1" s="1531"/>
    </row>
    <row r="2" spans="1:5" hidden="1" x14ac:dyDescent="0.2"/>
    <row r="3" spans="1:5" ht="56.25" customHeight="1" x14ac:dyDescent="0.2">
      <c r="A3" s="1532" t="s">
        <v>1600</v>
      </c>
      <c r="B3" s="1533"/>
      <c r="C3" s="1533"/>
      <c r="D3" s="1533"/>
      <c r="E3" s="1533"/>
    </row>
    <row r="4" spans="1:5" x14ac:dyDescent="0.2">
      <c r="E4" s="68" t="s">
        <v>516</v>
      </c>
    </row>
    <row r="5" spans="1:5" ht="13.5" customHeight="1" x14ac:dyDescent="0.2">
      <c r="A5" s="1534" t="s">
        <v>519</v>
      </c>
      <c r="B5" s="1534" t="s">
        <v>33</v>
      </c>
      <c r="C5" s="1534" t="s">
        <v>1398</v>
      </c>
      <c r="D5" s="1534" t="s">
        <v>34</v>
      </c>
      <c r="E5" s="1534"/>
    </row>
    <row r="6" spans="1:5" ht="32.25" customHeight="1" x14ac:dyDescent="0.2">
      <c r="A6" s="1534"/>
      <c r="B6" s="1534"/>
      <c r="C6" s="1534"/>
      <c r="D6" s="69" t="s">
        <v>482</v>
      </c>
      <c r="E6" s="69" t="s">
        <v>35</v>
      </c>
    </row>
    <row r="7" spans="1:5" x14ac:dyDescent="0.2">
      <c r="A7" s="440" t="s">
        <v>407</v>
      </c>
      <c r="B7" s="441" t="s">
        <v>1244</v>
      </c>
      <c r="C7" s="442">
        <f>SUM(D7:E7)</f>
        <v>0</v>
      </c>
      <c r="D7" s="442">
        <f>SUM(D8:D9)</f>
        <v>0</v>
      </c>
      <c r="E7" s="442">
        <f>SUM(E8:E9)</f>
        <v>0</v>
      </c>
    </row>
    <row r="8" spans="1:5" x14ac:dyDescent="0.2">
      <c r="A8" s="434">
        <v>1</v>
      </c>
      <c r="B8" s="435" t="s">
        <v>389</v>
      </c>
      <c r="C8" s="443">
        <f>SUM(D8:E8)</f>
        <v>0</v>
      </c>
      <c r="D8" s="443"/>
      <c r="E8" s="443"/>
    </row>
    <row r="9" spans="1:5" x14ac:dyDescent="0.2">
      <c r="A9" s="434">
        <v>2</v>
      </c>
      <c r="B9" s="444" t="s">
        <v>319</v>
      </c>
      <c r="C9" s="433">
        <f>SUM(D9:E9)</f>
        <v>0</v>
      </c>
      <c r="D9" s="443"/>
      <c r="E9" s="443"/>
    </row>
    <row r="10" spans="1:5" x14ac:dyDescent="0.2">
      <c r="A10" s="445" t="s">
        <v>422</v>
      </c>
      <c r="B10" s="446" t="s">
        <v>36</v>
      </c>
      <c r="C10" s="447">
        <f>SUM(C11,C19)</f>
        <v>1680276</v>
      </c>
      <c r="D10" s="447">
        <f>SUM(D11,D19)</f>
        <v>1263824</v>
      </c>
      <c r="E10" s="447">
        <f>SUM(E11,E19)</f>
        <v>416452</v>
      </c>
    </row>
    <row r="11" spans="1:5" x14ac:dyDescent="0.2">
      <c r="A11" s="448" t="s">
        <v>409</v>
      </c>
      <c r="B11" s="449" t="s">
        <v>759</v>
      </c>
      <c r="C11" s="447">
        <f>SUM(C12,C14)</f>
        <v>1263824</v>
      </c>
      <c r="D11" s="447">
        <f>SUM(D12,D14)</f>
        <v>1263824</v>
      </c>
      <c r="E11" s="447">
        <f>SUM(E12,E14)</f>
        <v>0</v>
      </c>
    </row>
    <row r="12" spans="1:5" x14ac:dyDescent="0.2">
      <c r="A12" s="448">
        <v>1</v>
      </c>
      <c r="B12" s="454" t="s">
        <v>1647</v>
      </c>
      <c r="C12" s="452">
        <f>SUM(D12:E12)</f>
        <v>310000</v>
      </c>
      <c r="D12" s="452">
        <v>310000</v>
      </c>
      <c r="E12" s="452"/>
    </row>
    <row r="13" spans="1:5" ht="27" x14ac:dyDescent="0.2">
      <c r="A13" s="626"/>
      <c r="B13" s="627" t="s">
        <v>942</v>
      </c>
      <c r="C13" s="628">
        <f>SUM(D13:E13)</f>
        <v>0</v>
      </c>
      <c r="D13" s="628"/>
      <c r="E13" s="628"/>
    </row>
    <row r="14" spans="1:5" x14ac:dyDescent="0.2">
      <c r="A14" s="457">
        <v>2</v>
      </c>
      <c r="B14" s="454" t="s">
        <v>1646</v>
      </c>
      <c r="C14" s="452">
        <f>SUM(C15,C18)</f>
        <v>953824</v>
      </c>
      <c r="D14" s="452">
        <f>SUM(D15,D18)</f>
        <v>953824</v>
      </c>
      <c r="E14" s="452">
        <f>SUM(E15,E18)</f>
        <v>0</v>
      </c>
    </row>
    <row r="15" spans="1:5" x14ac:dyDescent="0.2">
      <c r="A15" s="450" t="s">
        <v>434</v>
      </c>
      <c r="B15" s="435" t="s">
        <v>1643</v>
      </c>
      <c r="C15" s="433">
        <f>SUM(D15:E15)</f>
        <v>953824</v>
      </c>
      <c r="D15" s="433">
        <v>953824</v>
      </c>
      <c r="E15" s="433">
        <v>0</v>
      </c>
    </row>
    <row r="16" spans="1:5" ht="27" x14ac:dyDescent="0.2">
      <c r="A16" s="1288"/>
      <c r="B16" s="627" t="s">
        <v>1644</v>
      </c>
      <c r="C16" s="628">
        <f>SUM(D16:E16)</f>
        <v>100000</v>
      </c>
      <c r="D16" s="628">
        <v>100000</v>
      </c>
      <c r="E16" s="628"/>
    </row>
    <row r="17" spans="1:5" ht="27" x14ac:dyDescent="0.2">
      <c r="A17" s="626"/>
      <c r="B17" s="627" t="s">
        <v>1645</v>
      </c>
      <c r="C17" s="628">
        <f>SUM(D17:E17)</f>
        <v>47155</v>
      </c>
      <c r="D17" s="628">
        <v>47155</v>
      </c>
      <c r="E17" s="628"/>
    </row>
    <row r="18" spans="1:5" x14ac:dyDescent="0.2">
      <c r="A18" s="450" t="s">
        <v>435</v>
      </c>
      <c r="B18" s="435" t="s">
        <v>764</v>
      </c>
      <c r="C18" s="433">
        <f>SUM(D18:E18)</f>
        <v>0</v>
      </c>
      <c r="D18" s="433">
        <v>0</v>
      </c>
      <c r="E18" s="433"/>
    </row>
    <row r="19" spans="1:5" x14ac:dyDescent="0.2">
      <c r="A19" s="448" t="s">
        <v>421</v>
      </c>
      <c r="B19" s="449" t="s">
        <v>37</v>
      </c>
      <c r="C19" s="447">
        <f>SUM(C20,C30)</f>
        <v>416452</v>
      </c>
      <c r="D19" s="447">
        <f>SUM(D20,D30)</f>
        <v>0</v>
      </c>
      <c r="E19" s="447">
        <f>SUM(E20,E30)</f>
        <v>416452</v>
      </c>
    </row>
    <row r="20" spans="1:5" x14ac:dyDescent="0.2">
      <c r="A20" s="448" t="s">
        <v>713</v>
      </c>
      <c r="B20" s="449" t="s">
        <v>714</v>
      </c>
      <c r="C20" s="447">
        <f>SUM(C21:C29)</f>
        <v>309482</v>
      </c>
      <c r="D20" s="447">
        <f>SUM(D21:D29)</f>
        <v>0</v>
      </c>
      <c r="E20" s="447">
        <f>SUM(E21:E29)</f>
        <v>309482</v>
      </c>
    </row>
    <row r="21" spans="1:5" x14ac:dyDescent="0.2">
      <c r="A21" s="434">
        <v>1</v>
      </c>
      <c r="B21" s="435" t="s">
        <v>916</v>
      </c>
      <c r="C21" s="433">
        <f t="shared" ref="C21:C48" si="0">SUM(D21:E21)</f>
        <v>18016</v>
      </c>
      <c r="D21" s="433"/>
      <c r="E21" s="433">
        <v>18016</v>
      </c>
    </row>
    <row r="22" spans="1:5" ht="54" x14ac:dyDescent="0.2">
      <c r="A22" s="434">
        <v>2</v>
      </c>
      <c r="B22" s="435" t="s">
        <v>1641</v>
      </c>
      <c r="C22" s="433">
        <f t="shared" si="0"/>
        <v>75079</v>
      </c>
      <c r="D22" s="433"/>
      <c r="E22" s="433">
        <v>75079</v>
      </c>
    </row>
    <row r="23" spans="1:5" ht="13.5" hidden="1" customHeight="1" x14ac:dyDescent="0.2">
      <c r="A23" s="434">
        <v>3</v>
      </c>
      <c r="B23" s="435" t="s">
        <v>1640</v>
      </c>
      <c r="C23" s="433">
        <f t="shared" si="0"/>
        <v>85460</v>
      </c>
      <c r="D23" s="433"/>
      <c r="E23" s="433">
        <v>85460</v>
      </c>
    </row>
    <row r="24" spans="1:5" ht="54"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40.5" x14ac:dyDescent="0.2">
      <c r="A27" s="434">
        <v>7</v>
      </c>
      <c r="B27" s="435" t="s">
        <v>1639</v>
      </c>
      <c r="C27" s="433">
        <f>SUM(D27:E27)</f>
        <v>6710</v>
      </c>
      <c r="D27" s="433"/>
      <c r="E27" s="433">
        <v>6710</v>
      </c>
    </row>
    <row r="28" spans="1:5" x14ac:dyDescent="0.2">
      <c r="A28" s="434">
        <v>8</v>
      </c>
      <c r="B28" s="435" t="s">
        <v>1642</v>
      </c>
      <c r="C28" s="433">
        <f>SUM(D28:E28)</f>
        <v>5000</v>
      </c>
      <c r="D28" s="433"/>
      <c r="E28" s="433">
        <v>5000</v>
      </c>
    </row>
    <row r="29" spans="1:5" ht="27" x14ac:dyDescent="0.2">
      <c r="A29" s="434">
        <v>9</v>
      </c>
      <c r="B29" s="435" t="s">
        <v>1638</v>
      </c>
      <c r="C29" s="433">
        <f t="shared" si="0"/>
        <v>71750</v>
      </c>
      <c r="D29" s="433"/>
      <c r="E29" s="433">
        <f>(33750+4250)+33750</f>
        <v>71750</v>
      </c>
    </row>
    <row r="30" spans="1:5" x14ac:dyDescent="0.2">
      <c r="A30" s="448" t="s">
        <v>715</v>
      </c>
      <c r="B30" s="449" t="s">
        <v>716</v>
      </c>
      <c r="C30" s="455">
        <f>SUM(C31,C32,C41)</f>
        <v>106970</v>
      </c>
      <c r="D30" s="455">
        <f>SUM(D31,D32,D41)</f>
        <v>0</v>
      </c>
      <c r="E30" s="455">
        <f>SUM(E31,E32,E41)</f>
        <v>106970</v>
      </c>
    </row>
    <row r="31" spans="1:5" x14ac:dyDescent="0.2">
      <c r="A31" s="451" t="s">
        <v>730</v>
      </c>
      <c r="B31" s="454" t="s">
        <v>377</v>
      </c>
      <c r="C31" s="452">
        <f t="shared" si="0"/>
        <v>0</v>
      </c>
      <c r="D31" s="452"/>
      <c r="E31" s="452"/>
    </row>
    <row r="32" spans="1:5" x14ac:dyDescent="0.2">
      <c r="A32" s="451" t="s">
        <v>731</v>
      </c>
      <c r="B32" s="454" t="s">
        <v>376</v>
      </c>
      <c r="C32" s="452">
        <f>SUM(C33:C40)</f>
        <v>106970</v>
      </c>
      <c r="D32" s="452">
        <f>SUM(D33:D40)</f>
        <v>0</v>
      </c>
      <c r="E32" s="452">
        <f>SUM(E33:E40)</f>
        <v>106970</v>
      </c>
    </row>
    <row r="33" spans="1:5" x14ac:dyDescent="0.2">
      <c r="A33" s="434">
        <v>1</v>
      </c>
      <c r="B33" s="435" t="s">
        <v>917</v>
      </c>
      <c r="C33" s="433">
        <f>SUM(D33:E33)</f>
        <v>23286</v>
      </c>
      <c r="D33" s="433"/>
      <c r="E33" s="433">
        <v>23286</v>
      </c>
    </row>
    <row r="34" spans="1:5" ht="27" x14ac:dyDescent="0.2">
      <c r="A34" s="434">
        <v>2</v>
      </c>
      <c r="B34" s="435" t="s">
        <v>769</v>
      </c>
      <c r="C34" s="433">
        <f t="shared" si="0"/>
        <v>0</v>
      </c>
      <c r="D34" s="433"/>
      <c r="E34" s="433"/>
    </row>
    <row r="35" spans="1:5" x14ac:dyDescent="0.2">
      <c r="A35" s="434">
        <v>3</v>
      </c>
      <c r="B35" s="435" t="s">
        <v>768</v>
      </c>
      <c r="C35" s="433">
        <f t="shared" si="0"/>
        <v>0</v>
      </c>
      <c r="D35" s="433"/>
      <c r="E35" s="433"/>
    </row>
    <row r="36" spans="1:5" x14ac:dyDescent="0.2">
      <c r="A36" s="434">
        <v>4</v>
      </c>
      <c r="B36" s="435" t="s">
        <v>1242</v>
      </c>
      <c r="C36" s="433">
        <f t="shared" si="0"/>
        <v>0</v>
      </c>
      <c r="D36" s="433"/>
      <c r="E36" s="433"/>
    </row>
    <row r="37" spans="1:5" ht="13.5" hidden="1" customHeight="1" x14ac:dyDescent="0.2">
      <c r="A37" s="434">
        <v>5</v>
      </c>
      <c r="B37" s="435" t="s">
        <v>1241</v>
      </c>
      <c r="C37" s="433">
        <f t="shared" si="0"/>
        <v>0</v>
      </c>
      <c r="D37" s="433"/>
      <c r="E37" s="433"/>
    </row>
    <row r="38" spans="1:5" ht="13.5" hidden="1" customHeight="1" x14ac:dyDescent="0.2">
      <c r="A38" s="434">
        <v>6</v>
      </c>
      <c r="B38" s="435" t="s">
        <v>1240</v>
      </c>
      <c r="C38" s="433">
        <f t="shared" si="0"/>
        <v>4825</v>
      </c>
      <c r="D38" s="433"/>
      <c r="E38" s="433">
        <v>4825</v>
      </c>
    </row>
    <row r="39" spans="1:5" ht="27" x14ac:dyDescent="0.2">
      <c r="A39" s="434">
        <v>7</v>
      </c>
      <c r="B39" s="435" t="s">
        <v>767</v>
      </c>
      <c r="C39" s="433">
        <f t="shared" si="0"/>
        <v>33671</v>
      </c>
      <c r="D39" s="433"/>
      <c r="E39" s="433">
        <v>33671</v>
      </c>
    </row>
    <row r="40" spans="1:5" ht="27" x14ac:dyDescent="0.2">
      <c r="A40" s="434">
        <v>8</v>
      </c>
      <c r="B40" s="435" t="s">
        <v>941</v>
      </c>
      <c r="C40" s="433">
        <f t="shared" si="0"/>
        <v>45188</v>
      </c>
      <c r="D40" s="433"/>
      <c r="E40" s="433">
        <v>45188</v>
      </c>
    </row>
    <row r="41" spans="1:5" x14ac:dyDescent="0.2">
      <c r="A41" s="448" t="s">
        <v>943</v>
      </c>
      <c r="B41" s="449" t="s">
        <v>945</v>
      </c>
      <c r="C41" s="455">
        <f>SUM(C42:C49)</f>
        <v>0</v>
      </c>
      <c r="D41" s="455">
        <f>SUM(D42:D49)</f>
        <v>0</v>
      </c>
      <c r="E41" s="455">
        <f>SUM(E42:E49)</f>
        <v>0</v>
      </c>
    </row>
    <row r="42" spans="1:5" x14ac:dyDescent="0.2">
      <c r="A42" s="434">
        <v>1</v>
      </c>
      <c r="B42" s="435" t="s">
        <v>753</v>
      </c>
      <c r="C42" s="433">
        <f t="shared" si="0"/>
        <v>0</v>
      </c>
      <c r="D42" s="433"/>
      <c r="E42" s="433"/>
    </row>
    <row r="43" spans="1:5" x14ac:dyDescent="0.2">
      <c r="A43" s="434">
        <v>2</v>
      </c>
      <c r="B43" s="435" t="s">
        <v>754</v>
      </c>
      <c r="C43" s="433">
        <f t="shared" si="0"/>
        <v>0</v>
      </c>
      <c r="D43" s="433"/>
      <c r="E43" s="433"/>
    </row>
    <row r="44" spans="1:5" x14ac:dyDescent="0.2">
      <c r="A44" s="434">
        <v>3</v>
      </c>
      <c r="B44" s="435" t="s">
        <v>755</v>
      </c>
      <c r="C44" s="433">
        <f t="shared" si="0"/>
        <v>0</v>
      </c>
      <c r="D44" s="433"/>
      <c r="E44" s="433"/>
    </row>
    <row r="45" spans="1:5" x14ac:dyDescent="0.2">
      <c r="A45" s="434">
        <v>4</v>
      </c>
      <c r="B45" s="435" t="s">
        <v>756</v>
      </c>
      <c r="C45" s="433">
        <f t="shared" si="0"/>
        <v>0</v>
      </c>
      <c r="D45" s="433"/>
      <c r="E45" s="433"/>
    </row>
    <row r="46" spans="1:5" ht="27" x14ac:dyDescent="0.2">
      <c r="A46" s="434">
        <v>5</v>
      </c>
      <c r="B46" s="435" t="s">
        <v>757</v>
      </c>
      <c r="C46" s="433">
        <f t="shared" si="0"/>
        <v>0</v>
      </c>
      <c r="D46" s="433"/>
      <c r="E46" s="433"/>
    </row>
    <row r="47" spans="1:5" ht="13.5" hidden="1" customHeight="1" x14ac:dyDescent="0.2">
      <c r="A47" s="434">
        <v>6</v>
      </c>
      <c r="B47" s="435" t="s">
        <v>758</v>
      </c>
      <c r="C47" s="433">
        <f t="shared" si="0"/>
        <v>0</v>
      </c>
      <c r="D47" s="433"/>
      <c r="E47" s="433"/>
    </row>
    <row r="48" spans="1:5" ht="13.5" customHeight="1" x14ac:dyDescent="0.2">
      <c r="A48" s="434">
        <v>7</v>
      </c>
      <c r="B48" s="435" t="s">
        <v>762</v>
      </c>
      <c r="C48" s="433">
        <f t="shared" si="0"/>
        <v>0</v>
      </c>
      <c r="D48" s="433"/>
      <c r="E48" s="433"/>
    </row>
    <row r="49" spans="1:5" ht="13.5" customHeight="1" x14ac:dyDescent="0.2">
      <c r="A49" s="598">
        <v>8</v>
      </c>
      <c r="B49" s="599" t="s">
        <v>946</v>
      </c>
      <c r="C49" s="600">
        <f>SUM(D49:E49)</f>
        <v>0</v>
      </c>
      <c r="D49" s="600"/>
      <c r="E49" s="600"/>
    </row>
    <row r="50" spans="1:5" x14ac:dyDescent="0.2">
      <c r="A50" s="1486" t="s">
        <v>38</v>
      </c>
      <c r="B50" s="1486"/>
      <c r="C50" s="601">
        <f>SUM(C7,C10)</f>
        <v>1680276</v>
      </c>
      <c r="D50" s="601">
        <f>SUM(D7,D10)</f>
        <v>1263824</v>
      </c>
      <c r="E50" s="601">
        <f>SUM(E7,E10)</f>
        <v>416452</v>
      </c>
    </row>
    <row r="53" spans="1:5" x14ac:dyDescent="0.2">
      <c r="C53" s="958"/>
    </row>
  </sheetData>
  <customSheetViews>
    <customSheetView guid="{88621519-296E-4458-B04E-813E881018FE}" fitToPage="1" hiddenRows="1" topLeftCell="A18">
      <selection activeCell="B46" sqref="B46:E46"/>
      <pageMargins left="0" right="0" top="0.59055118110236227" bottom="0.39370078740157483" header="0.19685039370078741" footer="0.19685039370078741"/>
      <printOptions horizontalCentered="1"/>
      <pageSetup paperSize="9" scale="86" fitToHeight="2"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59055118110236227" bottom="0.39370078740157483" header="0.19685039370078741" footer="0.19685039370078741"/>
  <pageSetup paperSize="9" scale="85" orientation="portrait" r:id="rId2"/>
  <headerFooter alignWithMargins="0">
    <oddHeader>&amp;R&amp;A</oddHeader>
  </headerFooter>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E33"/>
  <sheetViews>
    <sheetView workbookViewId="0">
      <selection activeCell="A4" sqref="A4:C4"/>
    </sheetView>
  </sheetViews>
  <sheetFormatPr defaultRowHeight="12.75" x14ac:dyDescent="0.2"/>
  <cols>
    <col min="1" max="1" width="40.625" style="423" customWidth="1"/>
    <col min="2" max="2" width="10.5" style="423" customWidth="1"/>
    <col min="3" max="3" width="10.625" style="423" customWidth="1"/>
    <col min="4" max="4" width="11.25" style="423" customWidth="1"/>
    <col min="5" max="5" width="19.875" style="423" customWidth="1"/>
    <col min="6" max="16384" width="9" style="423"/>
  </cols>
  <sheetData>
    <row r="1" spans="1:5" s="856" customFormat="1" ht="31.5" customHeight="1" x14ac:dyDescent="0.25">
      <c r="A1" s="1535" t="s">
        <v>1601</v>
      </c>
      <c r="B1" s="1535"/>
      <c r="C1" s="1535"/>
      <c r="D1" s="1535"/>
      <c r="E1" s="1535"/>
    </row>
    <row r="2" spans="1:5" s="856" customFormat="1" ht="15.75" x14ac:dyDescent="0.25">
      <c r="A2" s="1510" t="s">
        <v>1602</v>
      </c>
      <c r="B2" s="1510"/>
      <c r="C2" s="1510"/>
      <c r="D2" s="1510"/>
      <c r="E2" s="1510"/>
    </row>
    <row r="3" spans="1:5" x14ac:dyDescent="0.2">
      <c r="A3" s="1537"/>
      <c r="B3" s="1537"/>
      <c r="C3" s="1537"/>
      <c r="D3" s="1537"/>
    </row>
    <row r="5" spans="1:5" s="856" customFormat="1" ht="15.75" x14ac:dyDescent="0.25">
      <c r="A5" s="425" t="s">
        <v>238</v>
      </c>
    </row>
    <row r="6" spans="1:5" s="856" customFormat="1" ht="15.75" x14ac:dyDescent="0.25">
      <c r="A6" s="856" t="s">
        <v>752</v>
      </c>
      <c r="C6" s="857">
        <f>'Phụ lục số 2'!K13</f>
        <v>3381485</v>
      </c>
      <c r="D6" s="856" t="s">
        <v>239</v>
      </c>
      <c r="E6" s="858"/>
    </row>
    <row r="7" spans="1:5" s="860" customFormat="1" ht="15.75" x14ac:dyDescent="0.25">
      <c r="A7" s="859" t="s">
        <v>242</v>
      </c>
      <c r="C7" s="861"/>
    </row>
    <row r="8" spans="1:5" s="860" customFormat="1" ht="15.75" x14ac:dyDescent="0.25">
      <c r="A8" s="862" t="s">
        <v>613</v>
      </c>
      <c r="C8" s="861">
        <f>'Phụ lục số 2'!K14</f>
        <v>1131485</v>
      </c>
      <c r="D8" s="860" t="s">
        <v>239</v>
      </c>
    </row>
    <row r="9" spans="1:5" s="856" customFormat="1" ht="15.75" x14ac:dyDescent="0.25">
      <c r="A9" s="862" t="s">
        <v>361</v>
      </c>
      <c r="C9" s="861">
        <f>'Phụ lục số 2'!K15</f>
        <v>750000</v>
      </c>
      <c r="D9" s="860" t="s">
        <v>239</v>
      </c>
    </row>
    <row r="10" spans="1:5" s="856" customFormat="1" ht="15.75" x14ac:dyDescent="0.25">
      <c r="A10" s="862" t="s">
        <v>614</v>
      </c>
      <c r="C10" s="861">
        <f>'Phụ lục số 2'!K16</f>
        <v>1500000</v>
      </c>
      <c r="D10" s="860" t="s">
        <v>239</v>
      </c>
    </row>
    <row r="11" spans="1:5" s="864" customFormat="1" ht="15.75" x14ac:dyDescent="0.25">
      <c r="A11" s="863" t="s">
        <v>1679</v>
      </c>
      <c r="C11" s="1325">
        <v>742000</v>
      </c>
      <c r="D11" s="864" t="s">
        <v>239</v>
      </c>
      <c r="E11" s="865"/>
    </row>
    <row r="12" spans="1:5" s="864" customFormat="1" ht="15.75" x14ac:dyDescent="0.25">
      <c r="A12" s="863" t="s">
        <v>1680</v>
      </c>
      <c r="C12" s="1325">
        <v>8000</v>
      </c>
      <c r="D12" s="864" t="s">
        <v>239</v>
      </c>
    </row>
    <row r="13" spans="1:5" s="856" customFormat="1" ht="15.75" x14ac:dyDescent="0.25">
      <c r="A13" s="425" t="s">
        <v>618</v>
      </c>
      <c r="E13" s="858"/>
    </row>
    <row r="14" spans="1:5" ht="26.25" customHeight="1" x14ac:dyDescent="0.25">
      <c r="A14" s="860"/>
      <c r="B14" s="860"/>
      <c r="C14" s="860"/>
      <c r="D14" s="424" t="s">
        <v>516</v>
      </c>
    </row>
    <row r="15" spans="1:5" s="856" customFormat="1" ht="15.75" x14ac:dyDescent="0.25">
      <c r="A15" s="1536" t="s">
        <v>240</v>
      </c>
      <c r="B15" s="1536" t="s">
        <v>1603</v>
      </c>
      <c r="C15" s="1536" t="s">
        <v>1434</v>
      </c>
      <c r="D15" s="1536"/>
      <c r="E15" s="1536" t="s">
        <v>707</v>
      </c>
    </row>
    <row r="16" spans="1:5" s="856" customFormat="1" ht="74.25" customHeight="1" x14ac:dyDescent="0.25">
      <c r="A16" s="1536"/>
      <c r="B16" s="1536"/>
      <c r="C16" s="284" t="s">
        <v>728</v>
      </c>
      <c r="D16" s="284" t="s">
        <v>727</v>
      </c>
      <c r="E16" s="1536"/>
    </row>
    <row r="17" spans="1:5" s="425" customFormat="1" ht="15.75" x14ac:dyDescent="0.25">
      <c r="A17" s="866" t="s">
        <v>241</v>
      </c>
      <c r="B17" s="867">
        <f>SUM(B19,B22,B27,B30,B33)</f>
        <v>445418.00400000002</v>
      </c>
      <c r="C17" s="867">
        <f>SUM(C19,C22,C27,C30,C33)</f>
        <v>61200</v>
      </c>
      <c r="D17" s="867">
        <f>SUM(D19,D22,D27,D30,D33)</f>
        <v>303424.33333333331</v>
      </c>
      <c r="E17" s="867"/>
    </row>
    <row r="18" spans="1:5" s="856" customFormat="1" ht="15.75" x14ac:dyDescent="0.25">
      <c r="A18" s="868" t="s">
        <v>242</v>
      </c>
      <c r="B18" s="869"/>
      <c r="C18" s="869"/>
      <c r="D18" s="869"/>
      <c r="E18" s="869"/>
    </row>
    <row r="19" spans="1:5" s="856" customFormat="1" ht="15.75" x14ac:dyDescent="0.25">
      <c r="A19" s="868" t="s">
        <v>243</v>
      </c>
      <c r="B19" s="869">
        <f>B21</f>
        <v>0</v>
      </c>
      <c r="C19" s="869">
        <f>C21</f>
        <v>0</v>
      </c>
      <c r="D19" s="869">
        <f>D21</f>
        <v>0</v>
      </c>
      <c r="E19" s="869"/>
    </row>
    <row r="20" spans="1:5" s="864" customFormat="1" ht="15.75" x14ac:dyDescent="0.25">
      <c r="A20" s="870" t="s">
        <v>311</v>
      </c>
      <c r="B20" s="871"/>
      <c r="C20" s="871"/>
      <c r="D20" s="871"/>
      <c r="E20" s="871"/>
    </row>
    <row r="21" spans="1:5" s="874" customFormat="1" ht="47.25" x14ac:dyDescent="0.2">
      <c r="A21" s="872" t="s">
        <v>615</v>
      </c>
      <c r="B21" s="873">
        <f>0</f>
        <v>0</v>
      </c>
      <c r="C21" s="873">
        <v>0</v>
      </c>
      <c r="D21" s="873">
        <f>0</f>
        <v>0</v>
      </c>
      <c r="E21" s="873"/>
    </row>
    <row r="22" spans="1:5" s="856" customFormat="1" ht="15.75" x14ac:dyDescent="0.25">
      <c r="A22" s="868" t="s">
        <v>244</v>
      </c>
      <c r="B22" s="869">
        <f>SUM(B24:B26)</f>
        <v>417247.00400000002</v>
      </c>
      <c r="C22" s="869">
        <f>SUM(C24:C26)</f>
        <v>0</v>
      </c>
      <c r="D22" s="869">
        <f>SUM(D24:D26)</f>
        <v>303424.33333333331</v>
      </c>
      <c r="E22" s="869"/>
    </row>
    <row r="23" spans="1:5" s="864" customFormat="1" ht="15.75" x14ac:dyDescent="0.25">
      <c r="A23" s="870" t="s">
        <v>242</v>
      </c>
      <c r="B23" s="871"/>
      <c r="C23" s="871"/>
      <c r="D23" s="871"/>
      <c r="E23" s="871"/>
    </row>
    <row r="24" spans="1:5" s="860" customFormat="1" ht="15.75" x14ac:dyDescent="0.25">
      <c r="A24" s="875" t="s">
        <v>245</v>
      </c>
      <c r="B24" s="855">
        <f>290208.5+85000-92708-103437-84167-60104.5-28542</f>
        <v>6250</v>
      </c>
      <c r="C24" s="855">
        <v>0</v>
      </c>
      <c r="D24" s="855">
        <v>6250</v>
      </c>
      <c r="E24" s="855" t="s">
        <v>729</v>
      </c>
    </row>
    <row r="25" spans="1:5" ht="15.75" x14ac:dyDescent="0.25">
      <c r="A25" s="875" t="s">
        <v>246</v>
      </c>
      <c r="B25" s="855">
        <f>282048-51285</f>
        <v>230763</v>
      </c>
      <c r="C25" s="855">
        <v>0</v>
      </c>
      <c r="D25" s="855">
        <f>218680+11708+375</f>
        <v>230763</v>
      </c>
      <c r="E25" s="855" t="s">
        <v>729</v>
      </c>
    </row>
    <row r="26" spans="1:5" ht="15.75" x14ac:dyDescent="0.25">
      <c r="A26" s="875" t="s">
        <v>247</v>
      </c>
      <c r="B26" s="855">
        <f>379468-66411.332-66411.332-66411.332</f>
        <v>180234.00400000002</v>
      </c>
      <c r="C26" s="855">
        <v>0</v>
      </c>
      <c r="D26" s="855">
        <v>66411.333333333328</v>
      </c>
      <c r="E26" s="855" t="s">
        <v>729</v>
      </c>
    </row>
    <row r="27" spans="1:5" s="856" customFormat="1" ht="15.75" x14ac:dyDescent="0.25">
      <c r="A27" s="876" t="s">
        <v>616</v>
      </c>
      <c r="B27" s="869">
        <f>SUM(B29)</f>
        <v>28171</v>
      </c>
      <c r="C27" s="869">
        <f>SUM(C29)</f>
        <v>61200</v>
      </c>
      <c r="D27" s="869">
        <f>SUM(D29)</f>
        <v>0</v>
      </c>
      <c r="E27" s="869"/>
    </row>
    <row r="28" spans="1:5" s="864" customFormat="1" ht="15.75" x14ac:dyDescent="0.25">
      <c r="A28" s="870" t="s">
        <v>311</v>
      </c>
      <c r="B28" s="871"/>
      <c r="C28" s="871"/>
      <c r="D28" s="871"/>
      <c r="E28" s="871"/>
    </row>
    <row r="29" spans="1:5" ht="47.25" x14ac:dyDescent="0.2">
      <c r="A29" s="872" t="s">
        <v>615</v>
      </c>
      <c r="B29" s="873">
        <f>6000+22171</f>
        <v>28171</v>
      </c>
      <c r="C29" s="873">
        <f>'Phụ lục số 1'!N63</f>
        <v>61200</v>
      </c>
      <c r="D29" s="873">
        <f>0</f>
        <v>0</v>
      </c>
      <c r="E29" s="873"/>
    </row>
    <row r="30" spans="1:5" s="856" customFormat="1" ht="15.75" x14ac:dyDescent="0.25">
      <c r="A30" s="868" t="s">
        <v>276</v>
      </c>
      <c r="B30" s="869">
        <f>B32</f>
        <v>0</v>
      </c>
      <c r="C30" s="869">
        <f>C32</f>
        <v>0</v>
      </c>
      <c r="D30" s="869">
        <f>D32</f>
        <v>0</v>
      </c>
      <c r="E30" s="869"/>
    </row>
    <row r="31" spans="1:5" s="864" customFormat="1" ht="15.75" x14ac:dyDescent="0.25">
      <c r="A31" s="870" t="s">
        <v>311</v>
      </c>
      <c r="B31" s="871"/>
      <c r="C31" s="871"/>
      <c r="D31" s="871"/>
      <c r="E31" s="871"/>
    </row>
    <row r="32" spans="1:5" ht="47.25" x14ac:dyDescent="0.2">
      <c r="A32" s="872" t="s">
        <v>615</v>
      </c>
      <c r="B32" s="873">
        <f>0</f>
        <v>0</v>
      </c>
      <c r="C32" s="873">
        <v>0</v>
      </c>
      <c r="D32" s="873">
        <f>0</f>
        <v>0</v>
      </c>
      <c r="E32" s="873"/>
    </row>
    <row r="33" spans="1:5" s="856" customFormat="1" ht="15.75" x14ac:dyDescent="0.25">
      <c r="A33" s="877" t="s">
        <v>617</v>
      </c>
      <c r="B33" s="878">
        <v>0</v>
      </c>
      <c r="C33" s="878">
        <v>0</v>
      </c>
      <c r="D33" s="878">
        <v>0</v>
      </c>
      <c r="E33" s="878"/>
    </row>
  </sheetData>
  <customSheetViews>
    <customSheetView guid="{88621519-296E-4458-B04E-813E881018FE}" topLeftCell="A19">
      <selection activeCell="E29" sqref="E29"/>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7">
    <mergeCell ref="A1:E1"/>
    <mergeCell ref="A2:E2"/>
    <mergeCell ref="E15:E16"/>
    <mergeCell ref="A3:D3"/>
    <mergeCell ref="A15:A16"/>
    <mergeCell ref="B15:B16"/>
    <mergeCell ref="C15:D15"/>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22"/>
  <sheetViews>
    <sheetView topLeftCell="A4" zoomScale="87" zoomScaleNormal="87" workbookViewId="0">
      <pane xSplit="3" ySplit="5" topLeftCell="L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875" style="258" customWidth="1"/>
    <col min="2" max="2" width="34" style="210" customWidth="1"/>
    <col min="3" max="11" width="8.625" style="210" hidden="1" customWidth="1"/>
    <col min="12" max="14" width="8.625" style="210" customWidth="1"/>
    <col min="15" max="28" width="8.625" style="230" customWidth="1"/>
    <col min="29" max="29" width="9.625" style="230" customWidth="1"/>
    <col min="30" max="16384" width="9" style="230"/>
  </cols>
  <sheetData>
    <row r="1" spans="1:99" x14ac:dyDescent="0.25">
      <c r="A1" s="501"/>
      <c r="B1" s="1032"/>
      <c r="C1" s="1032" t="s">
        <v>1541</v>
      </c>
      <c r="D1" s="1032"/>
      <c r="E1" s="1032" t="s">
        <v>1537</v>
      </c>
      <c r="F1" s="1032"/>
      <c r="G1" s="1032"/>
      <c r="H1" s="1032"/>
      <c r="I1" s="1032"/>
      <c r="J1" s="1032"/>
      <c r="K1" s="1032"/>
      <c r="L1" s="1032"/>
      <c r="M1" s="1032"/>
      <c r="N1" s="1032"/>
      <c r="AD1" s="230" t="s">
        <v>1537</v>
      </c>
      <c r="AI1" s="1264" t="s">
        <v>1541</v>
      </c>
      <c r="AQ1" s="1264" t="s">
        <v>1541</v>
      </c>
      <c r="AY1" s="1264" t="s">
        <v>1541</v>
      </c>
      <c r="BG1" s="1264" t="s">
        <v>1541</v>
      </c>
      <c r="BO1" s="1264" t="s">
        <v>1541</v>
      </c>
      <c r="BW1" s="1264" t="s">
        <v>1541</v>
      </c>
      <c r="CE1" s="1264" t="s">
        <v>1541</v>
      </c>
      <c r="CM1" s="1264" t="s">
        <v>1541</v>
      </c>
      <c r="CU1" s="1264" t="s">
        <v>1541</v>
      </c>
    </row>
    <row r="2" spans="1:99" ht="41.25" customHeight="1" x14ac:dyDescent="0.25">
      <c r="A2" s="1362" t="s">
        <v>1190</v>
      </c>
      <c r="B2" s="1362"/>
      <c r="C2" s="1362"/>
      <c r="D2" s="1362"/>
      <c r="E2" s="1362"/>
      <c r="F2" s="1362"/>
      <c r="G2" s="1362"/>
      <c r="H2" s="1362"/>
      <c r="I2" s="1362"/>
      <c r="J2" s="1362"/>
      <c r="K2" s="1362"/>
      <c r="L2" s="1362"/>
      <c r="M2" s="1362"/>
      <c r="N2" s="1362"/>
      <c r="O2" s="1362"/>
      <c r="P2" s="1362"/>
      <c r="Q2" s="1362"/>
      <c r="R2" s="1362"/>
      <c r="S2" s="1362"/>
      <c r="T2" s="1362"/>
      <c r="U2" s="1362"/>
      <c r="V2" s="1362"/>
      <c r="W2" s="1362"/>
      <c r="X2" s="1362"/>
      <c r="Y2" s="1362"/>
      <c r="Z2" s="1362"/>
      <c r="AA2" s="1362"/>
      <c r="AB2" s="1362"/>
      <c r="AC2" s="1362"/>
    </row>
    <row r="3" spans="1:99" x14ac:dyDescent="0.25">
      <c r="A3" s="1033"/>
      <c r="B3" s="1033"/>
      <c r="C3" s="1033"/>
      <c r="D3" s="1033"/>
      <c r="E3" s="1033"/>
      <c r="F3" s="1033"/>
      <c r="G3" s="1033"/>
      <c r="H3" s="1033"/>
      <c r="I3" s="1033"/>
      <c r="J3" s="1033"/>
      <c r="K3" s="1033"/>
      <c r="L3" s="1033"/>
      <c r="M3" s="1033"/>
      <c r="N3" s="1033"/>
    </row>
    <row r="4" spans="1:99" x14ac:dyDescent="0.25">
      <c r="A4" s="209" t="s">
        <v>1542</v>
      </c>
      <c r="B4" s="210" t="s">
        <v>1531</v>
      </c>
      <c r="Q4" s="707"/>
      <c r="R4" s="707"/>
      <c r="S4" s="707"/>
      <c r="T4" s="707"/>
      <c r="AC4" s="31" t="s">
        <v>516</v>
      </c>
    </row>
    <row r="5" spans="1:99" s="708" customFormat="1" x14ac:dyDescent="0.25">
      <c r="A5" s="1365" t="s">
        <v>400</v>
      </c>
      <c r="B5" s="1358" t="s">
        <v>427</v>
      </c>
      <c r="C5" s="1358" t="s">
        <v>1177</v>
      </c>
      <c r="D5" s="1358" t="s">
        <v>1041</v>
      </c>
      <c r="E5" s="1358" t="s">
        <v>1042</v>
      </c>
      <c r="F5" s="1358" t="s">
        <v>1043</v>
      </c>
      <c r="G5" s="1358" t="s">
        <v>1044</v>
      </c>
      <c r="H5" s="1358" t="s">
        <v>1031</v>
      </c>
      <c r="I5" s="1358" t="s">
        <v>1045</v>
      </c>
      <c r="J5" s="1358" t="s">
        <v>1058</v>
      </c>
      <c r="K5" s="1358" t="s">
        <v>1040</v>
      </c>
      <c r="L5" s="1358" t="s">
        <v>1032</v>
      </c>
      <c r="M5" s="1358" t="s">
        <v>1033</v>
      </c>
      <c r="N5" s="1358" t="s">
        <v>947</v>
      </c>
      <c r="O5" s="1358" t="s">
        <v>948</v>
      </c>
      <c r="P5" s="1358" t="s">
        <v>1425</v>
      </c>
      <c r="Q5" s="1358" t="s">
        <v>1038</v>
      </c>
      <c r="R5" s="1358" t="s">
        <v>1059</v>
      </c>
      <c r="S5" s="1358" t="s">
        <v>1040</v>
      </c>
      <c r="T5" s="1358" t="s">
        <v>1078</v>
      </c>
      <c r="U5" s="1358" t="s">
        <v>1023</v>
      </c>
      <c r="V5" s="1358" t="s">
        <v>1024</v>
      </c>
      <c r="W5" s="1358" t="s">
        <v>1025</v>
      </c>
      <c r="X5" s="1358" t="s">
        <v>1026</v>
      </c>
      <c r="Y5" s="1358" t="s">
        <v>1027</v>
      </c>
      <c r="Z5" s="1358" t="s">
        <v>1039</v>
      </c>
      <c r="AA5" s="1358" t="s">
        <v>1059</v>
      </c>
      <c r="AB5" s="1358" t="s">
        <v>1040</v>
      </c>
      <c r="AC5" s="1358" t="s">
        <v>1046</v>
      </c>
    </row>
    <row r="6" spans="1:99" s="708" customFormat="1" ht="138" customHeight="1" x14ac:dyDescent="0.25">
      <c r="A6" s="1366"/>
      <c r="B6" s="1360"/>
      <c r="C6" s="1360"/>
      <c r="D6" s="1360"/>
      <c r="E6" s="1360"/>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row>
    <row r="7" spans="1:99" x14ac:dyDescent="0.25">
      <c r="A7" s="28">
        <v>1</v>
      </c>
      <c r="B7" s="28">
        <v>2</v>
      </c>
      <c r="C7" s="28"/>
      <c r="D7" s="28"/>
      <c r="E7" s="28"/>
      <c r="F7" s="28"/>
      <c r="G7" s="28"/>
      <c r="H7" s="28"/>
      <c r="I7" s="482"/>
      <c r="J7" s="482"/>
      <c r="K7" s="482"/>
      <c r="L7" s="28"/>
      <c r="M7" s="28"/>
      <c r="N7" s="28"/>
      <c r="O7" s="482"/>
      <c r="P7" s="482"/>
      <c r="Q7" s="482"/>
      <c r="R7" s="482"/>
      <c r="S7" s="482"/>
      <c r="T7" s="482"/>
      <c r="U7" s="482"/>
      <c r="V7" s="482"/>
      <c r="W7" s="482"/>
      <c r="X7" s="482"/>
      <c r="Y7" s="482"/>
      <c r="Z7" s="482"/>
      <c r="AA7" s="482"/>
      <c r="AB7" s="482"/>
      <c r="AC7" s="482"/>
    </row>
    <row r="8" spans="1:99" s="709" customFormat="1" x14ac:dyDescent="0.25">
      <c r="A8" s="20" t="s">
        <v>407</v>
      </c>
      <c r="B8" s="19" t="s">
        <v>451</v>
      </c>
      <c r="C8" s="19">
        <f t="shared" ref="C8:H8" si="0">SUM(C9:C10)</f>
        <v>379873</v>
      </c>
      <c r="D8" s="19">
        <f t="shared" si="0"/>
        <v>517484</v>
      </c>
      <c r="E8" s="19">
        <f t="shared" si="0"/>
        <v>686112</v>
      </c>
      <c r="F8" s="19">
        <f t="shared" si="0"/>
        <v>774055</v>
      </c>
      <c r="G8" s="19">
        <f t="shared" si="0"/>
        <v>531512</v>
      </c>
      <c r="H8" s="19">
        <f t="shared" si="0"/>
        <v>533832</v>
      </c>
      <c r="I8" s="19">
        <f>SUM(D8:H8)</f>
        <v>3042995</v>
      </c>
      <c r="J8" s="1015"/>
      <c r="K8" s="1015">
        <f>I8/$I$8</f>
        <v>1</v>
      </c>
      <c r="L8" s="19">
        <f>SUM(L9:L10)</f>
        <v>760850</v>
      </c>
      <c r="M8" s="19">
        <f>SUM(M9:M10)</f>
        <v>741859</v>
      </c>
      <c r="N8" s="19">
        <f>SUM(N9:N10)</f>
        <v>1818286</v>
      </c>
      <c r="O8" s="19">
        <f>SUM(O9:O10)</f>
        <v>888037</v>
      </c>
      <c r="P8" s="19">
        <f>SUM(P9:P10)</f>
        <v>1474513</v>
      </c>
      <c r="Q8" s="19">
        <f>SUM(L8:P8)</f>
        <v>5683545</v>
      </c>
      <c r="R8" s="1015"/>
      <c r="S8" s="1015">
        <f>Q8/$Q$8</f>
        <v>1</v>
      </c>
      <c r="T8" s="1015">
        <f>Q8/I8-1</f>
        <v>0.86774707155286168</v>
      </c>
      <c r="U8" s="19">
        <f>SUM(U9:U10)</f>
        <v>1370794</v>
      </c>
      <c r="V8" s="19">
        <f>SUM(V9:V10)</f>
        <v>1598970</v>
      </c>
      <c r="W8" s="19">
        <f>SUM(W9:W10)</f>
        <v>1867970</v>
      </c>
      <c r="X8" s="19">
        <f>SUM(X9:X10)</f>
        <v>2184970</v>
      </c>
      <c r="Y8" s="19">
        <f>SUM(Y9:Y10)</f>
        <v>2559970</v>
      </c>
      <c r="Z8" s="19">
        <f>SUM(U8:Y8)</f>
        <v>9582674</v>
      </c>
      <c r="AA8" s="1015"/>
      <c r="AB8" s="1015">
        <f>Z8/$Z$8</f>
        <v>1</v>
      </c>
      <c r="AC8" s="1015">
        <f>+Z8/Q8-1</f>
        <v>0.68603820326926246</v>
      </c>
    </row>
    <row r="9" spans="1:99" x14ac:dyDescent="0.25">
      <c r="A9" s="256">
        <v>1</v>
      </c>
      <c r="B9" s="252" t="s">
        <v>576</v>
      </c>
      <c r="C9" s="232">
        <v>88679</v>
      </c>
      <c r="D9" s="232">
        <v>148144</v>
      </c>
      <c r="E9" s="232">
        <v>167267</v>
      </c>
      <c r="F9" s="232">
        <v>155140</v>
      </c>
      <c r="G9" s="232">
        <f>65206+17050</f>
        <v>82256</v>
      </c>
      <c r="H9" s="232">
        <v>76245</v>
      </c>
      <c r="I9" s="232">
        <f>SUM(D9:H9)</f>
        <v>629052</v>
      </c>
      <c r="J9" s="1120"/>
      <c r="K9" s="1120">
        <f>I9/$I$8</f>
        <v>0.20672133868113488</v>
      </c>
      <c r="L9" s="232">
        <v>53674</v>
      </c>
      <c r="M9" s="232">
        <v>158319</v>
      </c>
      <c r="N9" s="232">
        <v>158489</v>
      </c>
      <c r="O9" s="232">
        <v>374600</v>
      </c>
      <c r="P9" s="232">
        <f>'Phụ lục số 2'!F38</f>
        <v>426575</v>
      </c>
      <c r="Q9" s="232">
        <f>SUM(L9:P9)</f>
        <v>1171657</v>
      </c>
      <c r="R9" s="1120"/>
      <c r="S9" s="1120">
        <f>Q9/$Q$8</f>
        <v>0.20614897920224085</v>
      </c>
      <c r="T9" s="1120">
        <f>Q9/I9-1</f>
        <v>0.86257574890470101</v>
      </c>
      <c r="U9" s="232">
        <f>'Phụ lục số 2'!K38</f>
        <v>0</v>
      </c>
      <c r="V9" s="232">
        <f>'Phụ lục số 2'!P38</f>
        <v>0</v>
      </c>
      <c r="W9" s="232">
        <f>'Phụ lục số 2'!U38</f>
        <v>0</v>
      </c>
      <c r="X9" s="232">
        <f>'Phụ lục số 2'!Z38</f>
        <v>0</v>
      </c>
      <c r="Y9" s="232">
        <f>'Phụ lục số 2'!AE38</f>
        <v>0</v>
      </c>
      <c r="Z9" s="232">
        <f>SUM(U9:Y9)</f>
        <v>0</v>
      </c>
      <c r="AA9" s="1120"/>
      <c r="AB9" s="1120">
        <f>Z9/$Z$8</f>
        <v>0</v>
      </c>
      <c r="AC9" s="1120">
        <f>+Z9/Q9-1</f>
        <v>-1</v>
      </c>
    </row>
    <row r="10" spans="1:99" ht="31.5" x14ac:dyDescent="0.25">
      <c r="A10" s="256">
        <v>2</v>
      </c>
      <c r="B10" s="252" t="s">
        <v>1191</v>
      </c>
      <c r="C10" s="232">
        <v>291194</v>
      </c>
      <c r="D10" s="232">
        <v>369340</v>
      </c>
      <c r="E10" s="232">
        <v>518845</v>
      </c>
      <c r="F10" s="232">
        <v>618915</v>
      </c>
      <c r="G10" s="232">
        <f>336800+112456</f>
        <v>449256</v>
      </c>
      <c r="H10" s="232">
        <f>372200+85387</f>
        <v>457587</v>
      </c>
      <c r="I10" s="232">
        <f>SUM(D10:H10)</f>
        <v>2413943</v>
      </c>
      <c r="J10" s="1120"/>
      <c r="K10" s="1120">
        <f>I10/$I$8</f>
        <v>0.79327866131886515</v>
      </c>
      <c r="L10" s="232">
        <f>585920+121256</f>
        <v>707176</v>
      </c>
      <c r="M10" s="232">
        <f>579113+4427</f>
        <v>583540</v>
      </c>
      <c r="N10" s="232">
        <f>1503647+156150</f>
        <v>1659797</v>
      </c>
      <c r="O10" s="232">
        <f>513437</f>
        <v>513437</v>
      </c>
      <c r="P10" s="232">
        <f>'Phụ lục số 2'!F39+'Phụ lục số 2'!F40</f>
        <v>1047938</v>
      </c>
      <c r="Q10" s="232">
        <f>SUM(L10:P10)</f>
        <v>4511888</v>
      </c>
      <c r="R10" s="1120"/>
      <c r="S10" s="1120">
        <f>Q10/$Q$8</f>
        <v>0.79385102079775915</v>
      </c>
      <c r="T10" s="1120">
        <f>Q10/I10-1</f>
        <v>0.86909467207800684</v>
      </c>
      <c r="U10" s="232">
        <f>'Phụ lục số 2'!K39+'Phụ lục số 2'!K40</f>
        <v>1370794</v>
      </c>
      <c r="V10" s="232">
        <f>'Phụ lục số 2'!P39+'Phụ lục số 2'!P40</f>
        <v>1598970</v>
      </c>
      <c r="W10" s="232">
        <f>'Phụ lục số 2'!U39+'Phụ lục số 2'!U40</f>
        <v>1867970</v>
      </c>
      <c r="X10" s="232">
        <f>'Phụ lục số 2'!Z39+'Phụ lục số 2'!Z40</f>
        <v>2184970</v>
      </c>
      <c r="Y10" s="232">
        <f>'Phụ lục số 2'!AE39+'Phụ lục số 2'!AE40</f>
        <v>2559970</v>
      </c>
      <c r="Z10" s="232">
        <f>SUM(U10:Y10)</f>
        <v>9582674</v>
      </c>
      <c r="AA10" s="1120"/>
      <c r="AB10" s="1120">
        <f>Z10/$Z$8</f>
        <v>1</v>
      </c>
      <c r="AC10" s="1120">
        <f>+Z10/Q10-1</f>
        <v>1.1238723124332872</v>
      </c>
    </row>
    <row r="11" spans="1:99" s="17" customFormat="1" x14ac:dyDescent="0.25">
      <c r="A11" s="23" t="s">
        <v>422</v>
      </c>
      <c r="B11" s="41" t="s">
        <v>1173</v>
      </c>
      <c r="C11" s="1018"/>
      <c r="D11" s="1018">
        <f t="shared" ref="D11:H13" si="1">D8/C8</f>
        <v>1.3622552800541234</v>
      </c>
      <c r="E11" s="1018">
        <f t="shared" si="1"/>
        <v>1.3258612826676768</v>
      </c>
      <c r="F11" s="1018">
        <f t="shared" si="1"/>
        <v>1.1281758663308614</v>
      </c>
      <c r="G11" s="1018">
        <f t="shared" si="1"/>
        <v>0.68665921672232588</v>
      </c>
      <c r="H11" s="1018">
        <f t="shared" si="1"/>
        <v>1.0043649061545177</v>
      </c>
      <c r="I11" s="1018"/>
      <c r="J11" s="1018">
        <f>(D11*E11*F11*G11*H11)^(1/5)-1</f>
        <v>7.04175856234035E-2</v>
      </c>
      <c r="K11" s="1018"/>
      <c r="L11" s="1018">
        <f>L8/H8</f>
        <v>1.4252611308426621</v>
      </c>
      <c r="M11" s="1018">
        <f t="shared" ref="M11:P12" si="2">M8/L8</f>
        <v>0.97503975816520994</v>
      </c>
      <c r="N11" s="1018">
        <f t="shared" si="2"/>
        <v>2.450985969031851</v>
      </c>
      <c r="O11" s="1018">
        <f t="shared" si="2"/>
        <v>0.48839236511747874</v>
      </c>
      <c r="P11" s="1018">
        <f t="shared" si="2"/>
        <v>1.6604184285114247</v>
      </c>
      <c r="Q11" s="1018"/>
      <c r="R11" s="1018">
        <f>(L11*M11*N11*O11*P11)^(1/5)-1</f>
        <v>0.22531796356356182</v>
      </c>
      <c r="S11" s="1018"/>
      <c r="T11" s="1018"/>
      <c r="U11" s="1018">
        <f>U8/P8</f>
        <v>0.92965880938316581</v>
      </c>
      <c r="V11" s="1018">
        <f t="shared" ref="V11:Y13" si="3">V8/U8</f>
        <v>1.1664553536125779</v>
      </c>
      <c r="W11" s="1018">
        <f t="shared" si="3"/>
        <v>1.1682333001869953</v>
      </c>
      <c r="X11" s="1018">
        <f t="shared" si="3"/>
        <v>1.1697029395547038</v>
      </c>
      <c r="Y11" s="1018">
        <f t="shared" si="3"/>
        <v>1.1716270703945593</v>
      </c>
      <c r="Z11" s="1018"/>
      <c r="AA11" s="1018">
        <f>(U11*V11*W11*X11*Y11)^(1/5)-1</f>
        <v>0.11665047244773863</v>
      </c>
      <c r="AB11" s="1018"/>
      <c r="AC11" s="1018"/>
    </row>
    <row r="12" spans="1:99" x14ac:dyDescent="0.25">
      <c r="A12" s="256">
        <v>1</v>
      </c>
      <c r="B12" s="252" t="s">
        <v>576</v>
      </c>
      <c r="C12" s="1120"/>
      <c r="D12" s="1120">
        <f t="shared" si="1"/>
        <v>1.670564620710653</v>
      </c>
      <c r="E12" s="1120">
        <f t="shared" si="1"/>
        <v>1.1290838643482017</v>
      </c>
      <c r="F12" s="1120">
        <f t="shared" si="1"/>
        <v>0.92749914806865674</v>
      </c>
      <c r="G12" s="1120">
        <f t="shared" si="1"/>
        <v>0.53020497615057371</v>
      </c>
      <c r="H12" s="1120">
        <f t="shared" si="1"/>
        <v>0.92692326395642866</v>
      </c>
      <c r="I12" s="1120"/>
      <c r="J12" s="1120">
        <f>(D12*E12*F12*G12*H12)^(1/5)-1</f>
        <v>-2.9762365748168484E-2</v>
      </c>
      <c r="K12" s="1120"/>
      <c r="L12" s="1120">
        <f>L9/H9</f>
        <v>0.70396747327693621</v>
      </c>
      <c r="M12" s="1120">
        <f t="shared" si="2"/>
        <v>2.9496404218057162</v>
      </c>
      <c r="N12" s="1120">
        <f t="shared" si="2"/>
        <v>1.0010737814160018</v>
      </c>
      <c r="O12" s="1120">
        <f t="shared" si="2"/>
        <v>2.363570973379856</v>
      </c>
      <c r="P12" s="1120">
        <f t="shared" si="2"/>
        <v>1.1387479978643886</v>
      </c>
      <c r="Q12" s="1120"/>
      <c r="R12" s="1120">
        <f>(L12*M12*N12*O12*P12)^(1/5)-1</f>
        <v>0.41109679721259784</v>
      </c>
      <c r="S12" s="1120"/>
      <c r="T12" s="1120"/>
      <c r="U12" s="1120">
        <f>U9/P9</f>
        <v>0</v>
      </c>
      <c r="V12" s="1120" t="e">
        <f t="shared" si="3"/>
        <v>#DIV/0!</v>
      </c>
      <c r="W12" s="1120" t="e">
        <f t="shared" si="3"/>
        <v>#DIV/0!</v>
      </c>
      <c r="X12" s="1120" t="e">
        <f t="shared" si="3"/>
        <v>#DIV/0!</v>
      </c>
      <c r="Y12" s="1120" t="e">
        <f t="shared" si="3"/>
        <v>#DIV/0!</v>
      </c>
      <c r="Z12" s="1120"/>
      <c r="AA12" s="1120" t="e">
        <f>(U12*V12*W12*X12*Y12)^(1/5)-1</f>
        <v>#DIV/0!</v>
      </c>
      <c r="AB12" s="1120"/>
      <c r="AC12" s="1120"/>
    </row>
    <row r="13" spans="1:99" ht="31.5" x14ac:dyDescent="0.25">
      <c r="A13" s="256">
        <v>2</v>
      </c>
      <c r="B13" s="252" t="s">
        <v>1191</v>
      </c>
      <c r="C13" s="1120"/>
      <c r="D13" s="1120">
        <f t="shared" si="1"/>
        <v>1.2683640459624854</v>
      </c>
      <c r="E13" s="1120">
        <f t="shared" si="1"/>
        <v>1.4047896247360157</v>
      </c>
      <c r="F13" s="1120">
        <f t="shared" si="1"/>
        <v>1.1928707031965231</v>
      </c>
      <c r="G13" s="1120">
        <f t="shared" si="1"/>
        <v>0.72587673590072954</v>
      </c>
      <c r="H13" s="1120">
        <f t="shared" si="1"/>
        <v>1.0185439927346547</v>
      </c>
      <c r="I13" s="1120"/>
      <c r="J13" s="1120">
        <f>(D13*E13*F13*G13*H13)^(1/5)-1</f>
        <v>9.4607075565009691E-2</v>
      </c>
      <c r="K13" s="1120"/>
      <c r="L13" s="1120">
        <f>L10/H10</f>
        <v>1.5454460026180814</v>
      </c>
      <c r="M13" s="1120">
        <f>M10/L10</f>
        <v>0.82516940620156798</v>
      </c>
      <c r="N13" s="1120">
        <f>N10/M10</f>
        <v>2.844358570106591</v>
      </c>
      <c r="O13" s="1120">
        <f>O10/N10</f>
        <v>0.30933722617886406</v>
      </c>
      <c r="P13" s="1120">
        <f>P10/O10</f>
        <v>2.041025481217754</v>
      </c>
      <c r="Q13" s="1120"/>
      <c r="R13" s="1120">
        <f>(L13*M13*N13*O13*P13)^(1/5)-1</f>
        <v>0.18024557879961201</v>
      </c>
      <c r="S13" s="1120"/>
      <c r="T13" s="1120"/>
      <c r="U13" s="1120">
        <f>U10/P10</f>
        <v>1.3080869288068568</v>
      </c>
      <c r="V13" s="1120">
        <f t="shared" si="3"/>
        <v>1.1664553536125779</v>
      </c>
      <c r="W13" s="1120">
        <f t="shared" si="3"/>
        <v>1.1682333001869953</v>
      </c>
      <c r="X13" s="1120">
        <f t="shared" si="3"/>
        <v>1.1697029395547038</v>
      </c>
      <c r="Y13" s="1120">
        <f t="shared" si="3"/>
        <v>1.1716270703945593</v>
      </c>
      <c r="Z13" s="1120"/>
      <c r="AA13" s="1120">
        <f>(U13*V13*W13*X13*Y13)^(1/5)-1</f>
        <v>0.195583347486189</v>
      </c>
      <c r="AB13" s="1120"/>
      <c r="AC13" s="1120"/>
    </row>
    <row r="14" spans="1:99" s="17" customFormat="1" x14ac:dyDescent="0.25">
      <c r="A14" s="23" t="s">
        <v>426</v>
      </c>
      <c r="B14" s="41" t="s">
        <v>1192</v>
      </c>
      <c r="C14" s="49"/>
      <c r="D14" s="49"/>
      <c r="E14" s="49"/>
      <c r="F14" s="49"/>
      <c r="G14" s="49"/>
      <c r="H14" s="49"/>
      <c r="I14" s="49">
        <f>SUM(I15:I16)</f>
        <v>609000</v>
      </c>
      <c r="J14" s="1018"/>
      <c r="K14" s="1018">
        <f>I14/$I$14</f>
        <v>1</v>
      </c>
      <c r="L14" s="49"/>
      <c r="M14" s="49"/>
      <c r="N14" s="49"/>
      <c r="O14" s="49"/>
      <c r="P14" s="49"/>
      <c r="Q14" s="49">
        <f>SUM(Q15:Q16)</f>
        <v>1136000</v>
      </c>
      <c r="R14" s="1018"/>
      <c r="S14" s="1018"/>
      <c r="T14" s="1018">
        <f>Q14/I14-1</f>
        <v>0.86535303776683081</v>
      </c>
      <c r="U14" s="49"/>
      <c r="V14" s="49"/>
      <c r="W14" s="49"/>
      <c r="X14" s="49"/>
      <c r="Y14" s="49"/>
      <c r="Z14" s="49">
        <f>SUM(Z15:Z16)</f>
        <v>1917000</v>
      </c>
      <c r="AA14" s="1018"/>
      <c r="AB14" s="1018"/>
      <c r="AC14" s="1018"/>
    </row>
    <row r="15" spans="1:99" x14ac:dyDescent="0.25">
      <c r="A15" s="256">
        <v>1</v>
      </c>
      <c r="B15" s="208" t="s">
        <v>576</v>
      </c>
      <c r="C15" s="232"/>
      <c r="D15" s="232"/>
      <c r="E15" s="232"/>
      <c r="F15" s="232"/>
      <c r="G15" s="232"/>
      <c r="H15" s="232"/>
      <c r="I15" s="232">
        <f>ROUND(AVERAGE(D9:H9),-3)</f>
        <v>126000</v>
      </c>
      <c r="J15" s="1120"/>
      <c r="K15" s="1120">
        <f>I15/$I$14</f>
        <v>0.20689655172413793</v>
      </c>
      <c r="L15" s="232"/>
      <c r="M15" s="232"/>
      <c r="N15" s="232"/>
      <c r="O15" s="232"/>
      <c r="P15" s="232"/>
      <c r="Q15" s="49">
        <f>ROUND(AVERAGE(L9:P9),-3)</f>
        <v>234000</v>
      </c>
      <c r="R15" s="1120"/>
      <c r="S15" s="1120"/>
      <c r="T15" s="1120">
        <f>Q15/I15-1</f>
        <v>0.85714285714285721</v>
      </c>
      <c r="U15" s="232"/>
      <c r="V15" s="232"/>
      <c r="W15" s="232"/>
      <c r="X15" s="232"/>
      <c r="Y15" s="232"/>
      <c r="Z15" s="232">
        <f>ROUND(AVERAGE(U9:Y9),-3)</f>
        <v>0</v>
      </c>
      <c r="AA15" s="1120"/>
      <c r="AB15" s="1120"/>
      <c r="AC15" s="1120">
        <f>Z15/Q15-1</f>
        <v>-1</v>
      </c>
    </row>
    <row r="16" spans="1:99" ht="31.5" customHeight="1" x14ac:dyDescent="0.25">
      <c r="A16" s="1121">
        <v>2</v>
      </c>
      <c r="B16" s="1122" t="s">
        <v>1191</v>
      </c>
      <c r="C16" s="1123"/>
      <c r="D16" s="1123"/>
      <c r="E16" s="1123"/>
      <c r="F16" s="1123"/>
      <c r="G16" s="1123"/>
      <c r="H16" s="1123"/>
      <c r="I16" s="1123">
        <f>ROUND(AVERAGE(D10:H10),-3)</f>
        <v>483000</v>
      </c>
      <c r="J16" s="1124"/>
      <c r="K16" s="1124">
        <f>I16/$I$14</f>
        <v>0.7931034482758621</v>
      </c>
      <c r="L16" s="1123"/>
      <c r="M16" s="1123"/>
      <c r="N16" s="1123"/>
      <c r="O16" s="1123"/>
      <c r="P16" s="1123"/>
      <c r="Q16" s="196">
        <f>ROUND(AVERAGE(L10:P10),-3)</f>
        <v>902000</v>
      </c>
      <c r="R16" s="1124"/>
      <c r="S16" s="1124"/>
      <c r="T16" s="1124">
        <f>Q16/I16-1</f>
        <v>0.86749482401656319</v>
      </c>
      <c r="U16" s="1123"/>
      <c r="V16" s="1123"/>
      <c r="W16" s="1123"/>
      <c r="X16" s="1123"/>
      <c r="Y16" s="1123"/>
      <c r="Z16" s="1123">
        <f>ROUND(AVERAGE(U10:Y10),-3)</f>
        <v>1917000</v>
      </c>
      <c r="AA16" s="1124"/>
      <c r="AB16" s="1124"/>
      <c r="AC16" s="1124">
        <f>Z16/Q16-1</f>
        <v>1.1252771618625279</v>
      </c>
    </row>
    <row r="18" spans="16:18" x14ac:dyDescent="0.25">
      <c r="P18" s="230">
        <f>ROUND(P8/1000,)</f>
        <v>1475</v>
      </c>
      <c r="R18" s="925">
        <v>22.53</v>
      </c>
    </row>
    <row r="19" spans="16:18" x14ac:dyDescent="0.25">
      <c r="P19" s="230">
        <f>P18*5</f>
        <v>7375</v>
      </c>
    </row>
    <row r="20" spans="16:18" x14ac:dyDescent="0.25">
      <c r="P20" s="230">
        <f>ROUND(P9/1000,)</f>
        <v>427</v>
      </c>
      <c r="Q20" s="230">
        <f>+P20*5</f>
        <v>2135</v>
      </c>
    </row>
    <row r="21" spans="16:18" x14ac:dyDescent="0.25">
      <c r="P21" s="230">
        <f>ROUND(P10/1000,)</f>
        <v>1048</v>
      </c>
      <c r="Q21" s="230">
        <f>+P21*5</f>
        <v>5240</v>
      </c>
    </row>
    <row r="22" spans="16:18" x14ac:dyDescent="0.25">
      <c r="P22" s="230">
        <f>+P20+P21</f>
        <v>1475</v>
      </c>
    </row>
  </sheetData>
  <mergeCells count="30">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V5:V6"/>
    <mergeCell ref="W5:W6"/>
    <mergeCell ref="X5:X6"/>
    <mergeCell ref="Y5:Y6"/>
    <mergeCell ref="Z5:Z6"/>
    <mergeCell ref="AA5:AA6"/>
  </mergeCells>
  <printOptions horizontalCentered="1"/>
  <pageMargins left="0" right="0" top="0.19685039370078741" bottom="0.19685039370078741" header="0.19685039370078741" footer="0.19685039370078741"/>
  <pageSetup paperSize="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pageSetUpPr fitToPage="1"/>
  </sheetPr>
  <dimension ref="A1:C42"/>
  <sheetViews>
    <sheetView topLeftCell="A4" workbookViewId="0">
      <selection activeCell="A4" sqref="A4:C4"/>
    </sheetView>
  </sheetViews>
  <sheetFormatPr defaultRowHeight="15.75" x14ac:dyDescent="0.25"/>
  <cols>
    <col min="1" max="1" width="4.875" customWidth="1"/>
    <col min="2" max="2" width="60.25" customWidth="1"/>
    <col min="3" max="3" width="18"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ht="54.75" customHeight="1" x14ac:dyDescent="0.25">
      <c r="A4" s="1530" t="s">
        <v>1604</v>
      </c>
      <c r="B4" s="1409"/>
      <c r="C4" s="1409"/>
    </row>
    <row r="5" spans="1:3" x14ac:dyDescent="0.25">
      <c r="A5" s="71"/>
      <c r="B5" s="71"/>
      <c r="C5" s="71"/>
    </row>
    <row r="6" spans="1:3" x14ac:dyDescent="0.25">
      <c r="A6" s="71"/>
      <c r="C6" s="52" t="s">
        <v>516</v>
      </c>
    </row>
    <row r="7" spans="1:3" s="72" customFormat="1" ht="45.75" customHeight="1" x14ac:dyDescent="0.25">
      <c r="A7" s="233" t="s">
        <v>40</v>
      </c>
      <c r="B7" s="233" t="s">
        <v>517</v>
      </c>
      <c r="C7" s="2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14" customFormat="1" ht="20.100000000000001" customHeight="1" x14ac:dyDescent="0.25">
      <c r="A10" s="234" t="s">
        <v>564</v>
      </c>
      <c r="B10" s="236" t="s">
        <v>311</v>
      </c>
      <c r="C10" s="386"/>
    </row>
    <row r="11" spans="1:3" s="86" customFormat="1" ht="20.100000000000001" customHeight="1" x14ac:dyDescent="0.25">
      <c r="A11" s="93" t="s">
        <v>564</v>
      </c>
      <c r="B11" s="94" t="s">
        <v>351</v>
      </c>
      <c r="C11" s="387">
        <f>'Phụ lục số 1'!N44</f>
        <v>750000</v>
      </c>
    </row>
    <row r="12" spans="1:3" s="14" customFormat="1" ht="20.100000000000001" customHeight="1" x14ac:dyDescent="0.25">
      <c r="A12" s="93" t="s">
        <v>564</v>
      </c>
      <c r="B12" s="94" t="s">
        <v>226</v>
      </c>
      <c r="C12" s="387">
        <f>'Phụ lục số 1'!N51</f>
        <v>1500000</v>
      </c>
    </row>
    <row r="13" spans="1:3" s="40" customFormat="1" ht="20.100000000000001" customHeight="1" x14ac:dyDescent="0.25">
      <c r="A13" s="87" t="s">
        <v>421</v>
      </c>
      <c r="B13" s="88" t="s">
        <v>219</v>
      </c>
      <c r="C13" s="385">
        <f>'Phụ lục số 1'!N52</f>
        <v>105000</v>
      </c>
    </row>
    <row r="14" spans="1:3" s="95" customFormat="1" ht="20.100000000000001" customHeight="1" x14ac:dyDescent="0.25">
      <c r="A14" s="89" t="s">
        <v>422</v>
      </c>
      <c r="B14" s="90" t="s">
        <v>925</v>
      </c>
      <c r="C14" s="388">
        <f>SUM(C15,C18,C22,C23)</f>
        <v>14124109</v>
      </c>
    </row>
    <row r="15" spans="1:3" s="95" customFormat="1" ht="20.100000000000001" customHeight="1" x14ac:dyDescent="0.25">
      <c r="A15" s="87" t="s">
        <v>409</v>
      </c>
      <c r="B15" s="88" t="s">
        <v>220</v>
      </c>
      <c r="C15" s="385">
        <f>'Phụ lục số 1'!Q12</f>
        <v>6480440</v>
      </c>
    </row>
    <row r="16" spans="1:3" s="40" customFormat="1" ht="20.100000000000001" customHeight="1" x14ac:dyDescent="0.25">
      <c r="A16" s="93" t="s">
        <v>434</v>
      </c>
      <c r="B16" s="94" t="s">
        <v>221</v>
      </c>
      <c r="C16" s="387">
        <f>C15-C17</f>
        <v>3144040</v>
      </c>
    </row>
    <row r="17" spans="1:3"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3" s="95" customFormat="1" ht="20.100000000000001" customHeight="1" x14ac:dyDescent="0.25">
      <c r="A18" s="87" t="s">
        <v>421</v>
      </c>
      <c r="B18" s="88" t="s">
        <v>223</v>
      </c>
      <c r="C18" s="385">
        <f>SUM(C19:C20)</f>
        <v>6765596</v>
      </c>
    </row>
    <row r="19" spans="1:3" s="95" customFormat="1" ht="20.100000000000001" customHeight="1" x14ac:dyDescent="0.25">
      <c r="A19" s="93" t="s">
        <v>434</v>
      </c>
      <c r="B19" s="94" t="s">
        <v>532</v>
      </c>
      <c r="C19" s="387">
        <f>'Phụ lục số 1'!Q56</f>
        <v>4883126</v>
      </c>
    </row>
    <row r="20" spans="1:3" s="95" customFormat="1" ht="20.100000000000001" customHeight="1" x14ac:dyDescent="0.25">
      <c r="A20" s="93" t="s">
        <v>435</v>
      </c>
      <c r="B20" s="94" t="s">
        <v>533</v>
      </c>
      <c r="C20" s="387">
        <f>'Phụ lục số 1'!Q57</f>
        <v>1882470</v>
      </c>
    </row>
    <row r="21" spans="1:3" s="14" customFormat="1" ht="33.75" customHeight="1" x14ac:dyDescent="0.25">
      <c r="A21" s="93" t="s">
        <v>224</v>
      </c>
      <c r="B21" s="97" t="s">
        <v>717</v>
      </c>
      <c r="C21" s="387">
        <f>'Phụ lục số 1'!N61+('Phụ lục số 1'!N60-'Phụ lục số 2'!K40)</f>
        <v>511676</v>
      </c>
    </row>
    <row r="22" spans="1:3" s="14" customFormat="1" ht="20.100000000000001" customHeight="1" x14ac:dyDescent="0.25">
      <c r="A22" s="87" t="s">
        <v>449</v>
      </c>
      <c r="B22" s="88" t="s">
        <v>225</v>
      </c>
      <c r="C22" s="385">
        <f>'Phụ lục số 1'!Q62</f>
        <v>816873</v>
      </c>
    </row>
    <row r="23" spans="1:3" s="86" customFormat="1" ht="20.100000000000001" customHeight="1" x14ac:dyDescent="0.25">
      <c r="A23" s="87" t="s">
        <v>450</v>
      </c>
      <c r="B23" s="88" t="s">
        <v>924</v>
      </c>
      <c r="C23" s="385">
        <f>'Phụ lục số 1'!Q63</f>
        <v>61200</v>
      </c>
    </row>
    <row r="24" spans="1:3" s="14" customFormat="1" ht="20.100000000000001" customHeight="1" x14ac:dyDescent="0.25">
      <c r="A24" s="89" t="s">
        <v>426</v>
      </c>
      <c r="B24" s="90" t="s">
        <v>926</v>
      </c>
      <c r="C24" s="388">
        <f>SUM(C25,C38,C42)</f>
        <v>14124109</v>
      </c>
    </row>
    <row r="25" spans="1:3" ht="20.100000000000001" customHeight="1" x14ac:dyDescent="0.25">
      <c r="A25" s="87" t="s">
        <v>409</v>
      </c>
      <c r="B25" s="88" t="s">
        <v>506</v>
      </c>
      <c r="C25" s="385">
        <f>SUM(C26,C30,C34,C35,C36,C37)</f>
        <v>12692115</v>
      </c>
    </row>
    <row r="26" spans="1:3" ht="20.100000000000001" customHeight="1" x14ac:dyDescent="0.25">
      <c r="A26" s="87">
        <v>1</v>
      </c>
      <c r="B26" s="88" t="s">
        <v>227</v>
      </c>
      <c r="C26" s="385">
        <f>'Phụ lục số 2'!K13</f>
        <v>3381485</v>
      </c>
    </row>
    <row r="27" spans="1:3" ht="20.100000000000001" customHeight="1" x14ac:dyDescent="0.25">
      <c r="A27" s="202" t="s">
        <v>564</v>
      </c>
      <c r="B27" s="203" t="s">
        <v>311</v>
      </c>
      <c r="C27" s="390"/>
    </row>
    <row r="28" spans="1:3" ht="20.100000000000001" customHeight="1" x14ac:dyDescent="0.25">
      <c r="A28" s="199" t="s">
        <v>564</v>
      </c>
      <c r="B28" s="200" t="s">
        <v>381</v>
      </c>
      <c r="C28" s="389">
        <f>C11</f>
        <v>750000</v>
      </c>
    </row>
    <row r="29" spans="1:3" ht="20.100000000000001" customHeight="1" x14ac:dyDescent="0.25">
      <c r="A29" s="199" t="s">
        <v>564</v>
      </c>
      <c r="B29" s="200" t="s">
        <v>510</v>
      </c>
      <c r="C29" s="389">
        <f>C12</f>
        <v>1500000</v>
      </c>
    </row>
    <row r="30" spans="1:3" ht="20.100000000000001" customHeight="1" x14ac:dyDescent="0.25">
      <c r="A30" s="87">
        <v>2</v>
      </c>
      <c r="B30" s="88" t="s">
        <v>460</v>
      </c>
      <c r="C30" s="385">
        <f>'Phụ lục số 2'!K18</f>
        <v>8465821</v>
      </c>
    </row>
    <row r="31" spans="1:3" ht="20.100000000000001" customHeight="1" x14ac:dyDescent="0.25">
      <c r="A31" s="202" t="s">
        <v>564</v>
      </c>
      <c r="B31" s="203" t="s">
        <v>311</v>
      </c>
      <c r="C31" s="390"/>
    </row>
    <row r="32" spans="1:3" ht="20.100000000000001" customHeight="1" x14ac:dyDescent="0.25">
      <c r="A32" s="199" t="s">
        <v>564</v>
      </c>
      <c r="B32" s="200" t="s">
        <v>385</v>
      </c>
      <c r="C32" s="389">
        <f>'Phụ lục số 2'!K23</f>
        <v>3653191</v>
      </c>
    </row>
    <row r="33" spans="1:3" ht="20.100000000000001" customHeight="1" x14ac:dyDescent="0.25">
      <c r="A33" s="199" t="s">
        <v>564</v>
      </c>
      <c r="B33" s="200" t="s">
        <v>386</v>
      </c>
      <c r="C33" s="389">
        <f>'Phụ lục số 2'!K22</f>
        <v>31000</v>
      </c>
    </row>
    <row r="34" spans="1:3" ht="20.100000000000001" customHeight="1" x14ac:dyDescent="0.25">
      <c r="A34" s="87">
        <v>3</v>
      </c>
      <c r="B34" s="88" t="s">
        <v>300</v>
      </c>
      <c r="C34" s="385">
        <f>'Phụ lục số 2'!K32</f>
        <v>2000</v>
      </c>
    </row>
    <row r="35" spans="1:3" s="40" customFormat="1" ht="20.100000000000001" customHeight="1" x14ac:dyDescent="0.25">
      <c r="A35" s="87">
        <v>4</v>
      </c>
      <c r="B35" s="88" t="s">
        <v>487</v>
      </c>
      <c r="C35" s="385">
        <f>'Phụ lục số 2'!K33</f>
        <v>233960</v>
      </c>
    </row>
    <row r="36" spans="1:3" s="14" customFormat="1" ht="20.100000000000001" customHeight="1" x14ac:dyDescent="0.25">
      <c r="A36" s="87">
        <v>5</v>
      </c>
      <c r="B36" s="88" t="s">
        <v>526</v>
      </c>
      <c r="C36" s="385">
        <f>'Phụ lục số 2'!K35</f>
        <v>606749</v>
      </c>
    </row>
    <row r="37" spans="1:3" s="14" customFormat="1" ht="20.100000000000001" customHeight="1" x14ac:dyDescent="0.25">
      <c r="A37" s="87">
        <v>6</v>
      </c>
      <c r="B37" s="26" t="s">
        <v>732</v>
      </c>
      <c r="C37" s="385">
        <f>'Phụ lục số 2'!K36</f>
        <v>2100</v>
      </c>
    </row>
    <row r="38" spans="1:3" s="14" customFormat="1" ht="20.100000000000001" customHeight="1" x14ac:dyDescent="0.25">
      <c r="A38" s="87" t="s">
        <v>421</v>
      </c>
      <c r="B38" s="98" t="s">
        <v>229</v>
      </c>
      <c r="C38" s="385">
        <f>SUM(C39:C41)</f>
        <v>1370794</v>
      </c>
    </row>
    <row r="39" spans="1:3" s="14" customFormat="1" ht="20.100000000000001" customHeight="1" x14ac:dyDescent="0.25">
      <c r="A39" s="202">
        <v>1</v>
      </c>
      <c r="B39" s="24" t="s">
        <v>599</v>
      </c>
      <c r="C39" s="390">
        <f>'Phụ lục số 2'!K38</f>
        <v>0</v>
      </c>
    </row>
    <row r="40" spans="1:3" s="14" customFormat="1" ht="20.100000000000001" customHeight="1" x14ac:dyDescent="0.25">
      <c r="A40" s="202">
        <v>2</v>
      </c>
      <c r="B40" s="24" t="s">
        <v>508</v>
      </c>
      <c r="C40" s="390">
        <f>'Phụ lục số 2'!K39</f>
        <v>1263824</v>
      </c>
    </row>
    <row r="41" spans="1:3" s="14" customFormat="1" ht="20.100000000000001" customHeight="1" x14ac:dyDescent="0.25">
      <c r="A41" s="202">
        <v>3</v>
      </c>
      <c r="B41" s="24" t="s">
        <v>509</v>
      </c>
      <c r="C41" s="390">
        <f>'Phụ lục số 2'!K40</f>
        <v>106970</v>
      </c>
    </row>
    <row r="42" spans="1:3" x14ac:dyDescent="0.25">
      <c r="A42" s="595" t="s">
        <v>449</v>
      </c>
      <c r="B42" s="320" t="s">
        <v>920</v>
      </c>
      <c r="C42" s="596">
        <f>'Phụ lục số 2'!K41</f>
        <v>61200</v>
      </c>
    </row>
  </sheetData>
  <customSheetViews>
    <customSheetView guid="{88621519-296E-4458-B04E-813E881018FE}" hiddenRows="1" topLeftCell="A5">
      <selection activeCell="C24" sqref="C24"/>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3" orientation="portrait" r:id="rId2"/>
  <headerFooter alignWithMargins="0">
    <oddHeader>&amp;R&amp;A</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00"/>
  </sheetPr>
  <dimension ref="A1:E44"/>
  <sheetViews>
    <sheetView topLeftCell="A28" workbookViewId="0">
      <selection activeCell="A4" sqref="A4:C4"/>
    </sheetView>
  </sheetViews>
  <sheetFormatPr defaultRowHeight="15.75" x14ac:dyDescent="0.25"/>
  <cols>
    <col min="1" max="1" width="5.375" customWidth="1"/>
    <col min="2" max="2" width="64.25" customWidth="1"/>
    <col min="3" max="3" width="20.5" customWidth="1"/>
    <col min="4" max="4" width="9.625" hidden="1" customWidth="1"/>
  </cols>
  <sheetData>
    <row r="1" spans="1:5" hidden="1" x14ac:dyDescent="0.25">
      <c r="A1" s="12"/>
      <c r="B1" s="85" t="s">
        <v>216</v>
      </c>
      <c r="C1" s="12"/>
    </row>
    <row r="2" spans="1:5" hidden="1" x14ac:dyDescent="0.25">
      <c r="A2" s="12"/>
      <c r="B2" s="85" t="s">
        <v>217</v>
      </c>
      <c r="C2" s="12"/>
    </row>
    <row r="3" spans="1:5" hidden="1" x14ac:dyDescent="0.25">
      <c r="A3" s="14"/>
      <c r="B3" s="14"/>
      <c r="C3" s="14"/>
    </row>
    <row r="4" spans="1:5" ht="57.75" customHeight="1" x14ac:dyDescent="0.25">
      <c r="A4" s="1368" t="s">
        <v>1605</v>
      </c>
      <c r="B4" s="1524"/>
      <c r="C4" s="1524"/>
    </row>
    <row r="5" spans="1:5" x14ac:dyDescent="0.25">
      <c r="C5" s="52" t="s">
        <v>516</v>
      </c>
    </row>
    <row r="6" spans="1:5" s="72" customFormat="1" ht="31.5" x14ac:dyDescent="0.25">
      <c r="A6" s="233" t="s">
        <v>40</v>
      </c>
      <c r="B6" s="233" t="s">
        <v>454</v>
      </c>
      <c r="C6" s="233" t="s">
        <v>1589</v>
      </c>
    </row>
    <row r="7" spans="1:5" s="86" customFormat="1" x14ac:dyDescent="0.25">
      <c r="A7" s="197"/>
      <c r="B7" s="198" t="s">
        <v>927</v>
      </c>
      <c r="C7" s="384">
        <f>SUM(C8,C11,C14,C15)</f>
        <v>11208685</v>
      </c>
      <c r="D7" s="61"/>
    </row>
    <row r="8" spans="1:5" s="86" customFormat="1" x14ac:dyDescent="0.25">
      <c r="A8" s="89" t="s">
        <v>409</v>
      </c>
      <c r="B8" s="90" t="s">
        <v>230</v>
      </c>
      <c r="C8" s="388">
        <f>'Phụ lục số 1'!R12</f>
        <v>4103130</v>
      </c>
    </row>
    <row r="9" spans="1:5" s="95" customFormat="1" x14ac:dyDescent="0.25">
      <c r="A9" s="93">
        <v>1</v>
      </c>
      <c r="B9" s="94" t="s">
        <v>279</v>
      </c>
      <c r="C9" s="387">
        <f>C8-C10</f>
        <v>1932040</v>
      </c>
    </row>
    <row r="10" spans="1:5" s="95" customFormat="1" x14ac:dyDescent="0.25">
      <c r="A10" s="93">
        <v>2</v>
      </c>
      <c r="B10" s="100" t="s">
        <v>280</v>
      </c>
      <c r="C10" s="387">
        <f>'Phụ lục số 1'!R16+'Phụ lục số 1'!R17+'Phụ lục số 1'!R18+'Phụ lục số 1'!R22+'Phụ lục số 1'!R23+'Phụ lục số 1'!R24+'Phụ lục số 1'!R28+'Phụ lục số 1'!R29+'Phụ lục số 1'!R33+'Phụ lục số 1'!R34+'Phụ lục số 1'!R35+'Phụ lục số 1'!R41+'Phụ lục số 1'!R42</f>
        <v>2171090</v>
      </c>
    </row>
    <row r="11" spans="1:5" s="86" customFormat="1" x14ac:dyDescent="0.25">
      <c r="A11" s="89" t="s">
        <v>421</v>
      </c>
      <c r="B11" s="90" t="s">
        <v>281</v>
      </c>
      <c r="C11" s="388">
        <f>SUM(C12:C13)</f>
        <v>6765596</v>
      </c>
      <c r="D11" s="61"/>
    </row>
    <row r="12" spans="1:5" s="95" customFormat="1" x14ac:dyDescent="0.25">
      <c r="A12" s="93">
        <v>1</v>
      </c>
      <c r="B12" s="94" t="s">
        <v>532</v>
      </c>
      <c r="C12" s="387">
        <f>'Phụ lục số 1'!R56</f>
        <v>4883126</v>
      </c>
    </row>
    <row r="13" spans="1:5" s="95" customFormat="1" x14ac:dyDescent="0.25">
      <c r="A13" s="93">
        <v>2</v>
      </c>
      <c r="B13" s="94" t="s">
        <v>425</v>
      </c>
      <c r="C13" s="387">
        <f>'Phụ lục số 1'!R57</f>
        <v>1882470</v>
      </c>
    </row>
    <row r="14" spans="1:5" s="86" customFormat="1" x14ac:dyDescent="0.25">
      <c r="A14" s="89" t="s">
        <v>449</v>
      </c>
      <c r="B14" s="90" t="s">
        <v>515</v>
      </c>
      <c r="C14" s="388">
        <f>'Phụ lục số 1'!R62</f>
        <v>278759</v>
      </c>
    </row>
    <row r="15" spans="1:5" s="86" customFormat="1" x14ac:dyDescent="0.25">
      <c r="A15" s="89" t="s">
        <v>450</v>
      </c>
      <c r="B15" s="41" t="s">
        <v>919</v>
      </c>
      <c r="C15" s="388">
        <f>'Phụ lục số 1'!R63</f>
        <v>61200</v>
      </c>
    </row>
    <row r="16" spans="1:5" s="86" customFormat="1" x14ac:dyDescent="0.25">
      <c r="A16" s="89" t="s">
        <v>422</v>
      </c>
      <c r="B16" s="90" t="s">
        <v>282</v>
      </c>
      <c r="C16" s="388">
        <f>SUM(C17,C40,C41,C42)</f>
        <v>11208685</v>
      </c>
      <c r="D16" s="61">
        <f>+C7-C16</f>
        <v>0</v>
      </c>
      <c r="E16" s="61"/>
    </row>
    <row r="17" spans="1:4" s="104" customFormat="1" x14ac:dyDescent="0.25">
      <c r="A17" s="101" t="s">
        <v>409</v>
      </c>
      <c r="B17" s="102" t="s">
        <v>283</v>
      </c>
      <c r="C17" s="391">
        <f>SUM(C18,C19,C36,C37,C38,C39)</f>
        <v>5239106</v>
      </c>
      <c r="D17" s="103"/>
    </row>
    <row r="18" spans="1:4" s="104" customFormat="1" x14ac:dyDescent="0.25">
      <c r="A18" s="105">
        <v>1</v>
      </c>
      <c r="B18" s="41" t="s">
        <v>431</v>
      </c>
      <c r="C18" s="391">
        <f>'Phụ lục số 2'!N13</f>
        <v>2226239</v>
      </c>
      <c r="D18" s="103"/>
    </row>
    <row r="19" spans="1:4" s="104" customFormat="1" x14ac:dyDescent="0.25">
      <c r="A19" s="105">
        <v>2</v>
      </c>
      <c r="B19" s="41" t="s">
        <v>460</v>
      </c>
      <c r="C19" s="391">
        <f>SUM(C20,C21,C22,C30,C31,C35)</f>
        <v>2887729</v>
      </c>
      <c r="D19" s="103"/>
    </row>
    <row r="20" spans="1:4" s="111" customFormat="1" x14ac:dyDescent="0.25">
      <c r="A20" s="109" t="s">
        <v>284</v>
      </c>
      <c r="B20" s="26" t="s">
        <v>285</v>
      </c>
      <c r="C20" s="393">
        <f>'Phụ lục số 2'!N19</f>
        <v>483000</v>
      </c>
      <c r="D20" s="110"/>
    </row>
    <row r="21" spans="1:4" s="111" customFormat="1" x14ac:dyDescent="0.25">
      <c r="A21" s="109" t="s">
        <v>286</v>
      </c>
      <c r="B21" s="26" t="s">
        <v>502</v>
      </c>
      <c r="C21" s="393">
        <f>'Phụ lục số 2'!N20</f>
        <v>62000</v>
      </c>
      <c r="D21" s="110"/>
    </row>
    <row r="22" spans="1:4" s="111" customFormat="1" x14ac:dyDescent="0.25">
      <c r="A22" s="109" t="s">
        <v>287</v>
      </c>
      <c r="B22" s="26" t="s">
        <v>438</v>
      </c>
      <c r="C22" s="393">
        <f>SUM(C23:C29)</f>
        <v>1722729</v>
      </c>
      <c r="D22" s="110"/>
    </row>
    <row r="23" spans="1:4" s="108" customFormat="1" x14ac:dyDescent="0.25">
      <c r="A23" s="106" t="s">
        <v>434</v>
      </c>
      <c r="B23" s="64" t="s">
        <v>289</v>
      </c>
      <c r="C23" s="392">
        <f>'Phụ lục số 2'!N22</f>
        <v>31000</v>
      </c>
      <c r="D23" s="107"/>
    </row>
    <row r="24" spans="1:4" s="108" customFormat="1" x14ac:dyDescent="0.25">
      <c r="A24" s="106" t="s">
        <v>435</v>
      </c>
      <c r="B24" s="64" t="s">
        <v>496</v>
      </c>
      <c r="C24" s="392">
        <f>'Phụ lục số 2'!N23</f>
        <v>777729</v>
      </c>
      <c r="D24" s="107"/>
    </row>
    <row r="25" spans="1:4" s="108" customFormat="1" x14ac:dyDescent="0.25">
      <c r="A25" s="106" t="s">
        <v>436</v>
      </c>
      <c r="B25" s="64" t="s">
        <v>439</v>
      </c>
      <c r="C25" s="392">
        <f>'Phụ lục số 2'!N24</f>
        <v>770000</v>
      </c>
      <c r="D25" s="107"/>
    </row>
    <row r="26" spans="1:4" s="108" customFormat="1" x14ac:dyDescent="0.25">
      <c r="A26" s="106" t="s">
        <v>437</v>
      </c>
      <c r="B26" s="64" t="s">
        <v>441</v>
      </c>
      <c r="C26" s="392">
        <f>'Phụ lục số 2'!N25</f>
        <v>40000</v>
      </c>
      <c r="D26" s="107"/>
    </row>
    <row r="27" spans="1:4" s="108" customFormat="1" x14ac:dyDescent="0.25">
      <c r="A27" s="106" t="s">
        <v>440</v>
      </c>
      <c r="B27" s="64" t="s">
        <v>443</v>
      </c>
      <c r="C27" s="392">
        <f>'Phụ lục số 2'!N26</f>
        <v>7000</v>
      </c>
      <c r="D27" s="107"/>
    </row>
    <row r="28" spans="1:4" s="108" customFormat="1" x14ac:dyDescent="0.25">
      <c r="A28" s="106" t="s">
        <v>442</v>
      </c>
      <c r="B28" s="64" t="s">
        <v>445</v>
      </c>
      <c r="C28" s="392">
        <f>'Phụ lục số 2'!N27</f>
        <v>22000</v>
      </c>
      <c r="D28" s="107"/>
    </row>
    <row r="29" spans="1:4" s="108" customFormat="1" x14ac:dyDescent="0.25">
      <c r="A29" s="106" t="s">
        <v>444</v>
      </c>
      <c r="B29" s="64" t="s">
        <v>290</v>
      </c>
      <c r="C29" s="392">
        <f>'Phụ lục số 2'!N28</f>
        <v>75000</v>
      </c>
      <c r="D29" s="107"/>
    </row>
    <row r="30" spans="1:4" s="111" customFormat="1" x14ac:dyDescent="0.25">
      <c r="A30" s="109" t="s">
        <v>291</v>
      </c>
      <c r="B30" s="26" t="s">
        <v>447</v>
      </c>
      <c r="C30" s="393">
        <f>'Phụ lục số 2'!N29</f>
        <v>450000</v>
      </c>
      <c r="D30" s="110"/>
    </row>
    <row r="31" spans="1:4" s="111" customFormat="1" x14ac:dyDescent="0.25">
      <c r="A31" s="109" t="s">
        <v>292</v>
      </c>
      <c r="B31" s="26" t="s">
        <v>448</v>
      </c>
      <c r="C31" s="393">
        <f>'Phụ lục số 2'!N30</f>
        <v>140000</v>
      </c>
      <c r="D31" s="110"/>
    </row>
    <row r="32" spans="1:4" s="108" customFormat="1" x14ac:dyDescent="0.25">
      <c r="A32" s="106" t="s">
        <v>434</v>
      </c>
      <c r="B32" s="64" t="s">
        <v>293</v>
      </c>
      <c r="C32" s="392">
        <f>'Phụ lục số 4'!O62</f>
        <v>47104</v>
      </c>
      <c r="D32" s="107"/>
    </row>
    <row r="33" spans="1:4" s="108" customFormat="1" x14ac:dyDescent="0.25">
      <c r="A33" s="106" t="s">
        <v>435</v>
      </c>
      <c r="B33" s="64" t="s">
        <v>294</v>
      </c>
      <c r="C33" s="392">
        <f>C31-C32-C34</f>
        <v>83516</v>
      </c>
      <c r="D33" s="107"/>
    </row>
    <row r="34" spans="1:4" s="108" customFormat="1" x14ac:dyDescent="0.25">
      <c r="A34" s="106" t="s">
        <v>436</v>
      </c>
      <c r="B34" s="64" t="s">
        <v>295</v>
      </c>
      <c r="C34" s="392">
        <f>'Phụ lục số 4'!O64</f>
        <v>9380</v>
      </c>
      <c r="D34" s="107"/>
    </row>
    <row r="35" spans="1:4" s="111" customFormat="1" x14ac:dyDescent="0.25">
      <c r="A35" s="109" t="s">
        <v>296</v>
      </c>
      <c r="B35" s="26" t="s">
        <v>507</v>
      </c>
      <c r="C35" s="393">
        <f>'Phụ lục số 2'!N31</f>
        <v>30000</v>
      </c>
      <c r="D35" s="110"/>
    </row>
    <row r="36" spans="1:4" s="104" customFormat="1" x14ac:dyDescent="0.25">
      <c r="A36" s="105">
        <v>3</v>
      </c>
      <c r="B36" s="41" t="s">
        <v>297</v>
      </c>
      <c r="C36" s="391">
        <f>'Phụ lục số 2'!N32</f>
        <v>2000</v>
      </c>
      <c r="D36" s="103"/>
    </row>
    <row r="37" spans="1:4" s="104" customFormat="1" x14ac:dyDescent="0.25">
      <c r="A37" s="105">
        <v>4</v>
      </c>
      <c r="B37" s="41" t="s">
        <v>487</v>
      </c>
      <c r="C37" s="391">
        <f>'Phụ lục số 2'!N33</f>
        <v>121038</v>
      </c>
      <c r="D37" s="103"/>
    </row>
    <row r="38" spans="1:4" s="104" customFormat="1" x14ac:dyDescent="0.25">
      <c r="A38" s="105">
        <v>5</v>
      </c>
      <c r="B38" s="41" t="s">
        <v>526</v>
      </c>
      <c r="C38" s="391">
        <f>'Phụ lục số 2'!N35</f>
        <v>0</v>
      </c>
      <c r="D38" s="103"/>
    </row>
    <row r="39" spans="1:4" s="104" customFormat="1" x14ac:dyDescent="0.25">
      <c r="A39" s="105">
        <v>6</v>
      </c>
      <c r="B39" s="41" t="s">
        <v>732</v>
      </c>
      <c r="C39" s="391">
        <f>'Phụ lục số 2'!N36</f>
        <v>2100</v>
      </c>
      <c r="D39" s="103"/>
    </row>
    <row r="40" spans="1:4" s="104" customFormat="1" x14ac:dyDescent="0.25">
      <c r="A40" s="101" t="s">
        <v>421</v>
      </c>
      <c r="B40" s="102" t="s">
        <v>451</v>
      </c>
      <c r="C40" s="391">
        <f>'Phụ lục số 2'!N37</f>
        <v>1370794</v>
      </c>
      <c r="D40" s="103"/>
    </row>
    <row r="41" spans="1:4" s="104" customFormat="1" x14ac:dyDescent="0.25">
      <c r="A41" s="101" t="s">
        <v>449</v>
      </c>
      <c r="B41" s="825" t="s">
        <v>920</v>
      </c>
      <c r="C41" s="391">
        <f>'Phụ lục số 2'!N41</f>
        <v>61200</v>
      </c>
      <c r="D41" s="103"/>
    </row>
    <row r="42" spans="1:4" s="86" customFormat="1" x14ac:dyDescent="0.25">
      <c r="A42" s="89" t="s">
        <v>450</v>
      </c>
      <c r="B42" s="90" t="s">
        <v>1624</v>
      </c>
      <c r="C42" s="388">
        <f>SUM(C43:C44)</f>
        <v>4537585</v>
      </c>
    </row>
    <row r="43" spans="1:4" s="95" customFormat="1" x14ac:dyDescent="0.25">
      <c r="A43" s="93">
        <v>1</v>
      </c>
      <c r="B43" s="94" t="s">
        <v>532</v>
      </c>
      <c r="C43" s="387">
        <f>'Phụ lục số 5'!E33</f>
        <v>3464851</v>
      </c>
    </row>
    <row r="44" spans="1:4" s="95" customFormat="1" x14ac:dyDescent="0.25">
      <c r="A44" s="276">
        <v>2</v>
      </c>
      <c r="B44" s="277" t="s">
        <v>425</v>
      </c>
      <c r="C44" s="407">
        <f>'Phụ lục số 5'!E34</f>
        <v>1072734</v>
      </c>
    </row>
  </sheetData>
  <customSheetViews>
    <customSheetView guid="{88621519-296E-4458-B04E-813E881018FE}" hiddenRows="1" hiddenColumns="1" topLeftCell="A4">
      <selection activeCell="E16" sqref="E1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00"/>
  </sheetPr>
  <dimension ref="A1:C37"/>
  <sheetViews>
    <sheetView topLeftCell="A22" workbookViewId="0">
      <selection activeCell="A4" sqref="A4:C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ht="47.25" x14ac:dyDescent="0.25">
      <c r="A4" s="175" t="s">
        <v>1606</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25" t="s">
        <v>40</v>
      </c>
      <c r="B7" s="1525" t="s">
        <v>454</v>
      </c>
      <c r="C7" s="1526" t="s">
        <v>1589</v>
      </c>
    </row>
    <row r="8" spans="1:3" s="121" customFormat="1" ht="42" customHeight="1" x14ac:dyDescent="0.25">
      <c r="A8" s="1525"/>
      <c r="B8" s="1525"/>
      <c r="C8" s="1527"/>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128" t="s">
        <v>301</v>
      </c>
      <c r="C11" s="397">
        <f>'Phụ lục số 1'!N15</f>
        <v>210000</v>
      </c>
    </row>
    <row r="12" spans="1:3" s="129" customFormat="1" x14ac:dyDescent="0.25">
      <c r="A12" s="127">
        <v>2</v>
      </c>
      <c r="B12" s="128" t="s">
        <v>302</v>
      </c>
      <c r="C12" s="397">
        <f>'Phụ lục số 1'!N21</f>
        <v>535000</v>
      </c>
    </row>
    <row r="13" spans="1:3" s="129" customFormat="1" x14ac:dyDescent="0.25">
      <c r="A13" s="127">
        <v>3</v>
      </c>
      <c r="B13" s="128" t="s">
        <v>303</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128" t="s">
        <v>417</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128" t="s">
        <v>45</v>
      </c>
      <c r="C23" s="397">
        <f>'Phụ lục số 1'!N50</f>
        <v>3000</v>
      </c>
    </row>
    <row r="24" spans="1:3" s="131" customFormat="1" x14ac:dyDescent="0.25">
      <c r="A24" s="127">
        <v>14</v>
      </c>
      <c r="B24" s="208" t="s">
        <v>226</v>
      </c>
      <c r="C24" s="397">
        <f>'Phụ lục số 1'!N51</f>
        <v>1500000</v>
      </c>
    </row>
    <row r="25" spans="1:3" s="131" customFormat="1" x14ac:dyDescent="0.25">
      <c r="A25" s="356">
        <v>15</v>
      </c>
      <c r="B25" s="208" t="s">
        <v>1349</v>
      </c>
      <c r="C25" s="399">
        <f>'Phụ lục số 1'!N48</f>
        <v>11000</v>
      </c>
    </row>
    <row r="26" spans="1:3" s="131" customFormat="1" x14ac:dyDescent="0.25">
      <c r="A26" s="356">
        <v>16</v>
      </c>
      <c r="B26" s="208" t="s">
        <v>633</v>
      </c>
      <c r="C26" s="399">
        <f>'Phụ lục số 1'!N49</f>
        <v>70000</v>
      </c>
    </row>
    <row r="27" spans="1:3" s="124" customFormat="1" x14ac:dyDescent="0.25">
      <c r="A27" s="125" t="s">
        <v>421</v>
      </c>
      <c r="B27" s="126" t="s">
        <v>537</v>
      </c>
      <c r="C27" s="400">
        <f>'Phụ lục số 1'!N52</f>
        <v>105000</v>
      </c>
    </row>
    <row r="28" spans="1:3" s="131" customFormat="1" hidden="1" x14ac:dyDescent="0.25">
      <c r="A28" s="125"/>
      <c r="B28" s="90" t="s">
        <v>225</v>
      </c>
      <c r="C28" s="396">
        <f>'Phụ lục số 1'!N62</f>
        <v>816873</v>
      </c>
    </row>
    <row r="29" spans="1:3" s="131" customFormat="1" ht="15.75" customHeight="1" x14ac:dyDescent="0.25">
      <c r="A29" s="125" t="s">
        <v>422</v>
      </c>
      <c r="B29" s="263" t="s">
        <v>929</v>
      </c>
      <c r="C29" s="400">
        <f>SUM(C30,C33,C36,C37)</f>
        <v>14124109</v>
      </c>
    </row>
    <row r="30" spans="1:3" s="131" customFormat="1" x14ac:dyDescent="0.25">
      <c r="A30" s="133" t="s">
        <v>409</v>
      </c>
      <c r="B30" s="134" t="s">
        <v>304</v>
      </c>
      <c r="C30" s="401">
        <f>SUM(C31:C32)</f>
        <v>6480440</v>
      </c>
    </row>
    <row r="31" spans="1:3" s="130"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29" customFormat="1" x14ac:dyDescent="0.25">
      <c r="A33" s="133" t="s">
        <v>421</v>
      </c>
      <c r="B33" s="134" t="s">
        <v>423</v>
      </c>
      <c r="C33" s="402">
        <f>SUM(C34:C35)</f>
        <v>6765596</v>
      </c>
    </row>
    <row r="34" spans="1:3" s="130"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29" customFormat="1" x14ac:dyDescent="0.25">
      <c r="A36" s="133" t="s">
        <v>449</v>
      </c>
      <c r="B36" s="88" t="s">
        <v>299</v>
      </c>
      <c r="C36" s="402">
        <f>C28</f>
        <v>816873</v>
      </c>
    </row>
    <row r="37" spans="1:3" s="130" customFormat="1" x14ac:dyDescent="0.25">
      <c r="A37" s="355" t="s">
        <v>450</v>
      </c>
      <c r="B37" s="597" t="s">
        <v>919</v>
      </c>
      <c r="C37" s="403">
        <f>'Phụ lục số 1- HĐND'!C23</f>
        <v>61200</v>
      </c>
    </row>
  </sheetData>
  <customSheetViews>
    <customSheetView guid="{88621519-296E-4458-B04E-813E881018FE}" hiddenRows="1" topLeftCell="A22">
      <selection activeCell="C29" sqref="C29"/>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FF00"/>
    <pageSetUpPr fitToPage="1"/>
  </sheetPr>
  <dimension ref="A1:E48"/>
  <sheetViews>
    <sheetView topLeftCell="A16" workbookViewId="0">
      <selection activeCell="A4" sqref="A4:C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28" t="s">
        <v>216</v>
      </c>
      <c r="C1" s="1528"/>
      <c r="D1" s="1528"/>
      <c r="E1" s="12"/>
    </row>
    <row r="2" spans="1:5" s="14" customFormat="1" hidden="1" x14ac:dyDescent="0.25">
      <c r="B2" s="1528" t="s">
        <v>217</v>
      </c>
      <c r="C2" s="1528"/>
      <c r="D2" s="1528"/>
      <c r="E2" s="12"/>
    </row>
    <row r="3" spans="1:5" s="14" customFormat="1" hidden="1" x14ac:dyDescent="0.25">
      <c r="B3" s="13"/>
      <c r="C3" s="1409"/>
      <c r="D3" s="1409"/>
      <c r="E3" s="1409"/>
    </row>
    <row r="4" spans="1:5" s="14" customFormat="1" ht="57" customHeight="1" x14ac:dyDescent="0.25">
      <c r="A4" s="1530" t="s">
        <v>1607</v>
      </c>
      <c r="B4" s="1409"/>
      <c r="C4" s="1409"/>
      <c r="D4" s="1409"/>
      <c r="E4" s="1409"/>
    </row>
    <row r="5" spans="1:5" x14ac:dyDescent="0.25">
      <c r="E5" s="136" t="s">
        <v>516</v>
      </c>
    </row>
    <row r="6" spans="1:5" s="14" customFormat="1" ht="15.75" customHeight="1" x14ac:dyDescent="0.25">
      <c r="A6" s="1406" t="s">
        <v>40</v>
      </c>
      <c r="B6" s="1491" t="s">
        <v>517</v>
      </c>
      <c r="C6" s="1461" t="s">
        <v>1411</v>
      </c>
      <c r="D6" s="1461"/>
      <c r="E6" s="1461"/>
    </row>
    <row r="7" spans="1:5" s="14" customFormat="1" x14ac:dyDescent="0.25">
      <c r="A7" s="1491"/>
      <c r="B7" s="1491"/>
      <c r="C7" s="1491" t="s">
        <v>404</v>
      </c>
      <c r="D7" s="1461" t="s">
        <v>308</v>
      </c>
      <c r="E7" s="1461"/>
    </row>
    <row r="8" spans="1:5" s="72" customFormat="1" ht="78.75" customHeight="1" x14ac:dyDescent="0.25">
      <c r="A8" s="1491"/>
      <c r="B8" s="1491"/>
      <c r="C8" s="1491"/>
      <c r="D8" s="233" t="s">
        <v>309</v>
      </c>
      <c r="E8" s="233" t="s">
        <v>1592</v>
      </c>
    </row>
    <row r="9" spans="1:5" s="86" customFormat="1" ht="20.100000000000001" customHeight="1" x14ac:dyDescent="0.25">
      <c r="A9" s="99"/>
      <c r="B9" s="38" t="s">
        <v>310</v>
      </c>
      <c r="C9" s="212">
        <f>SUM(C10,C15,C29,C30,C31,C32,C33,C34)</f>
        <v>14124109</v>
      </c>
      <c r="D9" s="212">
        <f>SUM(D10,D15,D29,D30,D31,D32,D33,D34)</f>
        <v>6671100</v>
      </c>
      <c r="E9" s="212">
        <f>SUM(E10,E15,E29,E30,E31,E32,E33,E34)</f>
        <v>7453009</v>
      </c>
    </row>
    <row r="10" spans="1:5" s="86" customFormat="1" ht="20.100000000000001" customHeight="1" x14ac:dyDescent="0.25">
      <c r="A10" s="89" t="s">
        <v>409</v>
      </c>
      <c r="B10" s="90" t="s">
        <v>612</v>
      </c>
      <c r="C10" s="225">
        <f>SUM(D10:E10)</f>
        <v>3381485</v>
      </c>
      <c r="D10" s="225">
        <f>SUM(D12:D14)</f>
        <v>2226239</v>
      </c>
      <c r="E10" s="225">
        <f>SUM(E12:E14)</f>
        <v>1155246</v>
      </c>
    </row>
    <row r="11" spans="1:5" s="95" customFormat="1" ht="20.100000000000001" customHeight="1" x14ac:dyDescent="0.25">
      <c r="A11" s="202"/>
      <c r="B11" s="236" t="s">
        <v>242</v>
      </c>
      <c r="C11" s="404"/>
      <c r="D11" s="404"/>
      <c r="E11" s="404"/>
    </row>
    <row r="12" spans="1:5" ht="20.100000000000001" customHeight="1" x14ac:dyDescent="0.25">
      <c r="A12" s="91">
        <v>1</v>
      </c>
      <c r="B12" s="92" t="s">
        <v>380</v>
      </c>
      <c r="C12" s="405">
        <f>SUM(D12:E12)</f>
        <v>1131485</v>
      </c>
      <c r="D12" s="405">
        <f>'Phụ lục số 2'!N14</f>
        <v>626239</v>
      </c>
      <c r="E12" s="405">
        <f>'Phụ lục số 2'!O14</f>
        <v>505246</v>
      </c>
    </row>
    <row r="13" spans="1:5" ht="20.100000000000001" customHeight="1" x14ac:dyDescent="0.25">
      <c r="A13" s="91">
        <v>2</v>
      </c>
      <c r="B13" s="92" t="s">
        <v>381</v>
      </c>
      <c r="C13" s="405">
        <f>SUM(D13:E13)</f>
        <v>750000</v>
      </c>
      <c r="D13" s="405">
        <f>'Phụ lục số 2'!N15</f>
        <v>100000</v>
      </c>
      <c r="E13" s="405">
        <f>'Phụ lục số 2'!O15</f>
        <v>650000</v>
      </c>
    </row>
    <row r="14" spans="1:5" ht="20.100000000000001" customHeight="1" x14ac:dyDescent="0.25">
      <c r="A14" s="91">
        <v>3</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v>1</v>
      </c>
      <c r="B17" s="92" t="s">
        <v>382</v>
      </c>
      <c r="C17" s="405">
        <f t="shared" ref="C17:C28" si="0">SUM(D17:E17)</f>
        <v>3653191</v>
      </c>
      <c r="D17" s="405">
        <f>'Phụ lục số 2'!N23</f>
        <v>777729</v>
      </c>
      <c r="E17" s="405">
        <f>'Phụ lục số 2'!O23</f>
        <v>2875462</v>
      </c>
    </row>
    <row r="18" spans="1:5" ht="20.100000000000001" customHeight="1" x14ac:dyDescent="0.25">
      <c r="A18" s="91">
        <v>2</v>
      </c>
      <c r="B18" s="92" t="s">
        <v>383</v>
      </c>
      <c r="C18" s="405">
        <f t="shared" si="0"/>
        <v>31000</v>
      </c>
      <c r="D18" s="405">
        <f>'Phụ lục số 2'!N22</f>
        <v>31000</v>
      </c>
      <c r="E18" s="405">
        <f>'Phụ lục số 2'!O22</f>
        <v>0</v>
      </c>
    </row>
    <row r="19" spans="1:5" ht="20.100000000000001" customHeight="1" x14ac:dyDescent="0.25">
      <c r="A19" s="91">
        <v>3</v>
      </c>
      <c r="B19" s="92" t="s">
        <v>384</v>
      </c>
      <c r="C19" s="405">
        <f t="shared" si="0"/>
        <v>143470</v>
      </c>
      <c r="D19" s="405">
        <f>'Phụ lục số 2'!N20</f>
        <v>62000</v>
      </c>
      <c r="E19" s="405">
        <f>'Phụ lục số 2'!O20</f>
        <v>81470</v>
      </c>
    </row>
    <row r="20" spans="1:5" ht="20.100000000000001" customHeight="1" x14ac:dyDescent="0.25">
      <c r="A20" s="234">
        <v>4</v>
      </c>
      <c r="B20" s="208" t="s">
        <v>285</v>
      </c>
      <c r="C20" s="405">
        <f t="shared" si="0"/>
        <v>1604001</v>
      </c>
      <c r="D20" s="219">
        <f>'Phụ lục số 2'!N19</f>
        <v>483000</v>
      </c>
      <c r="E20" s="219">
        <f>'Phụ lục số 2'!O19</f>
        <v>1121001</v>
      </c>
    </row>
    <row r="21" spans="1:5" ht="20.100000000000001" customHeight="1" x14ac:dyDescent="0.25">
      <c r="A21" s="91">
        <v>5</v>
      </c>
      <c r="B21" s="208" t="s">
        <v>439</v>
      </c>
      <c r="C21" s="405">
        <f t="shared" si="0"/>
        <v>770000</v>
      </c>
      <c r="D21" s="405">
        <f>'Phụ lục số 2'!N24</f>
        <v>770000</v>
      </c>
      <c r="E21" s="405">
        <f>'Phụ lục số 2'!O24</f>
        <v>0</v>
      </c>
    </row>
    <row r="22" spans="1:5" ht="20.100000000000001" customHeight="1" x14ac:dyDescent="0.25">
      <c r="A22" s="234">
        <v>6</v>
      </c>
      <c r="B22" s="208" t="s">
        <v>441</v>
      </c>
      <c r="C22" s="405">
        <f t="shared" si="0"/>
        <v>77733</v>
      </c>
      <c r="D22" s="405">
        <f>'Phụ lục số 2'!N25</f>
        <v>40000</v>
      </c>
      <c r="E22" s="405">
        <f>'Phụ lục số 2'!O25</f>
        <v>37733</v>
      </c>
    </row>
    <row r="23" spans="1:5" ht="20.100000000000001" customHeight="1" x14ac:dyDescent="0.25">
      <c r="A23" s="91">
        <v>7</v>
      </c>
      <c r="B23" s="208" t="s">
        <v>443</v>
      </c>
      <c r="C23" s="405">
        <f t="shared" si="0"/>
        <v>36574</v>
      </c>
      <c r="D23" s="405">
        <f>'Phụ lục số 2'!N26</f>
        <v>7000</v>
      </c>
      <c r="E23" s="405">
        <f>'Phụ lục số 2'!O26</f>
        <v>29574</v>
      </c>
    </row>
    <row r="24" spans="1:5" ht="20.100000000000001" customHeight="1" x14ac:dyDescent="0.25">
      <c r="A24" s="234">
        <v>8</v>
      </c>
      <c r="B24" s="208" t="s">
        <v>445</v>
      </c>
      <c r="C24" s="405">
        <f t="shared" si="0"/>
        <v>34237</v>
      </c>
      <c r="D24" s="405">
        <f>'Phụ lục số 2'!N27</f>
        <v>22000</v>
      </c>
      <c r="E24" s="405">
        <f>'Phụ lục số 2'!O27</f>
        <v>12237</v>
      </c>
    </row>
    <row r="25" spans="1:5" ht="20.100000000000001" customHeight="1" x14ac:dyDescent="0.25">
      <c r="A25" s="91">
        <v>9</v>
      </c>
      <c r="B25" s="208" t="s">
        <v>446</v>
      </c>
      <c r="C25" s="405">
        <f t="shared" si="0"/>
        <v>427859</v>
      </c>
      <c r="D25" s="405">
        <f>'Phụ lục số 2'!N28</f>
        <v>75000</v>
      </c>
      <c r="E25" s="405">
        <f>'Phụ lục số 2'!O28</f>
        <v>352859</v>
      </c>
    </row>
    <row r="26" spans="1:5" ht="20.100000000000001" customHeight="1" x14ac:dyDescent="0.25">
      <c r="A26" s="234">
        <v>10</v>
      </c>
      <c r="B26" s="208" t="s">
        <v>447</v>
      </c>
      <c r="C26" s="219">
        <f t="shared" si="0"/>
        <v>1351525</v>
      </c>
      <c r="D26" s="405">
        <f>'Phụ lục số 2'!N29</f>
        <v>450000</v>
      </c>
      <c r="E26" s="405">
        <f>'Phụ lục số 2'!O29</f>
        <v>901525</v>
      </c>
    </row>
    <row r="27" spans="1:5" ht="20.100000000000001" customHeight="1" x14ac:dyDescent="0.25">
      <c r="A27" s="91">
        <v>11</v>
      </c>
      <c r="B27" s="208" t="s">
        <v>598</v>
      </c>
      <c r="C27" s="219">
        <f t="shared" si="0"/>
        <v>271557</v>
      </c>
      <c r="D27" s="405">
        <f>'Phụ lục số 2'!N30</f>
        <v>140000</v>
      </c>
      <c r="E27" s="405">
        <f>'Phụ lục số 2'!O30</f>
        <v>131557</v>
      </c>
    </row>
    <row r="28" spans="1:5" ht="20.100000000000001" customHeight="1" x14ac:dyDescent="0.25">
      <c r="A28" s="234">
        <v>12</v>
      </c>
      <c r="B28" s="208" t="s">
        <v>507</v>
      </c>
      <c r="C28" s="219">
        <f t="shared" si="0"/>
        <v>64674</v>
      </c>
      <c r="D28" s="405">
        <f>'Phụ lục số 2'!N31</f>
        <v>30000</v>
      </c>
      <c r="E28" s="405">
        <f>'Phụ lục số 2'!O31</f>
        <v>34674</v>
      </c>
    </row>
    <row r="29" spans="1:5" s="86" customFormat="1" ht="20.100000000000001" customHeight="1" x14ac:dyDescent="0.25">
      <c r="A29" s="89" t="s">
        <v>449</v>
      </c>
      <c r="B29" s="137" t="s">
        <v>228</v>
      </c>
      <c r="C29" s="225">
        <f t="shared" ref="C29:C34" si="1">SUM(D29:E29)</f>
        <v>2000</v>
      </c>
      <c r="D29" s="225">
        <f>'Phụ lục số 2'!N32</f>
        <v>2000</v>
      </c>
      <c r="E29" s="225">
        <f>'Phụ lục số 2'!O32</f>
        <v>0</v>
      </c>
    </row>
    <row r="30" spans="1:5" s="86" customFormat="1" ht="20.100000000000001" customHeight="1" x14ac:dyDescent="0.25">
      <c r="A30" s="89" t="s">
        <v>450</v>
      </c>
      <c r="B30" s="90" t="s">
        <v>487</v>
      </c>
      <c r="C30" s="225">
        <f t="shared" si="1"/>
        <v>233960</v>
      </c>
      <c r="D30" s="225">
        <f>'Phụ lục số 2'!N33</f>
        <v>121038</v>
      </c>
      <c r="E30" s="225">
        <f>'Phụ lục số 2'!O33</f>
        <v>112922</v>
      </c>
    </row>
    <row r="31" spans="1:5" s="86" customFormat="1" ht="20.100000000000001" customHeight="1" x14ac:dyDescent="0.25">
      <c r="A31" s="89" t="s">
        <v>472</v>
      </c>
      <c r="B31" s="90" t="s">
        <v>526</v>
      </c>
      <c r="C31" s="225">
        <f t="shared" si="1"/>
        <v>606749</v>
      </c>
      <c r="D31" s="225">
        <f>'Phụ lục số 2'!N35</f>
        <v>0</v>
      </c>
      <c r="E31" s="225">
        <f>'Phụ lục số 2'!O35</f>
        <v>606749</v>
      </c>
    </row>
    <row r="32" spans="1:5" s="86" customFormat="1" ht="20.100000000000001" customHeight="1" x14ac:dyDescent="0.25">
      <c r="A32" s="89" t="s">
        <v>473</v>
      </c>
      <c r="B32" s="41" t="s">
        <v>732</v>
      </c>
      <c r="C32" s="225">
        <f t="shared" si="1"/>
        <v>2100</v>
      </c>
      <c r="D32" s="225">
        <f>'Phụ lục số 2'!N36</f>
        <v>2100</v>
      </c>
      <c r="E32" s="225">
        <f>'Phụ lục số 2'!O36</f>
        <v>0</v>
      </c>
    </row>
    <row r="33" spans="1:5" s="86" customFormat="1" ht="20.100000000000001" customHeight="1" x14ac:dyDescent="0.25">
      <c r="A33" s="101" t="s">
        <v>512</v>
      </c>
      <c r="B33" s="102" t="s">
        <v>312</v>
      </c>
      <c r="C33" s="225">
        <f t="shared" si="1"/>
        <v>1370794</v>
      </c>
      <c r="D33" s="225">
        <f>'Phụ lục số 2'!N37</f>
        <v>1370794</v>
      </c>
      <c r="E33" s="225">
        <f>'Phụ lục số 2'!O37</f>
        <v>0</v>
      </c>
    </row>
    <row r="34" spans="1:5" ht="25.5" customHeight="1" x14ac:dyDescent="0.25">
      <c r="A34" s="138" t="s">
        <v>513</v>
      </c>
      <c r="B34" s="649" t="s">
        <v>920</v>
      </c>
      <c r="C34" s="35">
        <f t="shared" si="1"/>
        <v>61200</v>
      </c>
      <c r="D34" s="35">
        <f>'Phụ lục số 2'!N41</f>
        <v>61200</v>
      </c>
      <c r="E34" s="35">
        <f>'Phụ lục số 2'!O41</f>
        <v>0</v>
      </c>
    </row>
    <row r="35" spans="1:5" x14ac:dyDescent="0.25">
      <c r="B35" s="140" t="s">
        <v>452</v>
      </c>
      <c r="C35" s="79"/>
      <c r="D35" s="79"/>
      <c r="E35" s="79"/>
    </row>
    <row r="36" spans="1:5" x14ac:dyDescent="0.25">
      <c r="B36" s="141" t="s">
        <v>1593</v>
      </c>
      <c r="C36" s="79"/>
      <c r="D36" s="142">
        <f>'Phụ lục số 5'!E32</f>
        <v>4537585</v>
      </c>
      <c r="E36" s="78" t="s">
        <v>313</v>
      </c>
    </row>
    <row r="37" spans="1:5" x14ac:dyDescent="0.25">
      <c r="B37" s="141" t="s">
        <v>530</v>
      </c>
      <c r="C37" s="79"/>
      <c r="D37" s="141">
        <f>'Phụ lục số 5'!E33</f>
        <v>3464851</v>
      </c>
      <c r="E37" s="79" t="s">
        <v>313</v>
      </c>
    </row>
    <row r="38" spans="1:5" x14ac:dyDescent="0.25">
      <c r="B38" s="141" t="s">
        <v>604</v>
      </c>
      <c r="C38" s="79"/>
      <c r="D38" s="141">
        <f>'Phụ lục số 5'!E41</f>
        <v>317798</v>
      </c>
      <c r="E38" s="79" t="s">
        <v>313</v>
      </c>
    </row>
    <row r="39" spans="1:5" x14ac:dyDescent="0.25">
      <c r="B39" s="141" t="s">
        <v>1583</v>
      </c>
      <c r="C39" s="79"/>
      <c r="D39" s="141">
        <f>'Phụ lục số 5'!E35</f>
        <v>508829</v>
      </c>
      <c r="E39" s="79" t="s">
        <v>313</v>
      </c>
    </row>
    <row r="40" spans="1:5" x14ac:dyDescent="0.25">
      <c r="B40" s="141" t="s">
        <v>688</v>
      </c>
      <c r="C40" s="79"/>
      <c r="D40" s="141">
        <f>'Phụ lục số 5'!E36</f>
        <v>104088</v>
      </c>
      <c r="E40" s="79" t="s">
        <v>313</v>
      </c>
    </row>
    <row r="41" spans="1:5" x14ac:dyDescent="0.25">
      <c r="B41" s="141" t="s">
        <v>937</v>
      </c>
      <c r="C41" s="79"/>
      <c r="D41" s="141">
        <f>'Phụ lục số 5'!E42</f>
        <v>76750</v>
      </c>
      <c r="E41" s="79" t="s">
        <v>313</v>
      </c>
    </row>
    <row r="42" spans="1:5" ht="15.75" customHeight="1" x14ac:dyDescent="0.25">
      <c r="B42" s="141" t="s">
        <v>1585</v>
      </c>
      <c r="C42" s="79"/>
      <c r="D42" s="141">
        <f>'Phụ lục số 5'!E44</f>
        <v>43105</v>
      </c>
      <c r="E42" s="79" t="s">
        <v>313</v>
      </c>
    </row>
    <row r="43" spans="1:5" ht="15.75" customHeight="1" x14ac:dyDescent="0.25">
      <c r="A43" s="220"/>
      <c r="B43" s="141" t="s">
        <v>1224</v>
      </c>
      <c r="C43" s="79"/>
      <c r="D43" s="141">
        <f>'Phụ lục số 5'!E39</f>
        <v>8860</v>
      </c>
      <c r="E43" s="79" t="s">
        <v>313</v>
      </c>
    </row>
    <row r="44" spans="1:5" ht="15.75" customHeight="1" x14ac:dyDescent="0.25">
      <c r="B44" s="141" t="s">
        <v>1584</v>
      </c>
      <c r="C44" s="79"/>
      <c r="D44" s="141">
        <f>'Phụ lục số 5'!E37</f>
        <v>9704</v>
      </c>
      <c r="E44" s="79" t="s">
        <v>313</v>
      </c>
    </row>
    <row r="45" spans="1:5" ht="15.75" customHeight="1" x14ac:dyDescent="0.25">
      <c r="B45" s="141" t="s">
        <v>1650</v>
      </c>
      <c r="C45" s="79"/>
      <c r="D45" s="141">
        <f>'Phụ lục số 5'!E38</f>
        <v>3600</v>
      </c>
      <c r="E45" s="79" t="s">
        <v>313</v>
      </c>
    </row>
    <row r="46" spans="1:5" ht="15.75" hidden="1" customHeight="1" x14ac:dyDescent="0.25">
      <c r="B46" s="238" t="s">
        <v>538</v>
      </c>
      <c r="C46" s="239"/>
      <c r="D46" s="238"/>
      <c r="E46" s="239" t="s">
        <v>313</v>
      </c>
    </row>
    <row r="47" spans="1:5" x14ac:dyDescent="0.25">
      <c r="B47" s="141" t="s">
        <v>761</v>
      </c>
      <c r="C47" s="239"/>
      <c r="D47" s="238"/>
      <c r="E47" s="239"/>
    </row>
    <row r="48" spans="1:5" ht="15.75" customHeight="1" x14ac:dyDescent="0.25">
      <c r="B48" s="1529" t="s">
        <v>1586</v>
      </c>
      <c r="C48" s="1529"/>
      <c r="D48" s="1529"/>
      <c r="E48" s="1529"/>
    </row>
  </sheetData>
  <customSheetViews>
    <customSheetView guid="{88621519-296E-4458-B04E-813E881018FE}" fitToPage="1" hiddenRows="1" topLeftCell="A4">
      <selection activeCell="A4" sqref="A4:E4"/>
      <pageMargins left="0" right="0" top="0.59055118110236227" bottom="0.59055118110236227" header="0.19685039370078741" footer="0.19685039370078741"/>
      <printOptions horizontalCentered="1"/>
      <pageSetup paperSize="9" scale="93" orientation="portrait" r:id="rId1"/>
      <headerFooter alignWithMargins="0">
        <oddHeader>&amp;R&amp;A</oddHeader>
      </headerFooter>
    </customSheetView>
  </customSheetViews>
  <mergeCells count="10">
    <mergeCell ref="B48:E48"/>
    <mergeCell ref="B1:D1"/>
    <mergeCell ref="B2:D2"/>
    <mergeCell ref="C3:E3"/>
    <mergeCell ref="A4:E4"/>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scale="90" orientation="portrait" r:id="rId2"/>
  <headerFooter alignWithMargins="0">
    <oddHeader>&amp;R&amp;A</oddHeader>
  </headerFooter>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FF00"/>
    <pageSetUpPr fitToPage="1"/>
  </sheetPr>
  <dimension ref="A1:S114"/>
  <sheetViews>
    <sheetView workbookViewId="0">
      <pane xSplit="4" ySplit="11" topLeftCell="J30" activePane="bottomRight" state="frozen"/>
      <selection activeCell="A4" sqref="A4:C4"/>
      <selection pane="topRight" activeCell="A4" sqref="A4:C4"/>
      <selection pane="bottomLeft" activeCell="A4" sqref="A4:C4"/>
      <selection pane="bottomRight" activeCell="A4" sqref="A4:C4"/>
    </sheetView>
  </sheetViews>
  <sheetFormatPr defaultRowHeight="15.95" customHeight="1" x14ac:dyDescent="0.2"/>
  <cols>
    <col min="1" max="1" width="4.875" style="161" customWidth="1"/>
    <col min="2" max="2" width="35" style="79" customWidth="1"/>
    <col min="3" max="3" width="10.625" style="79" customWidth="1"/>
    <col min="4" max="4" width="9.5" style="78" customWidth="1"/>
    <col min="5" max="5" width="8.125" style="79" customWidth="1"/>
    <col min="6" max="18" width="9.625" style="79" customWidth="1"/>
    <col min="19" max="19" width="8.125" style="79" customWidth="1"/>
    <col min="20" max="16384" width="9" style="79"/>
  </cols>
  <sheetData>
    <row r="1" spans="1:19" ht="32.25" customHeight="1" x14ac:dyDescent="0.2">
      <c r="A1" s="1538" t="s">
        <v>1608</v>
      </c>
      <c r="B1" s="1472"/>
      <c r="C1" s="1472"/>
      <c r="D1" s="1472"/>
      <c r="E1" s="1472"/>
      <c r="F1" s="1472"/>
      <c r="G1" s="1472"/>
      <c r="H1" s="1472"/>
      <c r="I1" s="1472"/>
      <c r="J1" s="1472"/>
      <c r="K1" s="1472"/>
      <c r="L1" s="1472"/>
      <c r="M1" s="1472"/>
      <c r="N1" s="1472"/>
      <c r="O1" s="1472"/>
      <c r="P1" s="1472"/>
      <c r="Q1" s="1472"/>
      <c r="R1" s="1472"/>
      <c r="S1" s="1472"/>
    </row>
    <row r="2" spans="1:19" ht="15.95" customHeight="1" x14ac:dyDescent="0.2">
      <c r="P2" s="78" t="s">
        <v>539</v>
      </c>
      <c r="Q2" s="78"/>
    </row>
    <row r="3" spans="1:19" ht="15.95" customHeight="1" x14ac:dyDescent="0.2">
      <c r="A3" s="1473" t="s">
        <v>519</v>
      </c>
      <c r="B3" s="1462" t="s">
        <v>540</v>
      </c>
      <c r="C3" s="1462" t="s">
        <v>1023</v>
      </c>
      <c r="D3" s="1462"/>
      <c r="E3" s="1462"/>
      <c r="F3" s="1462"/>
      <c r="G3" s="1462"/>
      <c r="H3" s="1462"/>
      <c r="I3" s="1462"/>
      <c r="J3" s="1462"/>
      <c r="K3" s="1462"/>
      <c r="L3" s="1462"/>
      <c r="M3" s="1462"/>
      <c r="N3" s="1462"/>
      <c r="O3" s="1462"/>
      <c r="P3" s="1462"/>
      <c r="Q3" s="1462"/>
      <c r="R3" s="1462"/>
      <c r="S3" s="1462"/>
    </row>
    <row r="4" spans="1:19" ht="15.95" customHeight="1" x14ac:dyDescent="0.2">
      <c r="A4" s="1473"/>
      <c r="B4" s="1462"/>
      <c r="C4" s="1462" t="s">
        <v>750</v>
      </c>
      <c r="D4" s="1474" t="s">
        <v>595</v>
      </c>
      <c r="E4" s="1474"/>
      <c r="F4" s="1474"/>
      <c r="G4" s="1474"/>
      <c r="H4" s="1474"/>
      <c r="I4" s="1474"/>
      <c r="J4" s="1474"/>
      <c r="K4" s="1474"/>
      <c r="L4" s="1474"/>
      <c r="M4" s="1474"/>
      <c r="N4" s="1474"/>
      <c r="O4" s="1474"/>
      <c r="P4" s="1474"/>
      <c r="Q4" s="1464" t="s">
        <v>735</v>
      </c>
      <c r="R4" s="1465"/>
      <c r="S4" s="1466"/>
    </row>
    <row r="5" spans="1:19" ht="15.95" customHeight="1" x14ac:dyDescent="0.2">
      <c r="A5" s="1473"/>
      <c r="B5" s="1462"/>
      <c r="C5" s="1462"/>
      <c r="D5" s="1462" t="s">
        <v>235</v>
      </c>
      <c r="E5" s="1474" t="s">
        <v>541</v>
      </c>
      <c r="F5" s="1474"/>
      <c r="G5" s="1474"/>
      <c r="H5" s="1474"/>
      <c r="I5" s="1474"/>
      <c r="J5" s="1474"/>
      <c r="K5" s="1474"/>
      <c r="L5" s="1474"/>
      <c r="M5" s="1474"/>
      <c r="N5" s="1474"/>
      <c r="O5" s="1474"/>
      <c r="P5" s="1474"/>
      <c r="Q5" s="1467" t="s">
        <v>751</v>
      </c>
      <c r="R5" s="1470" t="s">
        <v>596</v>
      </c>
      <c r="S5" s="1471"/>
    </row>
    <row r="6" spans="1:19" ht="15.95" customHeight="1" x14ac:dyDescent="0.2">
      <c r="A6" s="1473"/>
      <c r="B6" s="1462"/>
      <c r="C6" s="1462"/>
      <c r="D6" s="1462"/>
      <c r="E6" s="1462" t="s">
        <v>542</v>
      </c>
      <c r="F6" s="1462" t="s">
        <v>584</v>
      </c>
      <c r="G6" s="1462" t="s">
        <v>585</v>
      </c>
      <c r="H6" s="1462" t="s">
        <v>586</v>
      </c>
      <c r="I6" s="1462" t="s">
        <v>587</v>
      </c>
      <c r="J6" s="1462" t="s">
        <v>588</v>
      </c>
      <c r="K6" s="1462" t="s">
        <v>543</v>
      </c>
      <c r="L6" s="1462" t="s">
        <v>589</v>
      </c>
      <c r="M6" s="1462" t="s">
        <v>590</v>
      </c>
      <c r="N6" s="1462" t="s">
        <v>591</v>
      </c>
      <c r="O6" s="1462" t="s">
        <v>592</v>
      </c>
      <c r="P6" s="1462" t="s">
        <v>593</v>
      </c>
      <c r="Q6" s="1468"/>
      <c r="R6" s="1467" t="s">
        <v>711</v>
      </c>
      <c r="S6" s="1467" t="s">
        <v>234</v>
      </c>
    </row>
    <row r="7" spans="1:19" ht="74.25" customHeight="1" x14ac:dyDescent="0.2">
      <c r="A7" s="1473"/>
      <c r="B7" s="1462"/>
      <c r="C7" s="1462"/>
      <c r="D7" s="1463"/>
      <c r="E7" s="1462"/>
      <c r="F7" s="1462"/>
      <c r="G7" s="1462"/>
      <c r="H7" s="1462"/>
      <c r="I7" s="1462"/>
      <c r="J7" s="1462"/>
      <c r="K7" s="1462"/>
      <c r="L7" s="1462"/>
      <c r="M7" s="1462"/>
      <c r="N7" s="1462"/>
      <c r="O7" s="1462"/>
      <c r="P7" s="1462"/>
      <c r="Q7" s="1469"/>
      <c r="R7" s="1469"/>
      <c r="S7" s="1469"/>
    </row>
    <row r="8" spans="1:19" ht="15.95"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19" ht="12.75"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19" ht="12.75"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row>
    <row r="11" spans="1:19" ht="12.75"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row>
    <row r="12" spans="1:19" ht="12.75"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19" ht="12.75"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19" ht="12.75"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19" ht="12.75"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19" ht="12.75"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ht="12.75"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ht="12.75"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ht="12.75"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ht="12.75"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ht="12.75"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ht="12.75"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ht="12.75"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ht="12.75"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ht="12.75"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ht="12.75"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ht="12.75"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ht="12.75"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ht="12.75"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ht="12.75"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ht="12.75"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ht="12.75"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ht="12.75"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ht="12.75"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ht="12.75"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ht="12.75"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ht="12.75"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ht="12.75"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ht="12.75"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ht="12.75"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ht="15.75"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ht="25.5"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ht="12.75" hidden="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ht="12.75"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12.75"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ht="12.75"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ht="12.75"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12.75"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12.75"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12.75"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12.75"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12.75"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ht="25.5"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12.75"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12.75"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12.75"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12.75"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12.75"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12.75"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12.75"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ht="12.75"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12.75"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12.75"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12.75"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ht="12.75" hidden="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ht="25.5" hidden="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12.75" hidden="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12.75" hidden="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12.75" hidden="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12.75" hidden="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12.75" hidden="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5.5" hidden="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12.75" hidden="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ht="12.75" hidden="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ht="12.75" hidden="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94" si="23">R75+S75</f>
        <v>0</v>
      </c>
      <c r="R75" s="418"/>
      <c r="S75" s="418"/>
    </row>
    <row r="76" spans="1:19" ht="12.75" hidden="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12.75" hidden="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12.75" hidden="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12.75" hidden="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ht="12.75" hidden="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12.75" hidden="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12.75" hidden="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si="23"/>
        <v>0</v>
      </c>
      <c r="R82" s="418"/>
      <c r="S82" s="418"/>
    </row>
    <row r="83" spans="1:19" ht="12.75" hidden="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3"/>
        <v>0</v>
      </c>
      <c r="R83" s="418"/>
      <c r="S83" s="418"/>
    </row>
    <row r="84" spans="1:19" ht="12.75" hidden="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3"/>
        <v>0</v>
      </c>
      <c r="R84" s="418"/>
      <c r="S84" s="418"/>
    </row>
    <row r="85" spans="1:19" ht="12.75" hidden="1" x14ac:dyDescent="0.2">
      <c r="A85" s="939">
        <v>62</v>
      </c>
      <c r="B85" s="181" t="s">
        <v>500</v>
      </c>
      <c r="C85" s="417">
        <f t="shared" si="17"/>
        <v>0</v>
      </c>
      <c r="D85" s="417">
        <f t="shared" ref="D85:D90" si="24">SUM(E85:P85)</f>
        <v>0</v>
      </c>
      <c r="E85" s="418"/>
      <c r="F85" s="418"/>
      <c r="G85" s="418"/>
      <c r="H85" s="418"/>
      <c r="I85" s="418"/>
      <c r="J85" s="418"/>
      <c r="K85" s="418"/>
      <c r="L85" s="418"/>
      <c r="M85" s="418"/>
      <c r="N85" s="418"/>
      <c r="O85" s="418"/>
      <c r="P85" s="418"/>
      <c r="Q85" s="418">
        <f t="shared" si="23"/>
        <v>0</v>
      </c>
      <c r="R85" s="418"/>
      <c r="S85" s="418"/>
    </row>
    <row r="86" spans="1:19" ht="12.75" hidden="1" x14ac:dyDescent="0.2">
      <c r="A86" s="939">
        <v>63</v>
      </c>
      <c r="B86" s="181" t="s">
        <v>765</v>
      </c>
      <c r="C86" s="417">
        <f>D86+Q86</f>
        <v>0</v>
      </c>
      <c r="D86" s="417">
        <f t="shared" si="24"/>
        <v>0</v>
      </c>
      <c r="E86" s="418"/>
      <c r="F86" s="418"/>
      <c r="G86" s="418"/>
      <c r="H86" s="418"/>
      <c r="I86" s="418"/>
      <c r="J86" s="418"/>
      <c r="K86" s="418"/>
      <c r="L86" s="418"/>
      <c r="M86" s="418"/>
      <c r="N86" s="418"/>
      <c r="O86" s="418"/>
      <c r="P86" s="418"/>
      <c r="Q86" s="418">
        <f>R86+S86</f>
        <v>0</v>
      </c>
      <c r="R86" s="418"/>
      <c r="S86" s="418"/>
    </row>
    <row r="87" spans="1:19" ht="12.75" hidden="1" x14ac:dyDescent="0.2">
      <c r="A87" s="939">
        <v>64</v>
      </c>
      <c r="B87" s="181" t="s">
        <v>766</v>
      </c>
      <c r="C87" s="417">
        <f>D87+Q87</f>
        <v>0</v>
      </c>
      <c r="D87" s="417">
        <f t="shared" si="24"/>
        <v>0</v>
      </c>
      <c r="E87" s="418"/>
      <c r="F87" s="418"/>
      <c r="G87" s="418"/>
      <c r="H87" s="418"/>
      <c r="I87" s="418"/>
      <c r="J87" s="418"/>
      <c r="K87" s="418"/>
      <c r="L87" s="418"/>
      <c r="M87" s="418"/>
      <c r="N87" s="418"/>
      <c r="O87" s="418"/>
      <c r="P87" s="418"/>
      <c r="Q87" s="418">
        <f>R87+S87</f>
        <v>0</v>
      </c>
      <c r="R87" s="418"/>
      <c r="S87" s="418"/>
    </row>
    <row r="88" spans="1:19" ht="12.75" hidden="1" x14ac:dyDescent="0.2">
      <c r="A88" s="939">
        <v>65</v>
      </c>
      <c r="B88" s="953" t="s">
        <v>1356</v>
      </c>
      <c r="C88" s="417">
        <f t="shared" si="17"/>
        <v>0</v>
      </c>
      <c r="D88" s="417">
        <f t="shared" si="24"/>
        <v>0</v>
      </c>
      <c r="E88" s="421"/>
      <c r="F88" s="421"/>
      <c r="G88" s="421"/>
      <c r="H88" s="421"/>
      <c r="I88" s="421"/>
      <c r="J88" s="421"/>
      <c r="K88" s="421"/>
      <c r="L88" s="421"/>
      <c r="M88" s="421"/>
      <c r="N88" s="421"/>
      <c r="O88" s="421"/>
      <c r="P88" s="421"/>
      <c r="Q88" s="421">
        <f t="shared" si="23"/>
        <v>0</v>
      </c>
      <c r="R88" s="421"/>
      <c r="S88" s="421"/>
    </row>
    <row r="89" spans="1:19" ht="12.75" hidden="1" x14ac:dyDescent="0.2">
      <c r="A89" s="939">
        <v>66</v>
      </c>
      <c r="B89" s="953" t="s">
        <v>1357</v>
      </c>
      <c r="C89" s="417">
        <f t="shared" si="17"/>
        <v>0</v>
      </c>
      <c r="D89" s="417">
        <f t="shared" si="24"/>
        <v>0</v>
      </c>
      <c r="E89" s="421"/>
      <c r="F89" s="421"/>
      <c r="G89" s="421"/>
      <c r="H89" s="421"/>
      <c r="I89" s="421"/>
      <c r="J89" s="421"/>
      <c r="K89" s="421"/>
      <c r="L89" s="421"/>
      <c r="M89" s="421"/>
      <c r="N89" s="421"/>
      <c r="O89" s="421"/>
      <c r="P89" s="421"/>
      <c r="Q89" s="421">
        <f t="shared" si="23"/>
        <v>0</v>
      </c>
      <c r="R89" s="421"/>
      <c r="S89" s="421"/>
    </row>
    <row r="90" spans="1:19" ht="12.75" hidden="1" x14ac:dyDescent="0.2">
      <c r="A90" s="939">
        <v>67</v>
      </c>
      <c r="B90" s="953" t="s">
        <v>1358</v>
      </c>
      <c r="C90" s="417">
        <f t="shared" si="17"/>
        <v>0</v>
      </c>
      <c r="D90" s="417">
        <f t="shared" si="24"/>
        <v>0</v>
      </c>
      <c r="E90" s="421"/>
      <c r="F90" s="421"/>
      <c r="G90" s="421"/>
      <c r="H90" s="421"/>
      <c r="I90" s="421"/>
      <c r="J90" s="421"/>
      <c r="K90" s="421"/>
      <c r="L90" s="421"/>
      <c r="M90" s="421"/>
      <c r="N90" s="421"/>
      <c r="O90" s="421"/>
      <c r="P90" s="421"/>
      <c r="Q90" s="421">
        <f t="shared" si="23"/>
        <v>0</v>
      </c>
      <c r="R90" s="421"/>
      <c r="S90" s="421"/>
    </row>
    <row r="91" spans="1:19" ht="12.75" hidden="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3"/>
        <v>0</v>
      </c>
      <c r="R91" s="418"/>
      <c r="S91" s="418"/>
    </row>
    <row r="92" spans="1:19" ht="12.75" hidden="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3"/>
        <v>0</v>
      </c>
      <c r="R92" s="418"/>
      <c r="S92" s="418"/>
    </row>
    <row r="93" spans="1:19" ht="12.75" hidden="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3"/>
        <v>0</v>
      </c>
      <c r="R93" s="418"/>
      <c r="S93" s="418"/>
    </row>
    <row r="94" spans="1:19" ht="12.75" hidden="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3"/>
        <v>0</v>
      </c>
      <c r="R94" s="418"/>
      <c r="S94" s="418"/>
    </row>
    <row r="95" spans="1:19" ht="12.75" hidden="1" x14ac:dyDescent="0.2">
      <c r="A95" s="206">
        <v>3</v>
      </c>
      <c r="B95" s="951" t="s">
        <v>600</v>
      </c>
      <c r="C95" s="422">
        <f>SUM(C96:C104)</f>
        <v>408362</v>
      </c>
      <c r="D95" s="422">
        <f t="shared" ref="D95:S95" si="25">SUM(D96:D104)</f>
        <v>408362</v>
      </c>
      <c r="E95" s="422">
        <f t="shared" si="25"/>
        <v>0</v>
      </c>
      <c r="F95" s="422">
        <f t="shared" si="25"/>
        <v>0</v>
      </c>
      <c r="G95" s="422">
        <f t="shared" si="25"/>
        <v>0</v>
      </c>
      <c r="H95" s="422">
        <f t="shared" si="25"/>
        <v>15000</v>
      </c>
      <c r="I95" s="422">
        <f t="shared" si="25"/>
        <v>373362</v>
      </c>
      <c r="J95" s="422">
        <f t="shared" si="25"/>
        <v>0</v>
      </c>
      <c r="K95" s="422">
        <f t="shared" si="25"/>
        <v>0</v>
      </c>
      <c r="L95" s="422">
        <f t="shared" si="25"/>
        <v>0</v>
      </c>
      <c r="M95" s="422">
        <f t="shared" si="25"/>
        <v>20000</v>
      </c>
      <c r="N95" s="422">
        <f t="shared" si="25"/>
        <v>0</v>
      </c>
      <c r="O95" s="422">
        <f t="shared" si="25"/>
        <v>0</v>
      </c>
      <c r="P95" s="422">
        <f t="shared" si="25"/>
        <v>0</v>
      </c>
      <c r="Q95" s="422">
        <f t="shared" si="25"/>
        <v>0</v>
      </c>
      <c r="R95" s="422">
        <f t="shared" si="25"/>
        <v>0</v>
      </c>
      <c r="S95" s="422">
        <f t="shared" si="25"/>
        <v>0</v>
      </c>
    </row>
    <row r="96" spans="1:19" ht="12.75" hidden="1" x14ac:dyDescent="0.2">
      <c r="A96" s="944">
        <v>72</v>
      </c>
      <c r="B96" s="950" t="s">
        <v>387</v>
      </c>
      <c r="C96" s="417">
        <f t="shared" si="17"/>
        <v>0</v>
      </c>
      <c r="D96" s="417">
        <f t="shared" ref="D96:D104" si="26">SUM(E96:P96)</f>
        <v>0</v>
      </c>
      <c r="E96" s="418"/>
      <c r="F96" s="418"/>
      <c r="G96" s="418"/>
      <c r="H96" s="418"/>
      <c r="I96" s="418"/>
      <c r="J96" s="418"/>
      <c r="K96" s="418"/>
      <c r="L96" s="418"/>
      <c r="M96" s="418"/>
      <c r="N96" s="418"/>
      <c r="O96" s="418"/>
      <c r="P96" s="418"/>
      <c r="Q96" s="418">
        <f>R96+S96</f>
        <v>0</v>
      </c>
      <c r="R96" s="418"/>
      <c r="S96" s="418"/>
    </row>
    <row r="97" spans="1:19" ht="15" hidden="1" x14ac:dyDescent="0.2">
      <c r="A97" s="944">
        <v>73</v>
      </c>
      <c r="B97" s="207" t="s">
        <v>388</v>
      </c>
      <c r="C97" s="417">
        <f t="shared" si="17"/>
        <v>0</v>
      </c>
      <c r="D97" s="417">
        <f t="shared" si="26"/>
        <v>0</v>
      </c>
      <c r="E97" s="418"/>
      <c r="F97" s="418"/>
      <c r="G97" s="418"/>
      <c r="H97" s="418"/>
      <c r="I97" s="418"/>
      <c r="J97" s="418"/>
      <c r="K97" s="418"/>
      <c r="L97" s="418"/>
      <c r="M97" s="418"/>
      <c r="N97" s="418"/>
      <c r="O97" s="418"/>
      <c r="P97" s="418"/>
      <c r="Q97" s="418">
        <f t="shared" ref="Q97:Q104" si="27">R97+S97</f>
        <v>0</v>
      </c>
      <c r="R97" s="418"/>
      <c r="S97" s="418"/>
    </row>
    <row r="98" spans="1:19" ht="12.75" hidden="1" x14ac:dyDescent="0.2">
      <c r="A98" s="944">
        <v>74</v>
      </c>
      <c r="B98" s="950" t="s">
        <v>1363</v>
      </c>
      <c r="C98" s="417">
        <f t="shared" si="17"/>
        <v>0</v>
      </c>
      <c r="D98" s="417">
        <f t="shared" si="26"/>
        <v>0</v>
      </c>
      <c r="E98" s="418"/>
      <c r="F98" s="418"/>
      <c r="G98" s="418"/>
      <c r="H98" s="418"/>
      <c r="I98" s="418"/>
      <c r="J98" s="418"/>
      <c r="K98" s="418"/>
      <c r="L98" s="418"/>
      <c r="M98" s="418"/>
      <c r="N98" s="418"/>
      <c r="O98" s="418"/>
      <c r="P98" s="418"/>
      <c r="Q98" s="418">
        <f t="shared" si="27"/>
        <v>0</v>
      </c>
      <c r="R98" s="418"/>
      <c r="S98" s="418"/>
    </row>
    <row r="99" spans="1:19" ht="12.75" hidden="1" x14ac:dyDescent="0.2">
      <c r="A99" s="944">
        <v>75</v>
      </c>
      <c r="B99" s="950" t="s">
        <v>338</v>
      </c>
      <c r="C99" s="417">
        <f t="shared" si="17"/>
        <v>0</v>
      </c>
      <c r="D99" s="417">
        <f t="shared" si="26"/>
        <v>0</v>
      </c>
      <c r="E99" s="418"/>
      <c r="F99" s="418"/>
      <c r="G99" s="418"/>
      <c r="H99" s="418"/>
      <c r="I99" s="418"/>
      <c r="J99" s="418"/>
      <c r="K99" s="418"/>
      <c r="L99" s="418"/>
      <c r="M99" s="418"/>
      <c r="N99" s="418"/>
      <c r="O99" s="418"/>
      <c r="P99" s="418"/>
      <c r="Q99" s="418">
        <f t="shared" si="27"/>
        <v>0</v>
      </c>
      <c r="R99" s="418"/>
      <c r="S99" s="418"/>
    </row>
    <row r="100" spans="1:19" ht="12.75" hidden="1" x14ac:dyDescent="0.2">
      <c r="A100" s="944">
        <v>76</v>
      </c>
      <c r="B100" s="950" t="s">
        <v>233</v>
      </c>
      <c r="C100" s="417">
        <f t="shared" si="17"/>
        <v>0</v>
      </c>
      <c r="D100" s="417">
        <f t="shared" si="26"/>
        <v>0</v>
      </c>
      <c r="E100" s="418"/>
      <c r="F100" s="418"/>
      <c r="G100" s="418"/>
      <c r="H100" s="418"/>
      <c r="I100" s="418"/>
      <c r="J100" s="418"/>
      <c r="K100" s="418"/>
      <c r="L100" s="418"/>
      <c r="M100" s="418"/>
      <c r="N100" s="418"/>
      <c r="O100" s="418"/>
      <c r="P100" s="418"/>
      <c r="Q100" s="418">
        <f t="shared" si="27"/>
        <v>0</v>
      </c>
      <c r="R100" s="418"/>
      <c r="S100" s="418"/>
    </row>
    <row r="101" spans="1:19" ht="12.75" hidden="1" x14ac:dyDescent="0.2">
      <c r="A101" s="944">
        <v>77</v>
      </c>
      <c r="B101" s="950" t="s">
        <v>606</v>
      </c>
      <c r="C101" s="417">
        <f t="shared" si="17"/>
        <v>0</v>
      </c>
      <c r="D101" s="417">
        <f t="shared" si="26"/>
        <v>0</v>
      </c>
      <c r="E101" s="418"/>
      <c r="F101" s="418"/>
      <c r="G101" s="418"/>
      <c r="H101" s="418"/>
      <c r="I101" s="418"/>
      <c r="J101" s="418"/>
      <c r="K101" s="418"/>
      <c r="L101" s="418"/>
      <c r="M101" s="418"/>
      <c r="N101" s="418"/>
      <c r="O101" s="418"/>
      <c r="P101" s="418"/>
      <c r="Q101" s="418">
        <f t="shared" si="27"/>
        <v>0</v>
      </c>
      <c r="R101" s="418"/>
      <c r="S101" s="418"/>
    </row>
    <row r="102" spans="1:19" ht="12.75" hidden="1" x14ac:dyDescent="0.2">
      <c r="A102" s="944">
        <v>78</v>
      </c>
      <c r="B102" s="950" t="s">
        <v>603</v>
      </c>
      <c r="C102" s="417">
        <f>D102+Q102</f>
        <v>373362</v>
      </c>
      <c r="D102" s="417">
        <f t="shared" si="26"/>
        <v>373362</v>
      </c>
      <c r="E102" s="418"/>
      <c r="F102" s="418"/>
      <c r="G102" s="418"/>
      <c r="H102" s="418"/>
      <c r="I102" s="418">
        <f>(39503+64000+127226+44735+14000+344+1554+80000+1200+800)</f>
        <v>373362</v>
      </c>
      <c r="J102" s="418"/>
      <c r="K102" s="418"/>
      <c r="L102" s="418"/>
      <c r="M102" s="418"/>
      <c r="N102" s="418"/>
      <c r="O102" s="418"/>
      <c r="P102" s="418"/>
      <c r="Q102" s="418">
        <f t="shared" si="27"/>
        <v>0</v>
      </c>
      <c r="R102" s="418"/>
      <c r="S102" s="418"/>
    </row>
    <row r="103" spans="1:19" ht="12.75" hidden="1" x14ac:dyDescent="0.2">
      <c r="A103" s="944">
        <v>79</v>
      </c>
      <c r="B103" s="950" t="s">
        <v>1218</v>
      </c>
      <c r="C103" s="417">
        <f>D103+Q103</f>
        <v>35000</v>
      </c>
      <c r="D103" s="417">
        <f t="shared" si="26"/>
        <v>35000</v>
      </c>
      <c r="E103" s="418"/>
      <c r="F103" s="418"/>
      <c r="G103" s="418"/>
      <c r="H103" s="418">
        <v>15000</v>
      </c>
      <c r="I103" s="418"/>
      <c r="J103" s="418"/>
      <c r="K103" s="418"/>
      <c r="L103" s="418"/>
      <c r="M103" s="418">
        <v>20000</v>
      </c>
      <c r="N103" s="418"/>
      <c r="O103" s="418"/>
      <c r="P103" s="418"/>
      <c r="Q103" s="418">
        <f t="shared" si="27"/>
        <v>0</v>
      </c>
      <c r="R103" s="418"/>
      <c r="S103" s="418"/>
    </row>
    <row r="104" spans="1:19" ht="12.75" hidden="1" x14ac:dyDescent="0.2">
      <c r="A104" s="944">
        <v>80</v>
      </c>
      <c r="B104" s="950" t="s">
        <v>521</v>
      </c>
      <c r="C104" s="417">
        <f t="shared" si="17"/>
        <v>0</v>
      </c>
      <c r="D104" s="417">
        <f t="shared" si="26"/>
        <v>0</v>
      </c>
      <c r="E104" s="418"/>
      <c r="F104" s="418"/>
      <c r="G104" s="418"/>
      <c r="H104" s="418"/>
      <c r="I104" s="418"/>
      <c r="J104" s="418"/>
      <c r="K104" s="418"/>
      <c r="L104" s="418"/>
      <c r="M104" s="418"/>
      <c r="N104" s="418"/>
      <c r="O104" s="418"/>
      <c r="P104" s="418"/>
      <c r="Q104" s="418">
        <f t="shared" si="27"/>
        <v>0</v>
      </c>
      <c r="R104" s="418"/>
      <c r="S104" s="418"/>
    </row>
    <row r="105" spans="1:19" ht="12.75"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ht="12.75"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ht="12.75"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ht="12.75"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ht="12.75"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ht="12.75"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ht="12.75"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ht="2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ht="12.75"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sheetData>
  <customSheetViews>
    <customSheetView guid="{88621519-296E-4458-B04E-813E881018FE}" fitToPage="1" hiddenColumns="1" state="hidden">
      <pane xSplit="10" ySplit="11" topLeftCell="P12" activePane="bottomRight" state="frozen"/>
      <selection pane="bottomRight" activeCell="C4" sqref="C4:C7"/>
      <pageMargins left="0" right="0" top="0.39370078740157483" bottom="0.19685039370078741" header="0" footer="0"/>
      <printOptions horizontalCentered="1"/>
      <pageSetup paperSize="9" scale="56" fitToHeight="2" orientation="landscape" r:id="rId1"/>
      <headerFooter alignWithMargins="0">
        <oddHeader>&amp;R&amp;A</oddHeader>
      </headerFooter>
    </customSheetView>
  </customSheetViews>
  <mergeCells count="25">
    <mergeCell ref="Q5:Q7"/>
    <mergeCell ref="D5:D7"/>
    <mergeCell ref="E5:P5"/>
    <mergeCell ref="A1:S1"/>
    <mergeCell ref="I6:I7"/>
    <mergeCell ref="J6:J7"/>
    <mergeCell ref="R5:S5"/>
    <mergeCell ref="S6:S7"/>
    <mergeCell ref="R6:R7"/>
    <mergeCell ref="L6:L7"/>
    <mergeCell ref="M6:M7"/>
    <mergeCell ref="P6:P7"/>
    <mergeCell ref="O6:O7"/>
    <mergeCell ref="C4:C7"/>
    <mergeCell ref="C3:S3"/>
    <mergeCell ref="Q4:S4"/>
    <mergeCell ref="A3:A7"/>
    <mergeCell ref="G6:G7"/>
    <mergeCell ref="B3:B7"/>
    <mergeCell ref="D4:P4"/>
    <mergeCell ref="E6:E7"/>
    <mergeCell ref="N6:N7"/>
    <mergeCell ref="F6:F7"/>
    <mergeCell ref="K6:K7"/>
    <mergeCell ref="H6:H7"/>
  </mergeCells>
  <phoneticPr fontId="5" type="noConversion"/>
  <hyperlinks>
    <hyperlink ref="E41" r:id="rId2" display="..\DutoanNSNN2020\Stc\QLDN\Lập dự toán 2020.xls"/>
  </hyperlinks>
  <printOptions horizontalCentered="1"/>
  <pageMargins left="0" right="0" top="0.39370078740157483" bottom="0.19685039370078741" header="0" footer="0"/>
  <pageSetup paperSize="9" scale="56" fitToHeight="2" orientation="landscape" r:id="rId3"/>
  <headerFooter alignWithMargins="0">
    <oddHeader>&amp;R&amp;A</oddHeader>
  </headerFooter>
  <drawing r:id="rId4"/>
  <legacyDrawing r:id="rId5"/>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FFFF00"/>
    <pageSetUpPr fitToPage="1"/>
  </sheetPr>
  <dimension ref="A1:I50"/>
  <sheetViews>
    <sheetView topLeftCell="A3" workbookViewId="0">
      <selection activeCell="A4" sqref="A4:C4"/>
    </sheetView>
  </sheetViews>
  <sheetFormatPr defaultRowHeight="13.5" x14ac:dyDescent="0.2"/>
  <cols>
    <col min="1" max="1" width="6" style="67" customWidth="1"/>
    <col min="2" max="2" width="41.75" style="67" customWidth="1"/>
    <col min="3" max="3" width="14.25" style="67" customWidth="1"/>
    <col min="4" max="4" width="14.5" style="67" customWidth="1"/>
    <col min="5" max="5" width="13.875" style="67" customWidth="1"/>
    <col min="6" max="7" width="9" style="67"/>
    <col min="8" max="8" width="15.625" style="67" bestFit="1" customWidth="1"/>
    <col min="9" max="16384" width="9" style="67"/>
  </cols>
  <sheetData>
    <row r="1" spans="1:9" ht="69.75" hidden="1" customHeight="1" x14ac:dyDescent="0.2">
      <c r="A1" s="1531" t="s">
        <v>32</v>
      </c>
      <c r="B1" s="1531"/>
      <c r="C1" s="1531"/>
      <c r="D1" s="1531"/>
      <c r="E1" s="1531"/>
      <c r="F1" s="66"/>
      <c r="G1" s="66"/>
      <c r="H1" s="66"/>
      <c r="I1" s="66"/>
    </row>
    <row r="2" spans="1:9" hidden="1" x14ac:dyDescent="0.2"/>
    <row r="3" spans="1:9" ht="62.25" customHeight="1" x14ac:dyDescent="0.2">
      <c r="A3" s="1532" t="s">
        <v>1609</v>
      </c>
      <c r="B3" s="1533"/>
      <c r="C3" s="1533"/>
      <c r="D3" s="1533"/>
      <c r="E3" s="1533"/>
    </row>
    <row r="4" spans="1:9" x14ac:dyDescent="0.2">
      <c r="E4" s="68" t="s">
        <v>516</v>
      </c>
    </row>
    <row r="5" spans="1:9" ht="12.75" customHeight="1" x14ac:dyDescent="0.2">
      <c r="A5" s="1490" t="s">
        <v>519</v>
      </c>
      <c r="B5" s="1490" t="s">
        <v>33</v>
      </c>
      <c r="C5" s="1490" t="s">
        <v>1398</v>
      </c>
      <c r="D5" s="1490" t="s">
        <v>34</v>
      </c>
      <c r="E5" s="1490"/>
    </row>
    <row r="6" spans="1:9" ht="27" x14ac:dyDescent="0.2">
      <c r="A6" s="1490"/>
      <c r="B6" s="1490"/>
      <c r="C6" s="1490"/>
      <c r="D6" s="439" t="s">
        <v>482</v>
      </c>
      <c r="E6" s="439" t="s">
        <v>35</v>
      </c>
    </row>
    <row r="7" spans="1:9" x14ac:dyDescent="0.2">
      <c r="A7" s="440" t="s">
        <v>407</v>
      </c>
      <c r="B7" s="441" t="s">
        <v>1244</v>
      </c>
      <c r="C7" s="442">
        <f>SUM(D7:E7)</f>
        <v>0</v>
      </c>
      <c r="D7" s="442">
        <f>SUM(D8:D9)</f>
        <v>0</v>
      </c>
      <c r="E7" s="442">
        <f>SUM(E8:E9)</f>
        <v>0</v>
      </c>
    </row>
    <row r="8" spans="1:9" x14ac:dyDescent="0.2">
      <c r="A8" s="434">
        <v>1</v>
      </c>
      <c r="B8" s="435" t="s">
        <v>389</v>
      </c>
      <c r="C8" s="443">
        <f>SUM(D8:E8)</f>
        <v>0</v>
      </c>
      <c r="D8" s="443"/>
      <c r="E8" s="443"/>
    </row>
    <row r="9" spans="1:9" x14ac:dyDescent="0.2">
      <c r="A9" s="434">
        <v>2</v>
      </c>
      <c r="B9" s="444" t="s">
        <v>319</v>
      </c>
      <c r="C9" s="433">
        <f>SUM(D9:E9)</f>
        <v>0</v>
      </c>
      <c r="D9" s="443"/>
      <c r="E9" s="443"/>
    </row>
    <row r="10" spans="1:9" x14ac:dyDescent="0.2">
      <c r="A10" s="445" t="s">
        <v>422</v>
      </c>
      <c r="B10" s="446" t="s">
        <v>36</v>
      </c>
      <c r="C10" s="447">
        <f>SUM(C11,C19)</f>
        <v>1680276</v>
      </c>
      <c r="D10" s="447">
        <f>SUM(D11,D19)</f>
        <v>1263824</v>
      </c>
      <c r="E10" s="447">
        <f>SUM(E11,E19)</f>
        <v>416452</v>
      </c>
    </row>
    <row r="11" spans="1:9" x14ac:dyDescent="0.2">
      <c r="A11" s="448" t="s">
        <v>409</v>
      </c>
      <c r="B11" s="449" t="s">
        <v>759</v>
      </c>
      <c r="C11" s="447">
        <f>SUM(C12,C14)</f>
        <v>1263824</v>
      </c>
      <c r="D11" s="447">
        <f>SUM(D12,D14)</f>
        <v>1263824</v>
      </c>
      <c r="E11" s="447">
        <f>SUM(E12,E14)</f>
        <v>0</v>
      </c>
    </row>
    <row r="12" spans="1:9" ht="27" x14ac:dyDescent="0.2">
      <c r="A12" s="448">
        <v>1</v>
      </c>
      <c r="B12" s="454" t="s">
        <v>1647</v>
      </c>
      <c r="C12" s="452">
        <f>SUM(D12:E12)</f>
        <v>310000</v>
      </c>
      <c r="D12" s="452">
        <v>310000</v>
      </c>
      <c r="E12" s="452"/>
      <c r="H12" s="1344"/>
    </row>
    <row r="13" spans="1:9" ht="40.5" x14ac:dyDescent="0.2">
      <c r="A13" s="626"/>
      <c r="B13" s="627" t="s">
        <v>942</v>
      </c>
      <c r="C13" s="628">
        <f>SUM(D13:E13)</f>
        <v>0</v>
      </c>
      <c r="D13" s="628"/>
      <c r="E13" s="628"/>
      <c r="H13" s="1344"/>
    </row>
    <row r="14" spans="1:9" ht="27" x14ac:dyDescent="0.2">
      <c r="A14" s="457">
        <v>2</v>
      </c>
      <c r="B14" s="454" t="s">
        <v>1646</v>
      </c>
      <c r="C14" s="452">
        <f>SUM(C15,C18)</f>
        <v>953824</v>
      </c>
      <c r="D14" s="452">
        <f>SUM(D15,D18)</f>
        <v>953824</v>
      </c>
      <c r="E14" s="452">
        <f>SUM(E15,E18)</f>
        <v>0</v>
      </c>
    </row>
    <row r="15" spans="1:9" x14ac:dyDescent="0.2">
      <c r="A15" s="450" t="s">
        <v>434</v>
      </c>
      <c r="B15" s="435" t="s">
        <v>1643</v>
      </c>
      <c r="C15" s="433">
        <f>SUM(D15:E15)</f>
        <v>953824</v>
      </c>
      <c r="D15" s="433">
        <v>953824</v>
      </c>
      <c r="E15" s="433">
        <v>0</v>
      </c>
    </row>
    <row r="16" spans="1:9" ht="40.5" x14ac:dyDescent="0.2">
      <c r="A16" s="1288"/>
      <c r="B16" s="627" t="s">
        <v>1644</v>
      </c>
      <c r="C16" s="628">
        <f>SUM(D16:E16)</f>
        <v>100000</v>
      </c>
      <c r="D16" s="628">
        <v>100000</v>
      </c>
      <c r="E16" s="628"/>
    </row>
    <row r="17" spans="1:5" ht="40.5" x14ac:dyDescent="0.2">
      <c r="A17" s="626"/>
      <c r="B17" s="627" t="s">
        <v>1645</v>
      </c>
      <c r="C17" s="628">
        <f>SUM(D17:E17)</f>
        <v>47155</v>
      </c>
      <c r="D17" s="628">
        <v>47155</v>
      </c>
      <c r="E17" s="628"/>
    </row>
    <row r="18" spans="1:5" x14ac:dyDescent="0.2">
      <c r="A18" s="450" t="s">
        <v>435</v>
      </c>
      <c r="B18" s="435" t="s">
        <v>764</v>
      </c>
      <c r="C18" s="433">
        <f>SUM(D18:E18)</f>
        <v>0</v>
      </c>
      <c r="D18" s="433">
        <v>0</v>
      </c>
      <c r="E18" s="433"/>
    </row>
    <row r="19" spans="1:5" x14ac:dyDescent="0.2">
      <c r="A19" s="448" t="s">
        <v>421</v>
      </c>
      <c r="B19" s="449" t="s">
        <v>37</v>
      </c>
      <c r="C19" s="447">
        <f>SUM(C20,C30)</f>
        <v>416452</v>
      </c>
      <c r="D19" s="447">
        <f>SUM(D20,D30)</f>
        <v>0</v>
      </c>
      <c r="E19" s="447">
        <f>SUM(E20,E30)</f>
        <v>416452</v>
      </c>
    </row>
    <row r="20" spans="1:5" x14ac:dyDescent="0.2">
      <c r="A20" s="448" t="s">
        <v>713</v>
      </c>
      <c r="B20" s="449" t="s">
        <v>714</v>
      </c>
      <c r="C20" s="447">
        <f>SUM(C21:C29)</f>
        <v>309482</v>
      </c>
      <c r="D20" s="447">
        <f>SUM(D21:D29)</f>
        <v>0</v>
      </c>
      <c r="E20" s="447">
        <f>SUM(E21:E29)</f>
        <v>309482</v>
      </c>
    </row>
    <row r="21" spans="1:5" ht="27" x14ac:dyDescent="0.2">
      <c r="A21" s="434">
        <v>1</v>
      </c>
      <c r="B21" s="435" t="s">
        <v>916</v>
      </c>
      <c r="C21" s="433">
        <f t="shared" ref="C21:C48" si="0">SUM(D21:E21)</f>
        <v>18016</v>
      </c>
      <c r="D21" s="433"/>
      <c r="E21" s="433">
        <v>18016</v>
      </c>
    </row>
    <row r="22" spans="1:5" ht="67.5" x14ac:dyDescent="0.2">
      <c r="A22" s="434">
        <v>2</v>
      </c>
      <c r="B22" s="435" t="s">
        <v>1641</v>
      </c>
      <c r="C22" s="433">
        <f t="shared" si="0"/>
        <v>75079</v>
      </c>
      <c r="D22" s="433"/>
      <c r="E22" s="433">
        <v>75079</v>
      </c>
    </row>
    <row r="23" spans="1:5" ht="67.5" x14ac:dyDescent="0.2">
      <c r="A23" s="434">
        <v>3</v>
      </c>
      <c r="B23" s="435" t="s">
        <v>1640</v>
      </c>
      <c r="C23" s="433">
        <f t="shared" si="0"/>
        <v>85460</v>
      </c>
      <c r="D23" s="433"/>
      <c r="E23" s="433">
        <v>85460</v>
      </c>
    </row>
    <row r="24" spans="1:5" ht="67.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ht="27" x14ac:dyDescent="0.2">
      <c r="A26" s="434">
        <v>6</v>
      </c>
      <c r="B26" s="934" t="s">
        <v>1560</v>
      </c>
      <c r="C26" s="935">
        <f>SUM(D26:E26)</f>
        <v>3223</v>
      </c>
      <c r="D26" s="935"/>
      <c r="E26" s="935">
        <v>3223</v>
      </c>
    </row>
    <row r="27" spans="1:5" ht="54" x14ac:dyDescent="0.2">
      <c r="A27" s="434">
        <v>7</v>
      </c>
      <c r="B27" s="435" t="s">
        <v>1639</v>
      </c>
      <c r="C27" s="433">
        <f>SUM(D27:E27)</f>
        <v>6710</v>
      </c>
      <c r="D27" s="433"/>
      <c r="E27" s="433">
        <v>6710</v>
      </c>
    </row>
    <row r="28" spans="1:5" x14ac:dyDescent="0.2">
      <c r="A28" s="434">
        <v>8</v>
      </c>
      <c r="B28" s="435" t="s">
        <v>1642</v>
      </c>
      <c r="C28" s="433">
        <f>SUM(D28:E28)</f>
        <v>5000</v>
      </c>
      <c r="D28" s="433"/>
      <c r="E28" s="433">
        <v>5000</v>
      </c>
    </row>
    <row r="29" spans="1:5" ht="27" x14ac:dyDescent="0.2">
      <c r="A29" s="434">
        <v>9</v>
      </c>
      <c r="B29" s="435" t="s">
        <v>1638</v>
      </c>
      <c r="C29" s="433">
        <f t="shared" si="0"/>
        <v>71750</v>
      </c>
      <c r="D29" s="433"/>
      <c r="E29" s="433">
        <f>(33750+4250)+33750</f>
        <v>71750</v>
      </c>
    </row>
    <row r="30" spans="1:5" ht="27" x14ac:dyDescent="0.2">
      <c r="A30" s="448" t="s">
        <v>715</v>
      </c>
      <c r="B30" s="449" t="s">
        <v>716</v>
      </c>
      <c r="C30" s="455">
        <f>SUM(C31,C32,C41)</f>
        <v>106970</v>
      </c>
      <c r="D30" s="455">
        <f>SUM(D31,D32,D41)</f>
        <v>0</v>
      </c>
      <c r="E30" s="455">
        <f>SUM(E31,E32,E41)</f>
        <v>106970</v>
      </c>
    </row>
    <row r="31" spans="1:5" x14ac:dyDescent="0.2">
      <c r="A31" s="451" t="s">
        <v>730</v>
      </c>
      <c r="B31" s="454" t="s">
        <v>377</v>
      </c>
      <c r="C31" s="452">
        <f t="shared" si="0"/>
        <v>0</v>
      </c>
      <c r="D31" s="452"/>
      <c r="E31" s="452"/>
    </row>
    <row r="32" spans="1:5" x14ac:dyDescent="0.2">
      <c r="A32" s="451" t="s">
        <v>731</v>
      </c>
      <c r="B32" s="454" t="s">
        <v>376</v>
      </c>
      <c r="C32" s="452">
        <f>SUM(C33:C40)</f>
        <v>106970</v>
      </c>
      <c r="D32" s="452">
        <f>SUM(D33:D40)</f>
        <v>0</v>
      </c>
      <c r="E32" s="452">
        <f>SUM(E33:E40)</f>
        <v>106970</v>
      </c>
    </row>
    <row r="33" spans="1:5" x14ac:dyDescent="0.2">
      <c r="A33" s="434">
        <v>1</v>
      </c>
      <c r="B33" s="435" t="s">
        <v>917</v>
      </c>
      <c r="C33" s="433">
        <f>SUM(D33:E33)</f>
        <v>23286</v>
      </c>
      <c r="D33" s="433"/>
      <c r="E33" s="433">
        <v>23286</v>
      </c>
    </row>
    <row r="34" spans="1:5" ht="40.5" x14ac:dyDescent="0.2">
      <c r="A34" s="434">
        <v>2</v>
      </c>
      <c r="B34" s="435" t="s">
        <v>769</v>
      </c>
      <c r="C34" s="433">
        <f t="shared" si="0"/>
        <v>0</v>
      </c>
      <c r="D34" s="433"/>
      <c r="E34" s="433"/>
    </row>
    <row r="35" spans="1:5" x14ac:dyDescent="0.2">
      <c r="A35" s="434">
        <v>3</v>
      </c>
      <c r="B35" s="435" t="s">
        <v>768</v>
      </c>
      <c r="C35" s="433">
        <f t="shared" si="0"/>
        <v>0</v>
      </c>
      <c r="D35" s="433"/>
      <c r="E35" s="433"/>
    </row>
    <row r="36" spans="1:5" x14ac:dyDescent="0.2">
      <c r="A36" s="434">
        <v>4</v>
      </c>
      <c r="B36" s="435" t="s">
        <v>1242</v>
      </c>
      <c r="C36" s="433">
        <f t="shared" si="0"/>
        <v>0</v>
      </c>
      <c r="D36" s="433"/>
      <c r="E36" s="433"/>
    </row>
    <row r="37" spans="1:5" x14ac:dyDescent="0.2">
      <c r="A37" s="434">
        <v>5</v>
      </c>
      <c r="B37" s="435" t="s">
        <v>1241</v>
      </c>
      <c r="C37" s="433">
        <f t="shared" si="0"/>
        <v>0</v>
      </c>
      <c r="D37" s="433"/>
      <c r="E37" s="433"/>
    </row>
    <row r="38" spans="1:5" ht="27" x14ac:dyDescent="0.2">
      <c r="A38" s="434">
        <v>6</v>
      </c>
      <c r="B38" s="435" t="s">
        <v>1240</v>
      </c>
      <c r="C38" s="433">
        <f t="shared" si="0"/>
        <v>4825</v>
      </c>
      <c r="D38" s="433"/>
      <c r="E38" s="433">
        <v>4825</v>
      </c>
    </row>
    <row r="39" spans="1:5" ht="27" x14ac:dyDescent="0.2">
      <c r="A39" s="434">
        <v>7</v>
      </c>
      <c r="B39" s="435" t="s">
        <v>767</v>
      </c>
      <c r="C39" s="433">
        <f t="shared" si="0"/>
        <v>33671</v>
      </c>
      <c r="D39" s="433"/>
      <c r="E39" s="433">
        <v>33671</v>
      </c>
    </row>
    <row r="40" spans="1:5" ht="27" x14ac:dyDescent="0.2">
      <c r="A40" s="434">
        <v>8</v>
      </c>
      <c r="B40" s="435" t="s">
        <v>941</v>
      </c>
      <c r="C40" s="433">
        <f t="shared" si="0"/>
        <v>45188</v>
      </c>
      <c r="D40" s="433"/>
      <c r="E40" s="433">
        <v>45188</v>
      </c>
    </row>
    <row r="41" spans="1:5" x14ac:dyDescent="0.2">
      <c r="A41" s="448" t="s">
        <v>943</v>
      </c>
      <c r="B41" s="449" t="s">
        <v>945</v>
      </c>
      <c r="C41" s="455">
        <f>SUM(C42:C49)</f>
        <v>0</v>
      </c>
      <c r="D41" s="455">
        <f>SUM(D42:D49)</f>
        <v>0</v>
      </c>
      <c r="E41" s="455">
        <f>SUM(E42:E49)</f>
        <v>0</v>
      </c>
    </row>
    <row r="42" spans="1:5" ht="27" x14ac:dyDescent="0.2">
      <c r="A42" s="434">
        <v>1</v>
      </c>
      <c r="B42" s="435" t="s">
        <v>753</v>
      </c>
      <c r="C42" s="433">
        <f t="shared" si="0"/>
        <v>0</v>
      </c>
      <c r="D42" s="433"/>
      <c r="E42" s="433"/>
    </row>
    <row r="43" spans="1:5" ht="27" x14ac:dyDescent="0.2">
      <c r="A43" s="434">
        <v>2</v>
      </c>
      <c r="B43" s="435" t="s">
        <v>754</v>
      </c>
      <c r="C43" s="433">
        <f t="shared" si="0"/>
        <v>0</v>
      </c>
      <c r="D43" s="433"/>
      <c r="E43" s="433"/>
    </row>
    <row r="44" spans="1:5" x14ac:dyDescent="0.2">
      <c r="A44" s="434">
        <v>3</v>
      </c>
      <c r="B44" s="435" t="s">
        <v>755</v>
      </c>
      <c r="C44" s="433">
        <f t="shared" si="0"/>
        <v>0</v>
      </c>
      <c r="D44" s="433"/>
      <c r="E44" s="433"/>
    </row>
    <row r="45" spans="1:5" x14ac:dyDescent="0.2">
      <c r="A45" s="434">
        <v>4</v>
      </c>
      <c r="B45" s="435" t="s">
        <v>756</v>
      </c>
      <c r="C45" s="433">
        <f t="shared" si="0"/>
        <v>0</v>
      </c>
      <c r="D45" s="433"/>
      <c r="E45" s="433"/>
    </row>
    <row r="46" spans="1:5" ht="27" x14ac:dyDescent="0.2">
      <c r="A46" s="434">
        <v>5</v>
      </c>
      <c r="B46" s="435" t="s">
        <v>757</v>
      </c>
      <c r="C46" s="433">
        <f t="shared" si="0"/>
        <v>0</v>
      </c>
      <c r="D46" s="433"/>
      <c r="E46" s="433"/>
    </row>
    <row r="47" spans="1:5" x14ac:dyDescent="0.2">
      <c r="A47" s="434">
        <v>6</v>
      </c>
      <c r="B47" s="435" t="s">
        <v>758</v>
      </c>
      <c r="C47" s="433">
        <f t="shared" si="0"/>
        <v>0</v>
      </c>
      <c r="D47" s="433"/>
      <c r="E47" s="433"/>
    </row>
    <row r="48" spans="1:5" ht="40.5" x14ac:dyDescent="0.2">
      <c r="A48" s="434">
        <v>7</v>
      </c>
      <c r="B48" s="435" t="s">
        <v>762</v>
      </c>
      <c r="C48" s="433">
        <f t="shared" si="0"/>
        <v>0</v>
      </c>
      <c r="D48" s="433"/>
      <c r="E48" s="433"/>
    </row>
    <row r="49" spans="1:5" ht="13.5" customHeight="1" x14ac:dyDescent="0.2">
      <c r="A49" s="598">
        <v>8</v>
      </c>
      <c r="B49" s="599" t="s">
        <v>946</v>
      </c>
      <c r="C49" s="600">
        <f>SUM(D49:E49)</f>
        <v>0</v>
      </c>
      <c r="D49" s="600"/>
      <c r="E49" s="600"/>
    </row>
    <row r="50" spans="1:5" x14ac:dyDescent="0.2">
      <c r="A50" s="1486" t="s">
        <v>38</v>
      </c>
      <c r="B50" s="1486"/>
      <c r="C50" s="601">
        <f>SUM(C7,C10)</f>
        <v>1680276</v>
      </c>
      <c r="D50" s="601">
        <f>SUM(D7,D10)</f>
        <v>1263824</v>
      </c>
      <c r="E50" s="601">
        <f>SUM(E7,E10)</f>
        <v>416452</v>
      </c>
    </row>
  </sheetData>
  <customSheetViews>
    <customSheetView guid="{88621519-296E-4458-B04E-813E881018FE}" fitToPage="1" hiddenRows="1" state="hidden" topLeftCell="A12">
      <selection activeCell="C5" sqref="C5:C6"/>
      <pageMargins left="0" right="0" top="0.59055118110236227" bottom="0.39370078740157483" header="0.19685039370078741" footer="0.19685039370078741"/>
      <printOptions horizontalCentered="1"/>
      <pageSetup paperSize="9"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59055118110236227" bottom="0.39370078740157483" header="0.19685039370078741" footer="0.19685039370078741"/>
  <pageSetup paperSize="9" scale="68" orientation="portrait" r:id="rId2"/>
  <headerFooter alignWithMargins="0">
    <oddHeader>&amp;R&amp;A</oddHeader>
  </headerFooter>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pageSetUpPr fitToPage="1"/>
  </sheetPr>
  <dimension ref="A1:AC20"/>
  <sheetViews>
    <sheetView zoomScale="90" workbookViewId="0">
      <pane xSplit="4" ySplit="7" topLeftCell="E8" activePane="bottomRight" state="frozen"/>
      <selection activeCell="A4" sqref="A4:C4"/>
      <selection pane="topRight" activeCell="A4" sqref="A4:C4"/>
      <selection pane="bottomLeft" activeCell="A4" sqref="A4:C4"/>
      <selection pane="bottomRight" activeCell="A4" sqref="A4:C4"/>
    </sheetView>
  </sheetViews>
  <sheetFormatPr defaultRowHeight="15.75" x14ac:dyDescent="0.25"/>
  <cols>
    <col min="1" max="1" width="3.75" style="2" customWidth="1"/>
    <col min="2" max="2" width="12.25" style="40" customWidth="1"/>
    <col min="3" max="7" width="9.125" style="40" customWidth="1"/>
    <col min="8" max="8" width="9.125" style="40" hidden="1" customWidth="1"/>
    <col min="9" max="12" width="9.125" style="40" customWidth="1"/>
    <col min="13" max="13" width="9.125" style="40" hidden="1" customWidth="1"/>
    <col min="14" max="14" width="9.125" style="40" customWidth="1"/>
    <col min="15" max="15" width="8.875" style="40" customWidth="1"/>
    <col min="16" max="19" width="9" style="40"/>
    <col min="20" max="20" width="9" style="40" customWidth="1"/>
    <col min="21" max="16384" width="9" style="40"/>
  </cols>
  <sheetData>
    <row r="1" spans="1:29" ht="30" customHeight="1" x14ac:dyDescent="0.25">
      <c r="A1" s="1538" t="s">
        <v>1610</v>
      </c>
      <c r="B1" s="1538"/>
      <c r="C1" s="1538"/>
      <c r="D1" s="1538"/>
      <c r="E1" s="1538"/>
      <c r="F1" s="1538"/>
      <c r="G1" s="1538"/>
      <c r="H1" s="1538"/>
      <c r="I1" s="1538"/>
      <c r="J1" s="1538"/>
      <c r="K1" s="1538"/>
      <c r="L1" s="1538"/>
      <c r="M1" s="1538"/>
      <c r="N1" s="1538"/>
      <c r="O1" s="1538"/>
      <c r="P1" s="1538"/>
      <c r="Q1" s="1538"/>
      <c r="R1" s="1538"/>
      <c r="S1" s="1538"/>
      <c r="T1" s="1538"/>
      <c r="U1" s="1538"/>
      <c r="V1" s="1538"/>
      <c r="W1" s="1538"/>
      <c r="X1" s="1538"/>
      <c r="Y1" s="1538"/>
      <c r="Z1" s="1538"/>
    </row>
    <row r="2" spans="1:29" ht="17.25" customHeight="1" x14ac:dyDescent="0.25">
      <c r="X2" s="283"/>
      <c r="Y2" s="283"/>
      <c r="Z2" s="283" t="s">
        <v>547</v>
      </c>
    </row>
    <row r="3" spans="1:29" s="14" customFormat="1" ht="16.5" customHeight="1" x14ac:dyDescent="0.25">
      <c r="A3" s="1406" t="s">
        <v>519</v>
      </c>
      <c r="B3" s="1406" t="s">
        <v>1531</v>
      </c>
      <c r="C3" s="1406" t="s">
        <v>1530</v>
      </c>
      <c r="D3" s="1423" t="s">
        <v>1532</v>
      </c>
      <c r="E3" s="1424"/>
      <c r="F3" s="1424"/>
      <c r="G3" s="1424"/>
      <c r="H3" s="1424"/>
      <c r="I3" s="1424"/>
      <c r="J3" s="1424"/>
      <c r="K3" s="1424"/>
      <c r="L3" s="1424"/>
      <c r="M3" s="1424"/>
      <c r="N3" s="1424"/>
      <c r="O3" s="1424"/>
      <c r="P3" s="1424"/>
      <c r="Q3" s="1424"/>
      <c r="R3" s="1424"/>
      <c r="S3" s="1425"/>
      <c r="T3" s="1406" t="s">
        <v>1535</v>
      </c>
      <c r="U3" s="1421" t="s">
        <v>1534</v>
      </c>
      <c r="V3" s="1457"/>
      <c r="W3" s="1457"/>
      <c r="X3" s="1457"/>
      <c r="Y3" s="1457"/>
      <c r="Z3" s="1457"/>
      <c r="AA3" s="1457"/>
      <c r="AB3" s="1457"/>
      <c r="AC3" s="1422"/>
    </row>
    <row r="4" spans="1:29" s="14" customFormat="1" ht="15.75" customHeight="1" x14ac:dyDescent="0.25">
      <c r="A4" s="1406"/>
      <c r="B4" s="1406"/>
      <c r="C4" s="1406"/>
      <c r="D4" s="1365" t="s">
        <v>18</v>
      </c>
      <c r="E4" s="1406" t="s">
        <v>19</v>
      </c>
      <c r="F4" s="1482" t="s">
        <v>21</v>
      </c>
      <c r="G4" s="1483"/>
      <c r="H4" s="1406" t="s">
        <v>20</v>
      </c>
      <c r="I4" s="1423" t="s">
        <v>21</v>
      </c>
      <c r="J4" s="1424"/>
      <c r="K4" s="1424"/>
      <c r="L4" s="1424"/>
      <c r="M4" s="1424"/>
      <c r="N4" s="1424"/>
      <c r="O4" s="1424"/>
      <c r="P4" s="1424"/>
      <c r="Q4" s="1424"/>
      <c r="R4" s="1425"/>
      <c r="S4" s="1365" t="s">
        <v>1215</v>
      </c>
      <c r="T4" s="1406"/>
      <c r="U4" s="1461" t="s">
        <v>227</v>
      </c>
      <c r="V4" s="1461"/>
      <c r="W4" s="1461"/>
      <c r="X4" s="1461" t="s">
        <v>460</v>
      </c>
      <c r="Y4" s="1461"/>
      <c r="Z4" s="1461"/>
      <c r="AA4" s="1461"/>
      <c r="AB4" s="1406" t="s">
        <v>487</v>
      </c>
      <c r="AC4" s="1406" t="s">
        <v>1510</v>
      </c>
    </row>
    <row r="5" spans="1:29" s="14" customFormat="1" ht="15.75" customHeight="1" x14ac:dyDescent="0.25">
      <c r="A5" s="1406"/>
      <c r="B5" s="1406"/>
      <c r="C5" s="1406"/>
      <c r="D5" s="1481"/>
      <c r="E5" s="1406"/>
      <c r="F5" s="1484"/>
      <c r="G5" s="1485"/>
      <c r="H5" s="1406"/>
      <c r="I5" s="1406" t="s">
        <v>532</v>
      </c>
      <c r="J5" s="1406" t="s">
        <v>22</v>
      </c>
      <c r="K5" s="1423" t="s">
        <v>21</v>
      </c>
      <c r="L5" s="1424"/>
      <c r="M5" s="1424"/>
      <c r="N5" s="1424"/>
      <c r="O5" s="1424"/>
      <c r="P5" s="1424"/>
      <c r="Q5" s="1424"/>
      <c r="R5" s="1425"/>
      <c r="S5" s="1481"/>
      <c r="T5" s="1406"/>
      <c r="U5" s="1406" t="s">
        <v>398</v>
      </c>
      <c r="V5" s="1406" t="s">
        <v>21</v>
      </c>
      <c r="W5" s="1406"/>
      <c r="X5" s="1406" t="s">
        <v>398</v>
      </c>
      <c r="Y5" s="1461" t="s">
        <v>21</v>
      </c>
      <c r="Z5" s="1461"/>
      <c r="AA5" s="1461"/>
      <c r="AB5" s="1406"/>
      <c r="AC5" s="1406"/>
    </row>
    <row r="6" spans="1:29" s="14" customFormat="1" ht="173.25" customHeight="1" x14ac:dyDescent="0.25">
      <c r="A6" s="1406"/>
      <c r="B6" s="1406"/>
      <c r="C6" s="1406"/>
      <c r="D6" s="1366"/>
      <c r="E6" s="1406"/>
      <c r="F6" s="1322" t="s">
        <v>314</v>
      </c>
      <c r="G6" s="1323" t="s">
        <v>315</v>
      </c>
      <c r="H6" s="1406"/>
      <c r="I6" s="1406"/>
      <c r="J6" s="1406"/>
      <c r="K6" s="1322" t="s">
        <v>1464</v>
      </c>
      <c r="L6" s="1322" t="s">
        <v>374</v>
      </c>
      <c r="M6" s="1322" t="s">
        <v>1214</v>
      </c>
      <c r="N6" s="1324" t="s">
        <v>1649</v>
      </c>
      <c r="O6" s="1324" t="s">
        <v>1220</v>
      </c>
      <c r="P6" s="1324" t="s">
        <v>605</v>
      </c>
      <c r="Q6" s="1324" t="s">
        <v>933</v>
      </c>
      <c r="R6" s="1322" t="s">
        <v>1545</v>
      </c>
      <c r="S6" s="1366"/>
      <c r="T6" s="1406"/>
      <c r="U6" s="1406"/>
      <c r="V6" s="1322" t="s">
        <v>668</v>
      </c>
      <c r="W6" s="1322" t="s">
        <v>669</v>
      </c>
      <c r="X6" s="1406"/>
      <c r="Y6" s="1322" t="s">
        <v>16</v>
      </c>
      <c r="Z6" s="1322" t="s">
        <v>670</v>
      </c>
      <c r="AA6" s="1322" t="s">
        <v>364</v>
      </c>
      <c r="AB6" s="1406"/>
      <c r="AC6" s="1406"/>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79" t="s">
        <v>28</v>
      </c>
      <c r="B20" s="1480"/>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sheetData>
  <customSheetViews>
    <customSheetView guid="{88621519-296E-4458-B04E-813E881018FE}" scale="90" fitToPage="1" hiddenColumns="1" state="hidden">
      <pane xSplit="4" ySplit="7" topLeftCell="G14" activePane="bottomRight" state="frozen"/>
      <selection pane="bottomRight" activeCell="Y4" sqref="Y4:Y6"/>
      <pageMargins left="0" right="0" top="0.39370078740157483" bottom="0.39370078740157483" header="0.19685039370078741" footer="0.19685039370078741"/>
      <printOptions horizontalCentered="1"/>
      <pageSetup paperSize="9" scale="92" orientation="landscape" r:id="rId1"/>
      <headerFooter alignWithMargins="0">
        <oddHeader>&amp;R&amp;A</oddHeader>
      </headerFooter>
    </customSheetView>
  </customSheetViews>
  <mergeCells count="25">
    <mergeCell ref="A1:Z1"/>
    <mergeCell ref="J5:J6"/>
    <mergeCell ref="H4:H6"/>
    <mergeCell ref="I5:I6"/>
    <mergeCell ref="A20:B20"/>
    <mergeCell ref="D4:D6"/>
    <mergeCell ref="E4:E6"/>
    <mergeCell ref="C3:C6"/>
    <mergeCell ref="F4:G5"/>
    <mergeCell ref="A3:A6"/>
    <mergeCell ref="B3:B6"/>
    <mergeCell ref="D3:S3"/>
    <mergeCell ref="T3:T6"/>
    <mergeCell ref="U3:AC3"/>
    <mergeCell ref="I4:R4"/>
    <mergeCell ref="S4:S6"/>
    <mergeCell ref="AC4:AC6"/>
    <mergeCell ref="U4:W4"/>
    <mergeCell ref="X4:AA4"/>
    <mergeCell ref="AB4:AB6"/>
    <mergeCell ref="K5:R5"/>
    <mergeCell ref="U5:U6"/>
    <mergeCell ref="V5:W5"/>
    <mergeCell ref="X5:X6"/>
    <mergeCell ref="Y5:AA5"/>
  </mergeCells>
  <phoneticPr fontId="5" type="noConversion"/>
  <printOptions horizontalCentered="1"/>
  <pageMargins left="0" right="0" top="0.39370078740157483" bottom="0.39370078740157483" header="0.19685039370078741" footer="0.19685039370078741"/>
  <pageSetup paperSize="9" scale="60" orientation="landscape" r:id="rId2"/>
  <headerFooter alignWithMargins="0">
    <oddHeader>&amp;R&amp;A</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pageSetUpPr fitToPage="1"/>
  </sheetPr>
  <dimension ref="A1:Q25"/>
  <sheetViews>
    <sheetView workbookViewId="0">
      <selection activeCell="A4" sqref="A4:C4"/>
    </sheetView>
  </sheetViews>
  <sheetFormatPr defaultRowHeight="15.75" x14ac:dyDescent="0.25"/>
  <cols>
    <col min="1" max="1" width="4.25" customWidth="1"/>
    <col min="2" max="2" width="15.375" customWidth="1"/>
    <col min="3" max="3" width="6.5" customWidth="1"/>
    <col min="4" max="4" width="7" customWidth="1"/>
    <col min="5" max="5" width="7.25" customWidth="1"/>
    <col min="6" max="9" width="8.125" customWidth="1"/>
    <col min="10" max="10" width="7.25" customWidth="1"/>
    <col min="11" max="11" width="8.125" customWidth="1"/>
    <col min="12" max="12" width="8.5" customWidth="1"/>
    <col min="13" max="13" width="7.5" customWidth="1"/>
    <col min="14" max="15" width="8.125" customWidth="1"/>
    <col min="16" max="16" width="7.625" customWidth="1"/>
    <col min="17" max="17" width="7.375" customWidth="1"/>
  </cols>
  <sheetData>
    <row r="1" spans="1:17" ht="36.75" customHeight="1" x14ac:dyDescent="0.25">
      <c r="A1" s="1530" t="s">
        <v>1613</v>
      </c>
      <c r="B1" s="1409"/>
      <c r="C1" s="1409"/>
      <c r="D1" s="1409"/>
      <c r="E1" s="1409"/>
      <c r="F1" s="1409"/>
      <c r="G1" s="1409"/>
      <c r="H1" s="1409"/>
      <c r="I1" s="1409"/>
      <c r="J1" s="1409"/>
      <c r="K1" s="1409"/>
      <c r="L1" s="1409"/>
      <c r="M1" s="1409"/>
      <c r="N1" s="1409"/>
      <c r="O1" s="1409"/>
      <c r="P1" s="1409"/>
      <c r="Q1" s="1409"/>
    </row>
    <row r="2" spans="1:17" x14ac:dyDescent="0.25">
      <c r="A2" s="209"/>
      <c r="B2" s="209"/>
      <c r="C2" s="209"/>
      <c r="D2" s="209"/>
      <c r="E2" s="209"/>
      <c r="F2" s="209"/>
      <c r="G2" s="209"/>
      <c r="H2" s="209"/>
      <c r="I2" s="209"/>
      <c r="J2" s="209"/>
      <c r="K2" s="209"/>
      <c r="L2" s="209"/>
      <c r="M2" s="209"/>
      <c r="N2" s="209"/>
      <c r="O2" s="209"/>
      <c r="P2" s="1409" t="s">
        <v>39</v>
      </c>
      <c r="Q2" s="1409"/>
    </row>
    <row r="3" spans="1:17" s="14" customFormat="1" x14ac:dyDescent="0.25">
      <c r="A3" s="1406" t="s">
        <v>40</v>
      </c>
      <c r="B3" s="1406" t="s">
        <v>1614</v>
      </c>
      <c r="C3" s="1421" t="s">
        <v>41</v>
      </c>
      <c r="D3" s="1457"/>
      <c r="E3" s="1457"/>
      <c r="F3" s="1457"/>
      <c r="G3" s="1457"/>
      <c r="H3" s="1457"/>
      <c r="I3" s="1457"/>
      <c r="J3" s="1457"/>
      <c r="K3" s="1457"/>
      <c r="L3" s="1457"/>
      <c r="M3" s="1457"/>
      <c r="N3" s="1457"/>
      <c r="O3" s="1457"/>
      <c r="P3" s="1457"/>
      <c r="Q3" s="1422"/>
    </row>
    <row r="4" spans="1:17" s="14" customFormat="1" ht="27" customHeight="1" x14ac:dyDescent="0.25">
      <c r="A4" s="1406"/>
      <c r="B4" s="1406"/>
      <c r="C4" s="1543" t="s">
        <v>42</v>
      </c>
      <c r="D4" s="1544"/>
      <c r="E4" s="1544"/>
      <c r="F4" s="1544"/>
      <c r="G4" s="1545"/>
      <c r="H4" s="1406" t="s">
        <v>934</v>
      </c>
      <c r="I4" s="1406" t="s">
        <v>527</v>
      </c>
      <c r="J4" s="1406" t="s">
        <v>43</v>
      </c>
      <c r="K4" s="1541" t="s">
        <v>44</v>
      </c>
      <c r="L4" s="1541" t="s">
        <v>277</v>
      </c>
      <c r="M4" s="1406" t="s">
        <v>690</v>
      </c>
      <c r="N4" s="1365" t="s">
        <v>691</v>
      </c>
      <c r="O4" s="1406" t="s">
        <v>692</v>
      </c>
      <c r="P4" s="1540" t="s">
        <v>693</v>
      </c>
      <c r="Q4" s="1541" t="s">
        <v>45</v>
      </c>
    </row>
    <row r="5" spans="1:17" s="72" customFormat="1" ht="103.5" customHeight="1" x14ac:dyDescent="0.25">
      <c r="A5" s="1406"/>
      <c r="B5" s="1406"/>
      <c r="C5" s="275" t="s">
        <v>46</v>
      </c>
      <c r="D5" s="275" t="s">
        <v>47</v>
      </c>
      <c r="E5" s="275" t="s">
        <v>414</v>
      </c>
      <c r="F5" s="275" t="s">
        <v>48</v>
      </c>
      <c r="G5" s="275" t="s">
        <v>49</v>
      </c>
      <c r="H5" s="1406"/>
      <c r="I5" s="1406"/>
      <c r="J5" s="1406"/>
      <c r="K5" s="1541"/>
      <c r="L5" s="1541"/>
      <c r="M5" s="1406"/>
      <c r="N5" s="1366"/>
      <c r="O5" s="1406"/>
      <c r="P5" s="1540"/>
      <c r="Q5" s="1541"/>
    </row>
    <row r="6" spans="1:17" ht="20.100000000000001" customHeight="1" x14ac:dyDescent="0.25">
      <c r="A6" s="278">
        <v>1</v>
      </c>
      <c r="B6" s="279" t="s">
        <v>50</v>
      </c>
      <c r="C6" s="280">
        <v>1</v>
      </c>
      <c r="D6" s="280">
        <v>1</v>
      </c>
      <c r="E6" s="280">
        <v>0</v>
      </c>
      <c r="F6" s="280">
        <v>0</v>
      </c>
      <c r="G6" s="280">
        <v>1</v>
      </c>
      <c r="H6" s="280">
        <v>1</v>
      </c>
      <c r="I6" s="280">
        <v>0</v>
      </c>
      <c r="J6" s="280">
        <v>1</v>
      </c>
      <c r="K6" s="280">
        <v>0</v>
      </c>
      <c r="L6" s="280">
        <v>0</v>
      </c>
      <c r="M6" s="280">
        <v>1</v>
      </c>
      <c r="N6" s="280">
        <v>1</v>
      </c>
      <c r="O6" s="280">
        <v>1</v>
      </c>
      <c r="P6" s="280">
        <v>1</v>
      </c>
      <c r="Q6" s="280">
        <v>0</v>
      </c>
    </row>
    <row r="7" spans="1:17" s="40" customFormat="1" ht="20.100000000000001" customHeight="1" x14ac:dyDescent="0.25">
      <c r="A7" s="268">
        <v>2</v>
      </c>
      <c r="B7" s="266" t="s">
        <v>1518</v>
      </c>
      <c r="C7" s="269">
        <v>1</v>
      </c>
      <c r="D7" s="269">
        <v>1</v>
      </c>
      <c r="E7" s="269">
        <v>0</v>
      </c>
      <c r="F7" s="269">
        <v>0</v>
      </c>
      <c r="G7" s="269">
        <v>1</v>
      </c>
      <c r="H7" s="269">
        <v>1</v>
      </c>
      <c r="I7" s="269">
        <v>0</v>
      </c>
      <c r="J7" s="269">
        <v>1</v>
      </c>
      <c r="K7" s="269">
        <v>0</v>
      </c>
      <c r="L7" s="269">
        <v>0</v>
      </c>
      <c r="M7" s="269">
        <v>1</v>
      </c>
      <c r="N7" s="269">
        <v>1</v>
      </c>
      <c r="O7" s="269">
        <v>1</v>
      </c>
      <c r="P7" s="269">
        <v>1</v>
      </c>
      <c r="Q7" s="269">
        <v>0</v>
      </c>
    </row>
    <row r="8" spans="1:17" ht="20.100000000000001" customHeight="1" x14ac:dyDescent="0.25">
      <c r="A8" s="268">
        <v>3</v>
      </c>
      <c r="B8" s="266" t="s">
        <v>51</v>
      </c>
      <c r="C8" s="269">
        <v>1</v>
      </c>
      <c r="D8" s="269">
        <v>1</v>
      </c>
      <c r="E8" s="269">
        <v>0</v>
      </c>
      <c r="F8" s="269">
        <v>0</v>
      </c>
      <c r="G8" s="269">
        <v>1</v>
      </c>
      <c r="H8" s="269">
        <v>1</v>
      </c>
      <c r="I8" s="269">
        <v>0</v>
      </c>
      <c r="J8" s="269">
        <v>1</v>
      </c>
      <c r="K8" s="269">
        <v>0</v>
      </c>
      <c r="L8" s="269">
        <v>0</v>
      </c>
      <c r="M8" s="269">
        <v>1</v>
      </c>
      <c r="N8" s="269">
        <v>1</v>
      </c>
      <c r="O8" s="269">
        <v>1</v>
      </c>
      <c r="P8" s="269">
        <v>1</v>
      </c>
      <c r="Q8" s="269">
        <v>0</v>
      </c>
    </row>
    <row r="9" spans="1:17" ht="20.100000000000001" customHeight="1" x14ac:dyDescent="0.25">
      <c r="A9" s="268">
        <v>4</v>
      </c>
      <c r="B9" s="266" t="s">
        <v>52</v>
      </c>
      <c r="C9" s="269">
        <v>1</v>
      </c>
      <c r="D9" s="269">
        <v>1</v>
      </c>
      <c r="E9" s="269">
        <v>0</v>
      </c>
      <c r="F9" s="269">
        <v>0</v>
      </c>
      <c r="G9" s="269">
        <v>1</v>
      </c>
      <c r="H9" s="269">
        <v>1</v>
      </c>
      <c r="I9" s="269">
        <v>0</v>
      </c>
      <c r="J9" s="269">
        <v>1</v>
      </c>
      <c r="K9" s="269">
        <v>0</v>
      </c>
      <c r="L9" s="269">
        <v>0</v>
      </c>
      <c r="M9" s="269">
        <v>1</v>
      </c>
      <c r="N9" s="269">
        <v>1</v>
      </c>
      <c r="O9" s="269">
        <v>1</v>
      </c>
      <c r="P9" s="269">
        <v>1</v>
      </c>
      <c r="Q9" s="269">
        <v>0</v>
      </c>
    </row>
    <row r="10" spans="1:17" ht="20.100000000000001" customHeight="1" x14ac:dyDescent="0.25">
      <c r="A10" s="268">
        <v>5</v>
      </c>
      <c r="B10" s="266" t="s">
        <v>53</v>
      </c>
      <c r="C10" s="269">
        <v>1</v>
      </c>
      <c r="D10" s="269">
        <v>1</v>
      </c>
      <c r="E10" s="269">
        <v>0</v>
      </c>
      <c r="F10" s="269">
        <v>0</v>
      </c>
      <c r="G10" s="269">
        <v>1</v>
      </c>
      <c r="H10" s="269">
        <v>1</v>
      </c>
      <c r="I10" s="269">
        <v>0</v>
      </c>
      <c r="J10" s="269">
        <v>1</v>
      </c>
      <c r="K10" s="269">
        <v>0</v>
      </c>
      <c r="L10" s="269">
        <v>0</v>
      </c>
      <c r="M10" s="269">
        <v>1</v>
      </c>
      <c r="N10" s="269">
        <v>1</v>
      </c>
      <c r="O10" s="269">
        <v>1</v>
      </c>
      <c r="P10" s="269">
        <v>1</v>
      </c>
      <c r="Q10" s="269">
        <v>0</v>
      </c>
    </row>
    <row r="11" spans="1:17" s="40" customFormat="1" ht="20.100000000000001" customHeight="1" x14ac:dyDescent="0.25">
      <c r="A11" s="268">
        <v>6</v>
      </c>
      <c r="B11" s="266" t="s">
        <v>54</v>
      </c>
      <c r="C11" s="269">
        <v>1</v>
      </c>
      <c r="D11" s="269">
        <v>1</v>
      </c>
      <c r="E11" s="269">
        <v>0</v>
      </c>
      <c r="F11" s="269">
        <v>0</v>
      </c>
      <c r="G11" s="269">
        <v>1</v>
      </c>
      <c r="H11" s="269">
        <v>1</v>
      </c>
      <c r="I11" s="269">
        <v>0</v>
      </c>
      <c r="J11" s="269">
        <v>1</v>
      </c>
      <c r="K11" s="269">
        <v>0</v>
      </c>
      <c r="L11" s="269">
        <v>0</v>
      </c>
      <c r="M11" s="269">
        <v>1</v>
      </c>
      <c r="N11" s="269">
        <v>1</v>
      </c>
      <c r="O11" s="269">
        <v>1</v>
      </c>
      <c r="P11" s="269">
        <v>1</v>
      </c>
      <c r="Q11" s="269">
        <v>0</v>
      </c>
    </row>
    <row r="12" spans="1:17" s="40" customFormat="1" ht="20.100000000000001" customHeight="1" x14ac:dyDescent="0.25">
      <c r="A12" s="268">
        <v>7</v>
      </c>
      <c r="B12" s="266" t="s">
        <v>55</v>
      </c>
      <c r="C12" s="269">
        <v>1</v>
      </c>
      <c r="D12" s="269">
        <v>1</v>
      </c>
      <c r="E12" s="269">
        <v>0</v>
      </c>
      <c r="F12" s="269">
        <v>0</v>
      </c>
      <c r="G12" s="269">
        <v>1</v>
      </c>
      <c r="H12" s="269">
        <v>1</v>
      </c>
      <c r="I12" s="269">
        <v>0</v>
      </c>
      <c r="J12" s="269">
        <v>1</v>
      </c>
      <c r="K12" s="269">
        <v>0</v>
      </c>
      <c r="L12" s="269">
        <v>0</v>
      </c>
      <c r="M12" s="269">
        <v>1</v>
      </c>
      <c r="N12" s="269">
        <v>1</v>
      </c>
      <c r="O12" s="269">
        <v>1</v>
      </c>
      <c r="P12" s="269">
        <v>1</v>
      </c>
      <c r="Q12" s="269">
        <v>0</v>
      </c>
    </row>
    <row r="13" spans="1:17" s="40" customFormat="1" ht="20.100000000000001" customHeight="1" x14ac:dyDescent="0.25">
      <c r="A13" s="268">
        <v>8</v>
      </c>
      <c r="B13" s="266" t="s">
        <v>56</v>
      </c>
      <c r="C13" s="269">
        <v>1</v>
      </c>
      <c r="D13" s="269">
        <v>1</v>
      </c>
      <c r="E13" s="269">
        <v>0</v>
      </c>
      <c r="F13" s="269">
        <v>0</v>
      </c>
      <c r="G13" s="269">
        <v>1</v>
      </c>
      <c r="H13" s="269">
        <v>1</v>
      </c>
      <c r="I13" s="269">
        <v>0</v>
      </c>
      <c r="J13" s="269">
        <v>1</v>
      </c>
      <c r="K13" s="269">
        <v>0</v>
      </c>
      <c r="L13" s="269">
        <v>0</v>
      </c>
      <c r="M13" s="269">
        <v>1</v>
      </c>
      <c r="N13" s="269">
        <v>1</v>
      </c>
      <c r="O13" s="269">
        <v>1</v>
      </c>
      <c r="P13" s="269">
        <v>1</v>
      </c>
      <c r="Q13" s="269">
        <v>0</v>
      </c>
    </row>
    <row r="14" spans="1:17" s="40" customFormat="1" ht="20.100000000000001" customHeight="1" x14ac:dyDescent="0.25">
      <c r="A14" s="268">
        <v>9</v>
      </c>
      <c r="B14" s="266" t="s">
        <v>57</v>
      </c>
      <c r="C14" s="269">
        <v>1</v>
      </c>
      <c r="D14" s="269">
        <v>1</v>
      </c>
      <c r="E14" s="269">
        <v>0</v>
      </c>
      <c r="F14" s="269">
        <v>0</v>
      </c>
      <c r="G14" s="269">
        <v>1</v>
      </c>
      <c r="H14" s="269">
        <v>1</v>
      </c>
      <c r="I14" s="269">
        <v>0</v>
      </c>
      <c r="J14" s="269">
        <v>1</v>
      </c>
      <c r="K14" s="269">
        <v>0</v>
      </c>
      <c r="L14" s="269">
        <v>0</v>
      </c>
      <c r="M14" s="269">
        <v>1</v>
      </c>
      <c r="N14" s="269">
        <v>1</v>
      </c>
      <c r="O14" s="269">
        <v>1</v>
      </c>
      <c r="P14" s="269">
        <v>1</v>
      </c>
      <c r="Q14" s="269">
        <v>0</v>
      </c>
    </row>
    <row r="15" spans="1:17" s="40" customFormat="1" ht="20.100000000000001" customHeight="1" x14ac:dyDescent="0.25">
      <c r="A15" s="268">
        <v>10</v>
      </c>
      <c r="B15" s="266" t="s">
        <v>58</v>
      </c>
      <c r="C15" s="269">
        <v>1</v>
      </c>
      <c r="D15" s="269">
        <v>1</v>
      </c>
      <c r="E15" s="269">
        <v>0</v>
      </c>
      <c r="F15" s="269">
        <v>0</v>
      </c>
      <c r="G15" s="269">
        <v>1</v>
      </c>
      <c r="H15" s="269">
        <v>1</v>
      </c>
      <c r="I15" s="269">
        <v>0</v>
      </c>
      <c r="J15" s="269">
        <v>1</v>
      </c>
      <c r="K15" s="269">
        <v>0</v>
      </c>
      <c r="L15" s="269">
        <v>0</v>
      </c>
      <c r="M15" s="269">
        <v>1</v>
      </c>
      <c r="N15" s="269">
        <v>1</v>
      </c>
      <c r="O15" s="269">
        <v>1</v>
      </c>
      <c r="P15" s="269">
        <v>1</v>
      </c>
      <c r="Q15" s="269">
        <v>0</v>
      </c>
    </row>
    <row r="16" spans="1:17" s="40" customFormat="1" ht="20.100000000000001" customHeight="1" x14ac:dyDescent="0.25">
      <c r="A16" s="268">
        <v>11</v>
      </c>
      <c r="B16" s="266" t="s">
        <v>149</v>
      </c>
      <c r="C16" s="269">
        <v>1</v>
      </c>
      <c r="D16" s="269">
        <v>1</v>
      </c>
      <c r="E16" s="269">
        <v>0</v>
      </c>
      <c r="F16" s="269">
        <v>0</v>
      </c>
      <c r="G16" s="269">
        <v>1</v>
      </c>
      <c r="H16" s="269">
        <v>1</v>
      </c>
      <c r="I16" s="269">
        <v>0</v>
      </c>
      <c r="J16" s="269">
        <v>1</v>
      </c>
      <c r="K16" s="269">
        <v>0</v>
      </c>
      <c r="L16" s="269">
        <v>0</v>
      </c>
      <c r="M16" s="269">
        <v>1</v>
      </c>
      <c r="N16" s="269">
        <v>1</v>
      </c>
      <c r="O16" s="269">
        <v>1</v>
      </c>
      <c r="P16" s="269">
        <v>1</v>
      </c>
      <c r="Q16" s="269">
        <v>0</v>
      </c>
    </row>
    <row r="17" spans="1:17" ht="20.100000000000001" customHeight="1" x14ac:dyDescent="0.25">
      <c r="A17" s="272">
        <v>12</v>
      </c>
      <c r="B17" s="281" t="s">
        <v>59</v>
      </c>
      <c r="C17" s="274">
        <v>1</v>
      </c>
      <c r="D17" s="274">
        <v>1</v>
      </c>
      <c r="E17" s="274">
        <v>0</v>
      </c>
      <c r="F17" s="274">
        <v>0</v>
      </c>
      <c r="G17" s="274">
        <v>1</v>
      </c>
      <c r="H17" s="274">
        <v>1</v>
      </c>
      <c r="I17" s="274">
        <v>0</v>
      </c>
      <c r="J17" s="274">
        <v>1</v>
      </c>
      <c r="K17" s="274">
        <v>0</v>
      </c>
      <c r="L17" s="274">
        <v>0</v>
      </c>
      <c r="M17" s="274">
        <v>1</v>
      </c>
      <c r="N17" s="274">
        <v>1</v>
      </c>
      <c r="O17" s="274">
        <v>1</v>
      </c>
      <c r="P17" s="274">
        <v>1</v>
      </c>
      <c r="Q17" s="274">
        <v>0</v>
      </c>
    </row>
    <row r="18" spans="1:17" x14ac:dyDescent="0.25">
      <c r="A18" s="209"/>
      <c r="B18" s="78" t="s">
        <v>60</v>
      </c>
      <c r="C18" s="209"/>
      <c r="D18" s="209"/>
      <c r="E18" s="209"/>
      <c r="F18" s="209"/>
      <c r="G18" s="209"/>
      <c r="H18" s="209"/>
      <c r="I18" s="209"/>
      <c r="J18" s="209"/>
      <c r="K18" s="209"/>
      <c r="L18" s="209"/>
      <c r="M18" s="1542"/>
      <c r="N18" s="1542"/>
      <c r="O18" s="1542"/>
      <c r="P18" s="1542"/>
      <c r="Q18" s="209"/>
    </row>
    <row r="19" spans="1:17" x14ac:dyDescent="0.25">
      <c r="A19" s="209"/>
      <c r="B19" s="79" t="s">
        <v>935</v>
      </c>
      <c r="C19" s="209"/>
      <c r="D19" s="209"/>
      <c r="E19" s="209"/>
      <c r="F19" s="209"/>
      <c r="G19" s="209"/>
      <c r="H19" s="209"/>
      <c r="I19" s="209"/>
      <c r="J19" s="209"/>
      <c r="K19" s="209"/>
      <c r="L19" s="209"/>
      <c r="M19" s="1409"/>
      <c r="N19" s="1409"/>
      <c r="O19" s="1409"/>
      <c r="P19" s="1409"/>
      <c r="Q19" s="209"/>
    </row>
    <row r="20" spans="1:17" x14ac:dyDescent="0.25">
      <c r="A20" s="209"/>
      <c r="B20" s="79" t="s">
        <v>61</v>
      </c>
      <c r="C20" s="209"/>
      <c r="D20" s="209"/>
      <c r="E20" s="209"/>
      <c r="F20" s="209"/>
      <c r="G20" s="209"/>
      <c r="H20" s="209"/>
      <c r="I20" s="209"/>
      <c r="J20" s="209"/>
      <c r="K20" s="209"/>
      <c r="L20" s="209"/>
      <c r="M20" s="1409"/>
      <c r="N20" s="1409"/>
      <c r="O20" s="1409"/>
      <c r="P20" s="1409"/>
      <c r="Q20" s="209"/>
    </row>
    <row r="21" spans="1:17" x14ac:dyDescent="0.25">
      <c r="A21" s="209"/>
      <c r="B21" s="79" t="s">
        <v>62</v>
      </c>
      <c r="C21" s="209"/>
      <c r="D21" s="209"/>
      <c r="E21" s="209"/>
      <c r="F21" s="209"/>
      <c r="G21" s="209"/>
      <c r="H21" s="209"/>
      <c r="I21" s="209"/>
      <c r="J21" s="209"/>
      <c r="K21" s="209"/>
      <c r="L21" s="209"/>
      <c r="M21" s="209"/>
      <c r="N21" s="209"/>
      <c r="O21" s="209"/>
      <c r="P21" s="209"/>
      <c r="Q21" s="209"/>
    </row>
    <row r="22" spans="1:17" x14ac:dyDescent="0.25">
      <c r="A22" s="209"/>
      <c r="B22" s="79" t="s">
        <v>694</v>
      </c>
      <c r="C22" s="209"/>
      <c r="D22" s="209"/>
      <c r="E22" s="209"/>
      <c r="F22" s="209"/>
      <c r="G22" s="209"/>
      <c r="H22" s="209"/>
      <c r="I22" s="209"/>
      <c r="J22" s="209"/>
      <c r="K22" s="209"/>
      <c r="L22" s="209"/>
      <c r="M22" s="209"/>
      <c r="N22" s="209"/>
      <c r="O22" s="209"/>
      <c r="P22" s="209"/>
      <c r="Q22" s="209"/>
    </row>
    <row r="23" spans="1:17" x14ac:dyDescent="0.25">
      <c r="A23" s="209"/>
      <c r="B23" s="79" t="s">
        <v>695</v>
      </c>
      <c r="C23" s="209"/>
      <c r="D23" s="209"/>
      <c r="E23" s="209"/>
      <c r="F23" s="209"/>
      <c r="G23" s="209"/>
      <c r="H23" s="209"/>
      <c r="I23" s="209"/>
      <c r="J23" s="209"/>
      <c r="K23" s="209"/>
      <c r="L23" s="209"/>
      <c r="M23" s="209"/>
      <c r="N23" s="209"/>
      <c r="O23" s="209"/>
      <c r="P23" s="209"/>
      <c r="Q23" s="209"/>
    </row>
    <row r="24" spans="1:17" x14ac:dyDescent="0.25">
      <c r="A24" s="209"/>
      <c r="B24" s="79" t="s">
        <v>944</v>
      </c>
      <c r="C24" s="209"/>
      <c r="D24" s="209"/>
      <c r="E24" s="209"/>
      <c r="F24" s="209"/>
      <c r="G24" s="209"/>
      <c r="H24" s="209"/>
      <c r="I24" s="209"/>
      <c r="J24" s="209"/>
      <c r="K24" s="209"/>
      <c r="L24" s="209"/>
      <c r="M24" s="209"/>
      <c r="N24" s="209"/>
      <c r="O24" s="209"/>
      <c r="P24" s="209"/>
      <c r="Q24" s="209"/>
    </row>
    <row r="25" spans="1:17" ht="38.25" customHeight="1" x14ac:dyDescent="0.25">
      <c r="A25" s="209"/>
      <c r="B25" s="1539" t="s">
        <v>1615</v>
      </c>
      <c r="C25" s="1539"/>
      <c r="D25" s="1539"/>
      <c r="E25" s="1539"/>
      <c r="F25" s="1539"/>
      <c r="G25" s="1539"/>
      <c r="H25" s="1539"/>
      <c r="I25" s="1539"/>
      <c r="J25" s="1539"/>
      <c r="K25" s="1539"/>
      <c r="L25" s="1539"/>
      <c r="M25" s="1539"/>
      <c r="N25" s="1539"/>
      <c r="O25" s="1539"/>
      <c r="P25" s="1539"/>
      <c r="Q25" s="1539"/>
    </row>
  </sheetData>
  <customSheetViews>
    <customSheetView guid="{88621519-296E-4458-B04E-813E881018FE}" fitToPage="1" state="hidden">
      <selection activeCell="C3" sqref="C3:Q3"/>
      <pageMargins left="0" right="0" top="0.19685039370078741" bottom="0.19685039370078741" header="0" footer="0"/>
      <printOptions horizontalCentered="1"/>
      <pageSetup paperSize="9" scale="97" orientation="landscape" r:id="rId1"/>
      <headerFooter alignWithMargins="0">
        <oddFooter>&amp;R&amp;A</oddFooter>
      </headerFooter>
    </customSheetView>
  </customSheetViews>
  <mergeCells count="20">
    <mergeCell ref="A1:Q1"/>
    <mergeCell ref="P2:Q2"/>
    <mergeCell ref="A3:A5"/>
    <mergeCell ref="B3:B5"/>
    <mergeCell ref="C3:Q3"/>
    <mergeCell ref="C4:G4"/>
    <mergeCell ref="I4:I5"/>
    <mergeCell ref="J4:J5"/>
    <mergeCell ref="K4:K5"/>
    <mergeCell ref="L4:L5"/>
    <mergeCell ref="H4:H5"/>
    <mergeCell ref="B25:Q25"/>
    <mergeCell ref="O4:O5"/>
    <mergeCell ref="P4:P5"/>
    <mergeCell ref="Q4:Q5"/>
    <mergeCell ref="M18:P18"/>
    <mergeCell ref="M4:M5"/>
    <mergeCell ref="N4:N5"/>
    <mergeCell ref="M19:P19"/>
    <mergeCell ref="M20:P20"/>
  </mergeCells>
  <phoneticPr fontId="5" type="noConversion"/>
  <printOptions horizontalCentered="1"/>
  <pageMargins left="0" right="0" top="0.19685039370078741" bottom="0.19685039370078741" header="0" footer="0"/>
  <pageSetup paperSize="9" scale="99" orientation="landscape" r:id="rId2"/>
  <headerFooter alignWithMargins="0">
    <oddFooter>&amp;R&amp;A</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FF00"/>
    <pageSetUpPr fitToPage="1"/>
  </sheetPr>
  <dimension ref="A1:G166"/>
  <sheetViews>
    <sheetView workbookViewId="0">
      <selection activeCell="A4" sqref="A4:C4"/>
    </sheetView>
  </sheetViews>
  <sheetFormatPr defaultRowHeight="15.75" x14ac:dyDescent="0.25"/>
  <cols>
    <col min="1" max="1" width="4.25" style="264" customWidth="1"/>
    <col min="2" max="2" width="24.875" style="209" customWidth="1"/>
    <col min="3" max="7" width="10.625" style="209" customWidth="1"/>
    <col min="8" max="16384" width="9" style="209"/>
  </cols>
  <sheetData>
    <row r="1" spans="1:7" x14ac:dyDescent="0.25">
      <c r="A1" s="1409" t="s">
        <v>63</v>
      </c>
      <c r="B1" s="1409"/>
      <c r="C1" s="1409"/>
      <c r="D1" s="1409"/>
      <c r="E1" s="1409"/>
      <c r="F1" s="1409"/>
      <c r="G1" s="1409"/>
    </row>
    <row r="2" spans="1:7" ht="48" customHeight="1" x14ac:dyDescent="0.25">
      <c r="A2" s="1530" t="s">
        <v>1616</v>
      </c>
      <c r="B2" s="1409"/>
      <c r="C2" s="1409"/>
      <c r="D2" s="1409"/>
      <c r="E2" s="1409"/>
      <c r="F2" s="1409"/>
      <c r="G2" s="1409"/>
    </row>
    <row r="3" spans="1:7" x14ac:dyDescent="0.25">
      <c r="F3" s="1557" t="s">
        <v>64</v>
      </c>
      <c r="G3" s="1557"/>
    </row>
    <row r="4" spans="1:7" x14ac:dyDescent="0.25">
      <c r="A4" s="1406" t="s">
        <v>40</v>
      </c>
      <c r="B4" s="1406" t="s">
        <v>65</v>
      </c>
      <c r="C4" s="1461"/>
      <c r="D4" s="1461"/>
      <c r="E4" s="1461"/>
      <c r="F4" s="1461"/>
      <c r="G4" s="1461"/>
    </row>
    <row r="5" spans="1:7" s="267" customFormat="1" ht="91.5" customHeight="1" x14ac:dyDescent="0.25">
      <c r="A5" s="1406"/>
      <c r="B5" s="1406"/>
      <c r="C5" s="265" t="s">
        <v>277</v>
      </c>
      <c r="D5" s="265" t="s">
        <v>696</v>
      </c>
      <c r="E5" s="265" t="s">
        <v>44</v>
      </c>
      <c r="F5" s="265" t="s">
        <v>66</v>
      </c>
      <c r="G5" s="265" t="s">
        <v>67</v>
      </c>
    </row>
    <row r="6" spans="1:7" s="14" customFormat="1" x14ac:dyDescent="0.25">
      <c r="A6" s="80" t="s">
        <v>409</v>
      </c>
      <c r="B6" s="81" t="s">
        <v>50</v>
      </c>
      <c r="C6" s="74"/>
      <c r="D6" s="74"/>
      <c r="E6" s="74"/>
      <c r="F6" s="74"/>
      <c r="G6" s="74"/>
    </row>
    <row r="7" spans="1:7" s="14" customFormat="1" x14ac:dyDescent="0.25">
      <c r="A7" s="268">
        <v>1</v>
      </c>
      <c r="B7" s="266" t="s">
        <v>1350</v>
      </c>
      <c r="C7" s="269">
        <v>1</v>
      </c>
      <c r="D7" s="269">
        <v>1</v>
      </c>
      <c r="E7" s="269">
        <v>1</v>
      </c>
      <c r="F7" s="269">
        <v>1</v>
      </c>
      <c r="G7" s="269">
        <v>1</v>
      </c>
    </row>
    <row r="8" spans="1:7" x14ac:dyDescent="0.25">
      <c r="A8" s="268">
        <v>2</v>
      </c>
      <c r="B8" s="266" t="s">
        <v>68</v>
      </c>
      <c r="C8" s="269">
        <v>1</v>
      </c>
      <c r="D8" s="269">
        <v>1</v>
      </c>
      <c r="E8" s="269">
        <v>1</v>
      </c>
      <c r="F8" s="269">
        <v>1</v>
      </c>
      <c r="G8" s="269">
        <v>1</v>
      </c>
    </row>
    <row r="9" spans="1:7" x14ac:dyDescent="0.25">
      <c r="A9" s="268">
        <v>3</v>
      </c>
      <c r="B9" s="266" t="s">
        <v>69</v>
      </c>
      <c r="C9" s="269">
        <v>1</v>
      </c>
      <c r="D9" s="269">
        <v>1</v>
      </c>
      <c r="E9" s="269">
        <v>1</v>
      </c>
      <c r="F9" s="269">
        <v>1</v>
      </c>
      <c r="G9" s="269">
        <v>1</v>
      </c>
    </row>
    <row r="10" spans="1:7" x14ac:dyDescent="0.25">
      <c r="A10" s="268">
        <v>4</v>
      </c>
      <c r="B10" s="266" t="s">
        <v>70</v>
      </c>
      <c r="C10" s="269">
        <v>1</v>
      </c>
      <c r="D10" s="269">
        <v>1</v>
      </c>
      <c r="E10" s="269">
        <v>1</v>
      </c>
      <c r="F10" s="269">
        <v>1</v>
      </c>
      <c r="G10" s="269">
        <v>1</v>
      </c>
    </row>
    <row r="11" spans="1:7" x14ac:dyDescent="0.25">
      <c r="A11" s="268">
        <v>5</v>
      </c>
      <c r="B11" s="266" t="s">
        <v>71</v>
      </c>
      <c r="C11" s="269">
        <v>1</v>
      </c>
      <c r="D11" s="269">
        <v>1</v>
      </c>
      <c r="E11" s="269">
        <v>1</v>
      </c>
      <c r="F11" s="269">
        <v>1</v>
      </c>
      <c r="G11" s="269">
        <v>1</v>
      </c>
    </row>
    <row r="12" spans="1:7" x14ac:dyDescent="0.25">
      <c r="A12" s="268">
        <v>6</v>
      </c>
      <c r="B12" s="266" t="s">
        <v>72</v>
      </c>
      <c r="C12" s="269">
        <v>1</v>
      </c>
      <c r="D12" s="269">
        <v>1</v>
      </c>
      <c r="E12" s="269">
        <v>1</v>
      </c>
      <c r="F12" s="269">
        <v>1</v>
      </c>
      <c r="G12" s="269">
        <v>1</v>
      </c>
    </row>
    <row r="13" spans="1:7" x14ac:dyDescent="0.25">
      <c r="A13" s="268">
        <v>7</v>
      </c>
      <c r="B13" s="266" t="s">
        <v>73</v>
      </c>
      <c r="C13" s="269">
        <v>1</v>
      </c>
      <c r="D13" s="269">
        <v>1</v>
      </c>
      <c r="E13" s="269">
        <v>1</v>
      </c>
      <c r="F13" s="269">
        <v>1</v>
      </c>
      <c r="G13" s="269">
        <v>1</v>
      </c>
    </row>
    <row r="14" spans="1:7" x14ac:dyDescent="0.25">
      <c r="A14" s="268">
        <v>8</v>
      </c>
      <c r="B14" s="266" t="s">
        <v>74</v>
      </c>
      <c r="C14" s="269">
        <v>1</v>
      </c>
      <c r="D14" s="269">
        <v>1</v>
      </c>
      <c r="E14" s="269">
        <v>1</v>
      </c>
      <c r="F14" s="269">
        <v>1</v>
      </c>
      <c r="G14" s="269">
        <v>1</v>
      </c>
    </row>
    <row r="15" spans="1:7" x14ac:dyDescent="0.25">
      <c r="A15" s="268">
        <v>9</v>
      </c>
      <c r="B15" s="266" t="s">
        <v>75</v>
      </c>
      <c r="C15" s="269">
        <v>1</v>
      </c>
      <c r="D15" s="269">
        <v>1</v>
      </c>
      <c r="E15" s="269">
        <v>1</v>
      </c>
      <c r="F15" s="269">
        <v>1</v>
      </c>
      <c r="G15" s="269">
        <v>1</v>
      </c>
    </row>
    <row r="16" spans="1:7" x14ac:dyDescent="0.25">
      <c r="A16" s="268">
        <v>10</v>
      </c>
      <c r="B16" s="266" t="s">
        <v>76</v>
      </c>
      <c r="C16" s="269">
        <v>1</v>
      </c>
      <c r="D16" s="269">
        <v>1</v>
      </c>
      <c r="E16" s="269">
        <v>1</v>
      </c>
      <c r="F16" s="269">
        <v>1</v>
      </c>
      <c r="G16" s="269">
        <v>1</v>
      </c>
    </row>
    <row r="17" spans="1:7" s="14" customFormat="1" x14ac:dyDescent="0.25">
      <c r="A17" s="75" t="s">
        <v>421</v>
      </c>
      <c r="B17" s="76" t="s">
        <v>1518</v>
      </c>
      <c r="C17" s="77"/>
      <c r="D17" s="77"/>
      <c r="E17" s="77"/>
      <c r="F17" s="77"/>
      <c r="G17" s="77"/>
    </row>
    <row r="18" spans="1:7" ht="15.75" customHeight="1" x14ac:dyDescent="0.25">
      <c r="A18" s="1277">
        <v>1</v>
      </c>
      <c r="B18" s="1279" t="s">
        <v>77</v>
      </c>
      <c r="C18" s="1546" t="s">
        <v>1617</v>
      </c>
      <c r="D18" s="1547"/>
      <c r="E18" s="1547"/>
      <c r="F18" s="1548"/>
      <c r="G18" s="1280">
        <v>1</v>
      </c>
    </row>
    <row r="19" spans="1:7" x14ac:dyDescent="0.25">
      <c r="A19" s="1277">
        <v>2</v>
      </c>
      <c r="B19" s="1279" t="s">
        <v>78</v>
      </c>
      <c r="C19" s="1549"/>
      <c r="D19" s="1550"/>
      <c r="E19" s="1550"/>
      <c r="F19" s="1551"/>
      <c r="G19" s="1280">
        <v>1</v>
      </c>
    </row>
    <row r="20" spans="1:7" ht="66" customHeight="1" x14ac:dyDescent="0.25">
      <c r="A20" s="1278">
        <v>3</v>
      </c>
      <c r="B20" s="1281" t="s">
        <v>79</v>
      </c>
      <c r="C20" s="1549"/>
      <c r="D20" s="1550"/>
      <c r="E20" s="1550"/>
      <c r="F20" s="1551"/>
      <c r="G20" s="1282">
        <v>1</v>
      </c>
    </row>
    <row r="21" spans="1:7" x14ac:dyDescent="0.25">
      <c r="A21" s="1277">
        <v>4</v>
      </c>
      <c r="B21" s="1279" t="s">
        <v>1625</v>
      </c>
      <c r="C21" s="1549"/>
      <c r="D21" s="1550"/>
      <c r="E21" s="1550"/>
      <c r="F21" s="1551"/>
      <c r="G21" s="1280">
        <v>1</v>
      </c>
    </row>
    <row r="22" spans="1:7" x14ac:dyDescent="0.25">
      <c r="A22" s="1277">
        <v>5</v>
      </c>
      <c r="B22" s="1279" t="s">
        <v>1626</v>
      </c>
      <c r="C22" s="1552"/>
      <c r="D22" s="1553"/>
      <c r="E22" s="1553"/>
      <c r="F22" s="1554"/>
      <c r="G22" s="1280">
        <v>1</v>
      </c>
    </row>
    <row r="23" spans="1:7" x14ac:dyDescent="0.25">
      <c r="A23" s="268">
        <v>6</v>
      </c>
      <c r="B23" s="266" t="s">
        <v>80</v>
      </c>
      <c r="C23" s="269">
        <v>1</v>
      </c>
      <c r="D23" s="269">
        <v>1</v>
      </c>
      <c r="E23" s="269">
        <v>1</v>
      </c>
      <c r="F23" s="269">
        <v>1</v>
      </c>
      <c r="G23" s="269">
        <v>1</v>
      </c>
    </row>
    <row r="24" spans="1:7" x14ac:dyDescent="0.25">
      <c r="A24" s="268">
        <v>7</v>
      </c>
      <c r="B24" s="266" t="s">
        <v>81</v>
      </c>
      <c r="C24" s="269">
        <v>1</v>
      </c>
      <c r="D24" s="269">
        <v>1</v>
      </c>
      <c r="E24" s="269">
        <v>1</v>
      </c>
      <c r="F24" s="269">
        <v>1</v>
      </c>
      <c r="G24" s="269">
        <v>1</v>
      </c>
    </row>
    <row r="25" spans="1:7" s="14" customFormat="1" x14ac:dyDescent="0.25">
      <c r="A25" s="75" t="s">
        <v>449</v>
      </c>
      <c r="B25" s="76" t="s">
        <v>51</v>
      </c>
      <c r="C25" s="77"/>
      <c r="D25" s="77"/>
      <c r="E25" s="77"/>
      <c r="F25" s="77"/>
      <c r="G25" s="77"/>
    </row>
    <row r="26" spans="1:7" x14ac:dyDescent="0.25">
      <c r="A26" s="268">
        <v>1</v>
      </c>
      <c r="B26" s="266" t="s">
        <v>1627</v>
      </c>
      <c r="C26" s="269">
        <v>1</v>
      </c>
      <c r="D26" s="269">
        <v>1</v>
      </c>
      <c r="E26" s="269">
        <v>1</v>
      </c>
      <c r="F26" s="269">
        <v>1</v>
      </c>
      <c r="G26" s="269">
        <v>1</v>
      </c>
    </row>
    <row r="27" spans="1:7" x14ac:dyDescent="0.25">
      <c r="A27" s="268">
        <v>2</v>
      </c>
      <c r="B27" s="266" t="s">
        <v>82</v>
      </c>
      <c r="C27" s="269">
        <v>1</v>
      </c>
      <c r="D27" s="269">
        <v>1</v>
      </c>
      <c r="E27" s="269">
        <v>1</v>
      </c>
      <c r="F27" s="269">
        <v>1</v>
      </c>
      <c r="G27" s="269">
        <v>1</v>
      </c>
    </row>
    <row r="28" spans="1:7" x14ac:dyDescent="0.25">
      <c r="A28" s="268">
        <v>3</v>
      </c>
      <c r="B28" s="266" t="s">
        <v>83</v>
      </c>
      <c r="C28" s="269">
        <v>1</v>
      </c>
      <c r="D28" s="269">
        <v>1</v>
      </c>
      <c r="E28" s="269">
        <v>1</v>
      </c>
      <c r="F28" s="269">
        <v>1</v>
      </c>
      <c r="G28" s="269">
        <v>1</v>
      </c>
    </row>
    <row r="29" spans="1:7" x14ac:dyDescent="0.25">
      <c r="A29" s="268">
        <v>4</v>
      </c>
      <c r="B29" s="266" t="s">
        <v>84</v>
      </c>
      <c r="C29" s="269">
        <v>1</v>
      </c>
      <c r="D29" s="269">
        <v>1</v>
      </c>
      <c r="E29" s="269">
        <v>1</v>
      </c>
      <c r="F29" s="269">
        <v>1</v>
      </c>
      <c r="G29" s="269">
        <v>1</v>
      </c>
    </row>
    <row r="30" spans="1:7" x14ac:dyDescent="0.25">
      <c r="A30" s="268">
        <v>5</v>
      </c>
      <c r="B30" s="266" t="s">
        <v>85</v>
      </c>
      <c r="C30" s="269">
        <v>1</v>
      </c>
      <c r="D30" s="269">
        <v>1</v>
      </c>
      <c r="E30" s="269">
        <v>1</v>
      </c>
      <c r="F30" s="269">
        <v>1</v>
      </c>
      <c r="G30" s="269">
        <v>1</v>
      </c>
    </row>
    <row r="31" spans="1:7" x14ac:dyDescent="0.25">
      <c r="A31" s="268">
        <v>6</v>
      </c>
      <c r="B31" s="266" t="s">
        <v>86</v>
      </c>
      <c r="C31" s="269">
        <v>1</v>
      </c>
      <c r="D31" s="269">
        <v>1</v>
      </c>
      <c r="E31" s="269">
        <v>1</v>
      </c>
      <c r="F31" s="269">
        <v>1</v>
      </c>
      <c r="G31" s="269">
        <v>1</v>
      </c>
    </row>
    <row r="32" spans="1:7" x14ac:dyDescent="0.25">
      <c r="A32" s="268">
        <v>7</v>
      </c>
      <c r="B32" s="266" t="s">
        <v>87</v>
      </c>
      <c r="C32" s="269">
        <v>1</v>
      </c>
      <c r="D32" s="269">
        <v>1</v>
      </c>
      <c r="E32" s="269">
        <v>1</v>
      </c>
      <c r="F32" s="269">
        <v>1</v>
      </c>
      <c r="G32" s="269">
        <v>1</v>
      </c>
    </row>
    <row r="33" spans="1:7" x14ac:dyDescent="0.25">
      <c r="A33" s="268">
        <v>8</v>
      </c>
      <c r="B33" s="266" t="s">
        <v>88</v>
      </c>
      <c r="C33" s="269">
        <v>1</v>
      </c>
      <c r="D33" s="269">
        <v>1</v>
      </c>
      <c r="E33" s="269">
        <v>1</v>
      </c>
      <c r="F33" s="269">
        <v>1</v>
      </c>
      <c r="G33" s="269">
        <v>1</v>
      </c>
    </row>
    <row r="34" spans="1:7" x14ac:dyDescent="0.25">
      <c r="A34" s="268">
        <v>9</v>
      </c>
      <c r="B34" s="266" t="s">
        <v>89</v>
      </c>
      <c r="C34" s="269">
        <v>1</v>
      </c>
      <c r="D34" s="269">
        <v>1</v>
      </c>
      <c r="E34" s="269">
        <v>1</v>
      </c>
      <c r="F34" s="269">
        <v>1</v>
      </c>
      <c r="G34" s="269">
        <v>1</v>
      </c>
    </row>
    <row r="35" spans="1:7" s="14" customFormat="1" x14ac:dyDescent="0.25">
      <c r="A35" s="75" t="s">
        <v>450</v>
      </c>
      <c r="B35" s="76" t="s">
        <v>90</v>
      </c>
      <c r="C35" s="77"/>
      <c r="D35" s="77"/>
      <c r="E35" s="77"/>
      <c r="F35" s="77"/>
      <c r="G35" s="77"/>
    </row>
    <row r="36" spans="1:7" x14ac:dyDescent="0.25">
      <c r="A36" s="268">
        <v>1</v>
      </c>
      <c r="B36" s="266" t="s">
        <v>91</v>
      </c>
      <c r="C36" s="269">
        <v>1</v>
      </c>
      <c r="D36" s="269">
        <v>1</v>
      </c>
      <c r="E36" s="269">
        <v>1</v>
      </c>
      <c r="F36" s="269">
        <v>1</v>
      </c>
      <c r="G36" s="269">
        <v>1</v>
      </c>
    </row>
    <row r="37" spans="1:7" x14ac:dyDescent="0.25">
      <c r="A37" s="268">
        <v>2</v>
      </c>
      <c r="B37" s="266" t="s">
        <v>92</v>
      </c>
      <c r="C37" s="269">
        <v>1</v>
      </c>
      <c r="D37" s="269">
        <v>1</v>
      </c>
      <c r="E37" s="269">
        <v>1</v>
      </c>
      <c r="F37" s="269">
        <v>1</v>
      </c>
      <c r="G37" s="269">
        <v>1</v>
      </c>
    </row>
    <row r="38" spans="1:7" x14ac:dyDescent="0.25">
      <c r="A38" s="268">
        <v>3</v>
      </c>
      <c r="B38" s="266" t="s">
        <v>93</v>
      </c>
      <c r="C38" s="269">
        <v>1</v>
      </c>
      <c r="D38" s="269">
        <v>1</v>
      </c>
      <c r="E38" s="269">
        <v>1</v>
      </c>
      <c r="F38" s="269">
        <v>1</v>
      </c>
      <c r="G38" s="269">
        <v>1</v>
      </c>
    </row>
    <row r="39" spans="1:7" x14ac:dyDescent="0.25">
      <c r="A39" s="268">
        <v>4</v>
      </c>
      <c r="B39" s="266" t="s">
        <v>94</v>
      </c>
      <c r="C39" s="269">
        <v>1</v>
      </c>
      <c r="D39" s="269">
        <v>1</v>
      </c>
      <c r="E39" s="269">
        <v>1</v>
      </c>
      <c r="F39" s="269">
        <v>1</v>
      </c>
      <c r="G39" s="269">
        <v>1</v>
      </c>
    </row>
    <row r="40" spans="1:7" x14ac:dyDescent="0.25">
      <c r="A40" s="268">
        <v>5</v>
      </c>
      <c r="B40" s="266" t="s">
        <v>95</v>
      </c>
      <c r="C40" s="269">
        <v>1</v>
      </c>
      <c r="D40" s="269">
        <v>1</v>
      </c>
      <c r="E40" s="269">
        <v>1</v>
      </c>
      <c r="F40" s="269">
        <v>1</v>
      </c>
      <c r="G40" s="269">
        <v>1</v>
      </c>
    </row>
    <row r="41" spans="1:7" x14ac:dyDescent="0.25">
      <c r="A41" s="268">
        <v>6</v>
      </c>
      <c r="B41" s="266" t="s">
        <v>96</v>
      </c>
      <c r="C41" s="269">
        <v>1</v>
      </c>
      <c r="D41" s="269">
        <v>1</v>
      </c>
      <c r="E41" s="269">
        <v>1</v>
      </c>
      <c r="F41" s="269">
        <v>1</v>
      </c>
      <c r="G41" s="269">
        <v>1</v>
      </c>
    </row>
    <row r="42" spans="1:7" x14ac:dyDescent="0.25">
      <c r="A42" s="268">
        <v>7</v>
      </c>
      <c r="B42" s="266" t="s">
        <v>97</v>
      </c>
      <c r="C42" s="269">
        <v>1</v>
      </c>
      <c r="D42" s="269">
        <v>1</v>
      </c>
      <c r="E42" s="269">
        <v>1</v>
      </c>
      <c r="F42" s="269">
        <v>1</v>
      </c>
      <c r="G42" s="269">
        <v>1</v>
      </c>
    </row>
    <row r="43" spans="1:7" x14ac:dyDescent="0.25">
      <c r="A43" s="268">
        <v>8</v>
      </c>
      <c r="B43" s="266" t="s">
        <v>98</v>
      </c>
      <c r="C43" s="269">
        <v>1</v>
      </c>
      <c r="D43" s="269">
        <v>1</v>
      </c>
      <c r="E43" s="269">
        <v>1</v>
      </c>
      <c r="F43" s="269">
        <v>1</v>
      </c>
      <c r="G43" s="269">
        <v>1</v>
      </c>
    </row>
    <row r="44" spans="1:7" x14ac:dyDescent="0.25">
      <c r="A44" s="268">
        <v>9</v>
      </c>
      <c r="B44" s="266" t="s">
        <v>99</v>
      </c>
      <c r="C44" s="269">
        <v>1</v>
      </c>
      <c r="D44" s="269">
        <v>1</v>
      </c>
      <c r="E44" s="269">
        <v>1</v>
      </c>
      <c r="F44" s="269">
        <v>1</v>
      </c>
      <c r="G44" s="269">
        <v>1</v>
      </c>
    </row>
    <row r="45" spans="1:7" x14ac:dyDescent="0.25">
      <c r="A45" s="268">
        <v>10</v>
      </c>
      <c r="B45" s="266" t="s">
        <v>100</v>
      </c>
      <c r="C45" s="269">
        <v>1</v>
      </c>
      <c r="D45" s="269">
        <v>1</v>
      </c>
      <c r="E45" s="269">
        <v>1</v>
      </c>
      <c r="F45" s="269">
        <v>1</v>
      </c>
      <c r="G45" s="269">
        <v>1</v>
      </c>
    </row>
    <row r="46" spans="1:7" x14ac:dyDescent="0.25">
      <c r="A46" s="268">
        <v>11</v>
      </c>
      <c r="B46" s="266" t="s">
        <v>101</v>
      </c>
      <c r="C46" s="269">
        <v>1</v>
      </c>
      <c r="D46" s="269">
        <v>1</v>
      </c>
      <c r="E46" s="269">
        <v>1</v>
      </c>
      <c r="F46" s="269">
        <v>1</v>
      </c>
      <c r="G46" s="269">
        <v>1</v>
      </c>
    </row>
    <row r="47" spans="1:7" x14ac:dyDescent="0.25">
      <c r="A47" s="268">
        <v>12</v>
      </c>
      <c r="B47" s="266" t="s">
        <v>102</v>
      </c>
      <c r="C47" s="269">
        <v>1</v>
      </c>
      <c r="D47" s="269">
        <v>1</v>
      </c>
      <c r="E47" s="269">
        <v>1</v>
      </c>
      <c r="F47" s="269">
        <v>1</v>
      </c>
      <c r="G47" s="269">
        <v>1</v>
      </c>
    </row>
    <row r="48" spans="1:7" s="14" customFormat="1" x14ac:dyDescent="0.25">
      <c r="A48" s="75" t="s">
        <v>472</v>
      </c>
      <c r="B48" s="76" t="s">
        <v>53</v>
      </c>
      <c r="C48" s="77"/>
      <c r="D48" s="77"/>
      <c r="E48" s="77"/>
      <c r="F48" s="77"/>
      <c r="G48" s="77"/>
    </row>
    <row r="49" spans="1:7" x14ac:dyDescent="0.25">
      <c r="A49" s="268">
        <v>1</v>
      </c>
      <c r="B49" s="270" t="s">
        <v>103</v>
      </c>
      <c r="C49" s="269">
        <v>1</v>
      </c>
      <c r="D49" s="269">
        <v>1</v>
      </c>
      <c r="E49" s="269">
        <v>1</v>
      </c>
      <c r="F49" s="269">
        <v>1</v>
      </c>
      <c r="G49" s="269">
        <v>1</v>
      </c>
    </row>
    <row r="50" spans="1:7" x14ac:dyDescent="0.25">
      <c r="A50" s="268">
        <v>2</v>
      </c>
      <c r="B50" s="270" t="s">
        <v>104</v>
      </c>
      <c r="C50" s="269">
        <v>1</v>
      </c>
      <c r="D50" s="269">
        <v>1</v>
      </c>
      <c r="E50" s="269">
        <v>1</v>
      </c>
      <c r="F50" s="269">
        <v>1</v>
      </c>
      <c r="G50" s="269">
        <v>1</v>
      </c>
    </row>
    <row r="51" spans="1:7" x14ac:dyDescent="0.25">
      <c r="A51" s="268">
        <v>3</v>
      </c>
      <c r="B51" s="270" t="s">
        <v>105</v>
      </c>
      <c r="C51" s="269">
        <v>1</v>
      </c>
      <c r="D51" s="269">
        <v>1</v>
      </c>
      <c r="E51" s="269">
        <v>1</v>
      </c>
      <c r="F51" s="269">
        <v>1</v>
      </c>
      <c r="G51" s="269">
        <v>1</v>
      </c>
    </row>
    <row r="52" spans="1:7" x14ac:dyDescent="0.25">
      <c r="A52" s="268">
        <v>4</v>
      </c>
      <c r="B52" s="270" t="s">
        <v>106</v>
      </c>
      <c r="C52" s="269">
        <v>1</v>
      </c>
      <c r="D52" s="269">
        <v>1</v>
      </c>
      <c r="E52" s="269">
        <v>1</v>
      </c>
      <c r="F52" s="269">
        <v>1</v>
      </c>
      <c r="G52" s="269">
        <v>1</v>
      </c>
    </row>
    <row r="53" spans="1:7" x14ac:dyDescent="0.25">
      <c r="A53" s="268">
        <v>5</v>
      </c>
      <c r="B53" s="270" t="s">
        <v>107</v>
      </c>
      <c r="C53" s="269">
        <v>1</v>
      </c>
      <c r="D53" s="269">
        <v>1</v>
      </c>
      <c r="E53" s="269">
        <v>1</v>
      </c>
      <c r="F53" s="269">
        <v>1</v>
      </c>
      <c r="G53" s="269">
        <v>1</v>
      </c>
    </row>
    <row r="54" spans="1:7" x14ac:dyDescent="0.25">
      <c r="A54" s="268">
        <v>6</v>
      </c>
      <c r="B54" s="270" t="s">
        <v>108</v>
      </c>
      <c r="C54" s="269">
        <v>1</v>
      </c>
      <c r="D54" s="269">
        <v>1</v>
      </c>
      <c r="E54" s="269">
        <v>1</v>
      </c>
      <c r="F54" s="269">
        <v>1</v>
      </c>
      <c r="G54" s="269">
        <v>1</v>
      </c>
    </row>
    <row r="55" spans="1:7" x14ac:dyDescent="0.25">
      <c r="A55" s="268">
        <v>7</v>
      </c>
      <c r="B55" s="270" t="s">
        <v>109</v>
      </c>
      <c r="C55" s="269">
        <v>1</v>
      </c>
      <c r="D55" s="269">
        <v>1</v>
      </c>
      <c r="E55" s="269">
        <v>1</v>
      </c>
      <c r="F55" s="269">
        <v>1</v>
      </c>
      <c r="G55" s="269">
        <v>1</v>
      </c>
    </row>
    <row r="56" spans="1:7" x14ac:dyDescent="0.25">
      <c r="A56" s="268">
        <v>8</v>
      </c>
      <c r="B56" s="270" t="s">
        <v>110</v>
      </c>
      <c r="C56" s="269">
        <v>1</v>
      </c>
      <c r="D56" s="269">
        <v>1</v>
      </c>
      <c r="E56" s="269">
        <v>1</v>
      </c>
      <c r="F56" s="269">
        <v>1</v>
      </c>
      <c r="G56" s="269">
        <v>1</v>
      </c>
    </row>
    <row r="57" spans="1:7" x14ac:dyDescent="0.25">
      <c r="A57" s="268">
        <v>9</v>
      </c>
      <c r="B57" s="270" t="s">
        <v>111</v>
      </c>
      <c r="C57" s="269">
        <v>1</v>
      </c>
      <c r="D57" s="269">
        <v>1</v>
      </c>
      <c r="E57" s="269">
        <v>1</v>
      </c>
      <c r="F57" s="269">
        <v>1</v>
      </c>
      <c r="G57" s="269">
        <v>1</v>
      </c>
    </row>
    <row r="58" spans="1:7" x14ac:dyDescent="0.25">
      <c r="A58" s="268">
        <v>10</v>
      </c>
      <c r="B58" s="270" t="s">
        <v>112</v>
      </c>
      <c r="C58" s="269">
        <v>1</v>
      </c>
      <c r="D58" s="269">
        <v>1</v>
      </c>
      <c r="E58" s="269">
        <v>1</v>
      </c>
      <c r="F58" s="269">
        <v>1</v>
      </c>
      <c r="G58" s="269">
        <v>1</v>
      </c>
    </row>
    <row r="59" spans="1:7" x14ac:dyDescent="0.25">
      <c r="A59" s="268">
        <v>11</v>
      </c>
      <c r="B59" s="270" t="s">
        <v>113</v>
      </c>
      <c r="C59" s="269">
        <v>1</v>
      </c>
      <c r="D59" s="269">
        <v>1</v>
      </c>
      <c r="E59" s="269">
        <v>1</v>
      </c>
      <c r="F59" s="269">
        <v>1</v>
      </c>
      <c r="G59" s="269">
        <v>1</v>
      </c>
    </row>
    <row r="60" spans="1:7" x14ac:dyDescent="0.25">
      <c r="A60" s="268">
        <v>12</v>
      </c>
      <c r="B60" s="270" t="s">
        <v>114</v>
      </c>
      <c r="C60" s="269">
        <v>1</v>
      </c>
      <c r="D60" s="269">
        <v>1</v>
      </c>
      <c r="E60" s="269">
        <v>1</v>
      </c>
      <c r="F60" s="269">
        <v>1</v>
      </c>
      <c r="G60" s="269">
        <v>1</v>
      </c>
    </row>
    <row r="61" spans="1:7" x14ac:dyDescent="0.25">
      <c r="A61" s="268">
        <v>13</v>
      </c>
      <c r="B61" s="270" t="s">
        <v>115</v>
      </c>
      <c r="C61" s="269">
        <v>1</v>
      </c>
      <c r="D61" s="269">
        <v>1</v>
      </c>
      <c r="E61" s="269">
        <v>1</v>
      </c>
      <c r="F61" s="269">
        <v>1</v>
      </c>
      <c r="G61" s="269">
        <v>1</v>
      </c>
    </row>
    <row r="62" spans="1:7" x14ac:dyDescent="0.25">
      <c r="A62" s="75" t="s">
        <v>473</v>
      </c>
      <c r="B62" s="82" t="s">
        <v>116</v>
      </c>
      <c r="C62" s="269"/>
      <c r="D62" s="269"/>
      <c r="E62" s="269"/>
      <c r="F62" s="269"/>
      <c r="G62" s="269"/>
    </row>
    <row r="63" spans="1:7" ht="15.75" customHeight="1" x14ac:dyDescent="0.25">
      <c r="A63" s="1283">
        <v>1</v>
      </c>
      <c r="B63" s="1284" t="s">
        <v>117</v>
      </c>
      <c r="C63" s="1555" t="s">
        <v>936</v>
      </c>
      <c r="D63" s="1556"/>
      <c r="E63" s="1556"/>
      <c r="F63" s="1556"/>
      <c r="G63" s="1280">
        <v>1</v>
      </c>
    </row>
    <row r="64" spans="1:7" x14ac:dyDescent="0.25">
      <c r="A64" s="1283">
        <v>2</v>
      </c>
      <c r="B64" s="1284" t="s">
        <v>118</v>
      </c>
      <c r="C64" s="1556"/>
      <c r="D64" s="1556"/>
      <c r="E64" s="1556"/>
      <c r="F64" s="1556"/>
      <c r="G64" s="1280">
        <v>1</v>
      </c>
    </row>
    <row r="65" spans="1:7" x14ac:dyDescent="0.25">
      <c r="A65" s="1283">
        <v>3</v>
      </c>
      <c r="B65" s="1284" t="s">
        <v>119</v>
      </c>
      <c r="C65" s="1556"/>
      <c r="D65" s="1556"/>
      <c r="E65" s="1556"/>
      <c r="F65" s="1556"/>
      <c r="G65" s="1280">
        <v>1</v>
      </c>
    </row>
    <row r="66" spans="1:7" x14ac:dyDescent="0.25">
      <c r="A66" s="1283">
        <v>4</v>
      </c>
      <c r="B66" s="1284" t="s">
        <v>120</v>
      </c>
      <c r="C66" s="1556"/>
      <c r="D66" s="1556"/>
      <c r="E66" s="1556"/>
      <c r="F66" s="1556"/>
      <c r="G66" s="1280">
        <v>1</v>
      </c>
    </row>
    <row r="67" spans="1:7" x14ac:dyDescent="0.25">
      <c r="A67" s="1283">
        <v>5</v>
      </c>
      <c r="B67" s="1284" t="s">
        <v>121</v>
      </c>
      <c r="C67" s="1556"/>
      <c r="D67" s="1556"/>
      <c r="E67" s="1556"/>
      <c r="F67" s="1556"/>
      <c r="G67" s="1280">
        <v>1</v>
      </c>
    </row>
    <row r="68" spans="1:7" x14ac:dyDescent="0.25">
      <c r="A68" s="1283">
        <v>6</v>
      </c>
      <c r="B68" s="1284" t="s">
        <v>122</v>
      </c>
      <c r="C68" s="1556"/>
      <c r="D68" s="1556"/>
      <c r="E68" s="1556"/>
      <c r="F68" s="1556"/>
      <c r="G68" s="1280">
        <v>1</v>
      </c>
    </row>
    <row r="69" spans="1:7" x14ac:dyDescent="0.25">
      <c r="A69" s="1283">
        <v>7</v>
      </c>
      <c r="B69" s="1284" t="s">
        <v>123</v>
      </c>
      <c r="C69" s="1556"/>
      <c r="D69" s="1556"/>
      <c r="E69" s="1556"/>
      <c r="F69" s="1556"/>
      <c r="G69" s="1280">
        <v>1</v>
      </c>
    </row>
    <row r="70" spans="1:7" x14ac:dyDescent="0.25">
      <c r="A70" s="1283">
        <v>8</v>
      </c>
      <c r="B70" s="1284" t="s">
        <v>124</v>
      </c>
      <c r="C70" s="1556"/>
      <c r="D70" s="1556"/>
      <c r="E70" s="1556"/>
      <c r="F70" s="1556"/>
      <c r="G70" s="1280">
        <v>1</v>
      </c>
    </row>
    <row r="71" spans="1:7" x14ac:dyDescent="0.25">
      <c r="A71" s="268">
        <v>9</v>
      </c>
      <c r="B71" s="270" t="s">
        <v>125</v>
      </c>
      <c r="C71" s="269">
        <v>1</v>
      </c>
      <c r="D71" s="269">
        <v>1</v>
      </c>
      <c r="E71" s="269">
        <v>1</v>
      </c>
      <c r="F71" s="269">
        <v>1</v>
      </c>
      <c r="G71" s="269">
        <v>1</v>
      </c>
    </row>
    <row r="72" spans="1:7" x14ac:dyDescent="0.25">
      <c r="A72" s="268">
        <v>10</v>
      </c>
      <c r="B72" s="270" t="s">
        <v>126</v>
      </c>
      <c r="C72" s="269">
        <v>1</v>
      </c>
      <c r="D72" s="269">
        <v>1</v>
      </c>
      <c r="E72" s="269">
        <v>1</v>
      </c>
      <c r="F72" s="269">
        <v>1</v>
      </c>
      <c r="G72" s="269">
        <v>1</v>
      </c>
    </row>
    <row r="73" spans="1:7" x14ac:dyDescent="0.25">
      <c r="A73" s="268">
        <v>11</v>
      </c>
      <c r="B73" s="270" t="s">
        <v>127</v>
      </c>
      <c r="C73" s="269">
        <v>1</v>
      </c>
      <c r="D73" s="269">
        <v>1</v>
      </c>
      <c r="E73" s="269">
        <v>1</v>
      </c>
      <c r="F73" s="269">
        <v>1</v>
      </c>
      <c r="G73" s="269">
        <v>1</v>
      </c>
    </row>
    <row r="74" spans="1:7" x14ac:dyDescent="0.25">
      <c r="A74" s="268">
        <v>12</v>
      </c>
      <c r="B74" s="270" t="s">
        <v>128</v>
      </c>
      <c r="C74" s="269">
        <v>1</v>
      </c>
      <c r="D74" s="269">
        <v>1</v>
      </c>
      <c r="E74" s="269">
        <v>1</v>
      </c>
      <c r="F74" s="269">
        <v>1</v>
      </c>
      <c r="G74" s="269">
        <v>1</v>
      </c>
    </row>
    <row r="75" spans="1:7" x14ac:dyDescent="0.25">
      <c r="A75" s="268">
        <v>13</v>
      </c>
      <c r="B75" s="270" t="s">
        <v>129</v>
      </c>
      <c r="C75" s="269">
        <v>1</v>
      </c>
      <c r="D75" s="269">
        <v>1</v>
      </c>
      <c r="E75" s="269">
        <v>1</v>
      </c>
      <c r="F75" s="269">
        <v>1</v>
      </c>
      <c r="G75" s="269">
        <v>1</v>
      </c>
    </row>
    <row r="76" spans="1:7" x14ac:dyDescent="0.25">
      <c r="A76" s="268">
        <v>14</v>
      </c>
      <c r="B76" s="270" t="s">
        <v>130</v>
      </c>
      <c r="C76" s="269">
        <v>1</v>
      </c>
      <c r="D76" s="269">
        <v>1</v>
      </c>
      <c r="E76" s="269">
        <v>1</v>
      </c>
      <c r="F76" s="269">
        <v>1</v>
      </c>
      <c r="G76" s="269">
        <v>1</v>
      </c>
    </row>
    <row r="77" spans="1:7" x14ac:dyDescent="0.25">
      <c r="A77" s="268">
        <v>15</v>
      </c>
      <c r="B77" s="270" t="s">
        <v>131</v>
      </c>
      <c r="C77" s="269">
        <v>1</v>
      </c>
      <c r="D77" s="269">
        <v>1</v>
      </c>
      <c r="E77" s="269">
        <v>1</v>
      </c>
      <c r="F77" s="269">
        <v>1</v>
      </c>
      <c r="G77" s="269">
        <v>1</v>
      </c>
    </row>
    <row r="78" spans="1:7" x14ac:dyDescent="0.25">
      <c r="A78" s="75" t="s">
        <v>512</v>
      </c>
      <c r="B78" s="82" t="s">
        <v>132</v>
      </c>
      <c r="C78" s="269"/>
      <c r="D78" s="269"/>
      <c r="E78" s="269"/>
      <c r="F78" s="269"/>
      <c r="G78" s="269"/>
    </row>
    <row r="79" spans="1:7" x14ac:dyDescent="0.25">
      <c r="A79" s="268">
        <v>1</v>
      </c>
      <c r="B79" s="270" t="s">
        <v>133</v>
      </c>
      <c r="C79" s="269">
        <v>1</v>
      </c>
      <c r="D79" s="269">
        <v>1</v>
      </c>
      <c r="E79" s="269">
        <v>1</v>
      </c>
      <c r="F79" s="269">
        <v>1</v>
      </c>
      <c r="G79" s="269">
        <v>1</v>
      </c>
    </row>
    <row r="80" spans="1:7" x14ac:dyDescent="0.25">
      <c r="A80" s="268">
        <v>2</v>
      </c>
      <c r="B80" s="270" t="s">
        <v>134</v>
      </c>
      <c r="C80" s="269">
        <v>1</v>
      </c>
      <c r="D80" s="269">
        <v>1</v>
      </c>
      <c r="E80" s="269">
        <v>1</v>
      </c>
      <c r="F80" s="269">
        <v>1</v>
      </c>
      <c r="G80" s="269">
        <v>1</v>
      </c>
    </row>
    <row r="81" spans="1:7" x14ac:dyDescent="0.25">
      <c r="A81" s="268">
        <v>3</v>
      </c>
      <c r="B81" s="270" t="s">
        <v>135</v>
      </c>
      <c r="C81" s="269">
        <v>1</v>
      </c>
      <c r="D81" s="269">
        <v>1</v>
      </c>
      <c r="E81" s="269">
        <v>1</v>
      </c>
      <c r="F81" s="269">
        <v>1</v>
      </c>
      <c r="G81" s="269">
        <v>1</v>
      </c>
    </row>
    <row r="82" spans="1:7" x14ac:dyDescent="0.25">
      <c r="A82" s="268">
        <v>4</v>
      </c>
      <c r="B82" s="270" t="s">
        <v>136</v>
      </c>
      <c r="C82" s="269">
        <v>1</v>
      </c>
      <c r="D82" s="269">
        <v>1</v>
      </c>
      <c r="E82" s="269">
        <v>1</v>
      </c>
      <c r="F82" s="269">
        <v>1</v>
      </c>
      <c r="G82" s="269">
        <v>1</v>
      </c>
    </row>
    <row r="83" spans="1:7" x14ac:dyDescent="0.25">
      <c r="A83" s="268">
        <v>5</v>
      </c>
      <c r="B83" s="270" t="s">
        <v>137</v>
      </c>
      <c r="C83" s="269">
        <v>1</v>
      </c>
      <c r="D83" s="269">
        <v>1</v>
      </c>
      <c r="E83" s="269">
        <v>1</v>
      </c>
      <c r="F83" s="269">
        <v>1</v>
      </c>
      <c r="G83" s="269">
        <v>1</v>
      </c>
    </row>
    <row r="84" spans="1:7" x14ac:dyDescent="0.25">
      <c r="A84" s="268">
        <v>6</v>
      </c>
      <c r="B84" s="270" t="s">
        <v>138</v>
      </c>
      <c r="C84" s="269">
        <v>1</v>
      </c>
      <c r="D84" s="269">
        <v>1</v>
      </c>
      <c r="E84" s="269">
        <v>1</v>
      </c>
      <c r="F84" s="269">
        <v>1</v>
      </c>
      <c r="G84" s="269">
        <v>1</v>
      </c>
    </row>
    <row r="85" spans="1:7" x14ac:dyDescent="0.25">
      <c r="A85" s="268">
        <v>7</v>
      </c>
      <c r="B85" s="270" t="s">
        <v>139</v>
      </c>
      <c r="C85" s="269">
        <v>1</v>
      </c>
      <c r="D85" s="269">
        <v>1</v>
      </c>
      <c r="E85" s="269">
        <v>1</v>
      </c>
      <c r="F85" s="269">
        <v>1</v>
      </c>
      <c r="G85" s="269">
        <v>1</v>
      </c>
    </row>
    <row r="86" spans="1:7" x14ac:dyDescent="0.25">
      <c r="A86" s="268">
        <v>8</v>
      </c>
      <c r="B86" s="270" t="s">
        <v>140</v>
      </c>
      <c r="C86" s="269">
        <v>1</v>
      </c>
      <c r="D86" s="269">
        <v>1</v>
      </c>
      <c r="E86" s="269">
        <v>1</v>
      </c>
      <c r="F86" s="269">
        <v>1</v>
      </c>
      <c r="G86" s="269">
        <v>1</v>
      </c>
    </row>
    <row r="87" spans="1:7" x14ac:dyDescent="0.25">
      <c r="A87" s="268">
        <v>9</v>
      </c>
      <c r="B87" s="270" t="s">
        <v>141</v>
      </c>
      <c r="C87" s="269">
        <v>1</v>
      </c>
      <c r="D87" s="269">
        <v>1</v>
      </c>
      <c r="E87" s="269">
        <v>1</v>
      </c>
      <c r="F87" s="269">
        <v>1</v>
      </c>
      <c r="G87" s="269">
        <v>1</v>
      </c>
    </row>
    <row r="88" spans="1:7" x14ac:dyDescent="0.25">
      <c r="A88" s="268">
        <v>10</v>
      </c>
      <c r="B88" s="270" t="s">
        <v>142</v>
      </c>
      <c r="C88" s="269">
        <v>1</v>
      </c>
      <c r="D88" s="269">
        <v>1</v>
      </c>
      <c r="E88" s="269">
        <v>1</v>
      </c>
      <c r="F88" s="269">
        <v>1</v>
      </c>
      <c r="G88" s="269">
        <v>1</v>
      </c>
    </row>
    <row r="89" spans="1:7" x14ac:dyDescent="0.25">
      <c r="A89" s="268">
        <v>11</v>
      </c>
      <c r="B89" s="270" t="s">
        <v>143</v>
      </c>
      <c r="C89" s="269">
        <v>1</v>
      </c>
      <c r="D89" s="269">
        <v>1</v>
      </c>
      <c r="E89" s="269">
        <v>1</v>
      </c>
      <c r="F89" s="269">
        <v>1</v>
      </c>
      <c r="G89" s="269">
        <v>1</v>
      </c>
    </row>
    <row r="90" spans="1:7" x14ac:dyDescent="0.25">
      <c r="A90" s="268">
        <v>12</v>
      </c>
      <c r="B90" s="270" t="s">
        <v>144</v>
      </c>
      <c r="C90" s="269">
        <v>1</v>
      </c>
      <c r="D90" s="269">
        <v>1</v>
      </c>
      <c r="E90" s="269">
        <v>1</v>
      </c>
      <c r="F90" s="269">
        <v>1</v>
      </c>
      <c r="G90" s="269">
        <v>1</v>
      </c>
    </row>
    <row r="91" spans="1:7" x14ac:dyDescent="0.25">
      <c r="A91" s="268">
        <v>13</v>
      </c>
      <c r="B91" s="270" t="s">
        <v>151</v>
      </c>
      <c r="C91" s="269">
        <v>1</v>
      </c>
      <c r="D91" s="269">
        <v>1</v>
      </c>
      <c r="E91" s="269">
        <v>1</v>
      </c>
      <c r="F91" s="269">
        <v>1</v>
      </c>
      <c r="G91" s="269">
        <v>1</v>
      </c>
    </row>
    <row r="92" spans="1:7" x14ac:dyDescent="0.25">
      <c r="A92" s="268">
        <v>14</v>
      </c>
      <c r="B92" s="270" t="s">
        <v>152</v>
      </c>
      <c r="C92" s="269">
        <v>1</v>
      </c>
      <c r="D92" s="269">
        <v>1</v>
      </c>
      <c r="E92" s="269">
        <v>1</v>
      </c>
      <c r="F92" s="269">
        <v>1</v>
      </c>
      <c r="G92" s="269">
        <v>1</v>
      </c>
    </row>
    <row r="93" spans="1:7" x14ac:dyDescent="0.25">
      <c r="A93" s="268">
        <v>15</v>
      </c>
      <c r="B93" s="270" t="s">
        <v>153</v>
      </c>
      <c r="C93" s="269">
        <v>1</v>
      </c>
      <c r="D93" s="269">
        <v>1</v>
      </c>
      <c r="E93" s="269">
        <v>1</v>
      </c>
      <c r="F93" s="269">
        <v>1</v>
      </c>
      <c r="G93" s="269">
        <v>1</v>
      </c>
    </row>
    <row r="94" spans="1:7" x14ac:dyDescent="0.25">
      <c r="A94" s="268">
        <v>16</v>
      </c>
      <c r="B94" s="270" t="s">
        <v>154</v>
      </c>
      <c r="C94" s="269">
        <v>1</v>
      </c>
      <c r="D94" s="269">
        <v>1</v>
      </c>
      <c r="E94" s="269">
        <v>1</v>
      </c>
      <c r="F94" s="269">
        <v>1</v>
      </c>
      <c r="G94" s="269">
        <v>1</v>
      </c>
    </row>
    <row r="95" spans="1:7" x14ac:dyDescent="0.25">
      <c r="A95" s="268">
        <v>17</v>
      </c>
      <c r="B95" s="270" t="s">
        <v>80</v>
      </c>
      <c r="C95" s="269">
        <v>1</v>
      </c>
      <c r="D95" s="269">
        <v>1</v>
      </c>
      <c r="E95" s="269">
        <v>1</v>
      </c>
      <c r="F95" s="269">
        <v>1</v>
      </c>
      <c r="G95" s="269">
        <v>1</v>
      </c>
    </row>
    <row r="96" spans="1:7" x14ac:dyDescent="0.25">
      <c r="A96" s="268">
        <v>18</v>
      </c>
      <c r="B96" s="270" t="s">
        <v>155</v>
      </c>
      <c r="C96" s="269">
        <v>1</v>
      </c>
      <c r="D96" s="269">
        <v>1</v>
      </c>
      <c r="E96" s="269">
        <v>1</v>
      </c>
      <c r="F96" s="269">
        <v>1</v>
      </c>
      <c r="G96" s="269">
        <v>1</v>
      </c>
    </row>
    <row r="97" spans="1:7" x14ac:dyDescent="0.25">
      <c r="A97" s="75" t="s">
        <v>513</v>
      </c>
      <c r="B97" s="82" t="s">
        <v>56</v>
      </c>
      <c r="C97" s="270"/>
      <c r="D97" s="270"/>
      <c r="E97" s="270"/>
      <c r="F97" s="270"/>
      <c r="G97" s="270"/>
    </row>
    <row r="98" spans="1:7" x14ac:dyDescent="0.25">
      <c r="A98" s="268">
        <v>1</v>
      </c>
      <c r="B98" s="270" t="s">
        <v>156</v>
      </c>
      <c r="C98" s="269">
        <v>1</v>
      </c>
      <c r="D98" s="269">
        <v>1</v>
      </c>
      <c r="E98" s="269">
        <v>1</v>
      </c>
      <c r="F98" s="269">
        <v>1</v>
      </c>
      <c r="G98" s="269">
        <v>1</v>
      </c>
    </row>
    <row r="99" spans="1:7" x14ac:dyDescent="0.25">
      <c r="A99" s="268">
        <v>2</v>
      </c>
      <c r="B99" s="270" t="s">
        <v>157</v>
      </c>
      <c r="C99" s="269">
        <v>1</v>
      </c>
      <c r="D99" s="269">
        <v>1</v>
      </c>
      <c r="E99" s="269">
        <v>1</v>
      </c>
      <c r="F99" s="269">
        <v>1</v>
      </c>
      <c r="G99" s="269">
        <v>1</v>
      </c>
    </row>
    <row r="100" spans="1:7" x14ac:dyDescent="0.25">
      <c r="A100" s="268">
        <v>3</v>
      </c>
      <c r="B100" s="270" t="s">
        <v>158</v>
      </c>
      <c r="C100" s="269">
        <v>1</v>
      </c>
      <c r="D100" s="269">
        <v>1</v>
      </c>
      <c r="E100" s="269">
        <v>1</v>
      </c>
      <c r="F100" s="269">
        <v>1</v>
      </c>
      <c r="G100" s="269">
        <v>1</v>
      </c>
    </row>
    <row r="101" spans="1:7" x14ac:dyDescent="0.25">
      <c r="A101" s="268">
        <v>4</v>
      </c>
      <c r="B101" s="270" t="s">
        <v>159</v>
      </c>
      <c r="C101" s="269">
        <v>1</v>
      </c>
      <c r="D101" s="269">
        <v>1</v>
      </c>
      <c r="E101" s="269">
        <v>1</v>
      </c>
      <c r="F101" s="269">
        <v>1</v>
      </c>
      <c r="G101" s="269">
        <v>1</v>
      </c>
    </row>
    <row r="102" spans="1:7" x14ac:dyDescent="0.25">
      <c r="A102" s="268">
        <v>5</v>
      </c>
      <c r="B102" s="270" t="s">
        <v>160</v>
      </c>
      <c r="C102" s="269">
        <v>1</v>
      </c>
      <c r="D102" s="269">
        <v>1</v>
      </c>
      <c r="E102" s="269">
        <v>1</v>
      </c>
      <c r="F102" s="269">
        <v>1</v>
      </c>
      <c r="G102" s="269">
        <v>1</v>
      </c>
    </row>
    <row r="103" spans="1:7" x14ac:dyDescent="0.25">
      <c r="A103" s="268">
        <v>6</v>
      </c>
      <c r="B103" s="270" t="s">
        <v>161</v>
      </c>
      <c r="C103" s="269">
        <v>1</v>
      </c>
      <c r="D103" s="269">
        <v>1</v>
      </c>
      <c r="E103" s="269">
        <v>1</v>
      </c>
      <c r="F103" s="269">
        <v>1</v>
      </c>
      <c r="G103" s="269">
        <v>1</v>
      </c>
    </row>
    <row r="104" spans="1:7" x14ac:dyDescent="0.25">
      <c r="A104" s="268">
        <v>7</v>
      </c>
      <c r="B104" s="270" t="s">
        <v>162</v>
      </c>
      <c r="C104" s="269">
        <v>1</v>
      </c>
      <c r="D104" s="269">
        <v>1</v>
      </c>
      <c r="E104" s="269">
        <v>1</v>
      </c>
      <c r="F104" s="269">
        <v>1</v>
      </c>
      <c r="G104" s="269">
        <v>1</v>
      </c>
    </row>
    <row r="105" spans="1:7" x14ac:dyDescent="0.25">
      <c r="A105" s="268">
        <v>8</v>
      </c>
      <c r="B105" s="270" t="s">
        <v>163</v>
      </c>
      <c r="C105" s="269">
        <v>1</v>
      </c>
      <c r="D105" s="269">
        <v>1</v>
      </c>
      <c r="E105" s="269">
        <v>1</v>
      </c>
      <c r="F105" s="269">
        <v>1</v>
      </c>
      <c r="G105" s="269">
        <v>1</v>
      </c>
    </row>
    <row r="106" spans="1:7" x14ac:dyDescent="0.25">
      <c r="A106" s="268">
        <v>9</v>
      </c>
      <c r="B106" s="270" t="s">
        <v>164</v>
      </c>
      <c r="C106" s="269">
        <v>1</v>
      </c>
      <c r="D106" s="269">
        <v>1</v>
      </c>
      <c r="E106" s="269">
        <v>1</v>
      </c>
      <c r="F106" s="269">
        <v>1</v>
      </c>
      <c r="G106" s="269">
        <v>1</v>
      </c>
    </row>
    <row r="107" spans="1:7" x14ac:dyDescent="0.25">
      <c r="A107" s="268">
        <v>10</v>
      </c>
      <c r="B107" s="270" t="s">
        <v>165</v>
      </c>
      <c r="C107" s="269">
        <v>1</v>
      </c>
      <c r="D107" s="269">
        <v>1</v>
      </c>
      <c r="E107" s="269">
        <v>1</v>
      </c>
      <c r="F107" s="269">
        <v>1</v>
      </c>
      <c r="G107" s="269">
        <v>1</v>
      </c>
    </row>
    <row r="108" spans="1:7" x14ac:dyDescent="0.25">
      <c r="A108" s="268">
        <v>11</v>
      </c>
      <c r="B108" s="270" t="s">
        <v>166</v>
      </c>
      <c r="C108" s="269">
        <v>1</v>
      </c>
      <c r="D108" s="269">
        <v>1</v>
      </c>
      <c r="E108" s="269">
        <v>1</v>
      </c>
      <c r="F108" s="269">
        <v>1</v>
      </c>
      <c r="G108" s="269">
        <v>1</v>
      </c>
    </row>
    <row r="109" spans="1:7" x14ac:dyDescent="0.25">
      <c r="A109" s="268">
        <v>12</v>
      </c>
      <c r="B109" s="270" t="s">
        <v>167</v>
      </c>
      <c r="C109" s="269">
        <v>1</v>
      </c>
      <c r="D109" s="269">
        <v>1</v>
      </c>
      <c r="E109" s="269">
        <v>1</v>
      </c>
      <c r="F109" s="269">
        <v>1</v>
      </c>
      <c r="G109" s="269">
        <v>1</v>
      </c>
    </row>
    <row r="110" spans="1:7" x14ac:dyDescent="0.25">
      <c r="A110" s="268">
        <v>13</v>
      </c>
      <c r="B110" s="270" t="s">
        <v>168</v>
      </c>
      <c r="C110" s="269">
        <v>1</v>
      </c>
      <c r="D110" s="269">
        <v>1</v>
      </c>
      <c r="E110" s="269">
        <v>1</v>
      </c>
      <c r="F110" s="269">
        <v>1</v>
      </c>
      <c r="G110" s="269">
        <v>1</v>
      </c>
    </row>
    <row r="111" spans="1:7" x14ac:dyDescent="0.25">
      <c r="A111" s="75" t="s">
        <v>514</v>
      </c>
      <c r="B111" s="82" t="s">
        <v>57</v>
      </c>
      <c r="C111" s="270"/>
      <c r="D111" s="270"/>
      <c r="E111" s="270"/>
      <c r="F111" s="270"/>
      <c r="G111" s="270"/>
    </row>
    <row r="112" spans="1:7" x14ac:dyDescent="0.25">
      <c r="A112" s="268">
        <v>1</v>
      </c>
      <c r="B112" s="270" t="s">
        <v>169</v>
      </c>
      <c r="C112" s="269">
        <v>1</v>
      </c>
      <c r="D112" s="269">
        <v>1</v>
      </c>
      <c r="E112" s="269">
        <v>1</v>
      </c>
      <c r="F112" s="269">
        <v>1</v>
      </c>
      <c r="G112" s="269">
        <v>1</v>
      </c>
    </row>
    <row r="113" spans="1:7" x14ac:dyDescent="0.25">
      <c r="A113" s="268">
        <v>2</v>
      </c>
      <c r="B113" s="270" t="s">
        <v>104</v>
      </c>
      <c r="C113" s="269">
        <v>1</v>
      </c>
      <c r="D113" s="269">
        <v>1</v>
      </c>
      <c r="E113" s="269">
        <v>1</v>
      </c>
      <c r="F113" s="269">
        <v>1</v>
      </c>
      <c r="G113" s="269">
        <v>1</v>
      </c>
    </row>
    <row r="114" spans="1:7" x14ac:dyDescent="0.25">
      <c r="A114" s="268">
        <v>3</v>
      </c>
      <c r="B114" s="270" t="s">
        <v>170</v>
      </c>
      <c r="C114" s="269">
        <v>1</v>
      </c>
      <c r="D114" s="269">
        <v>1</v>
      </c>
      <c r="E114" s="269">
        <v>1</v>
      </c>
      <c r="F114" s="269">
        <v>1</v>
      </c>
      <c r="G114" s="269">
        <v>1</v>
      </c>
    </row>
    <row r="115" spans="1:7" x14ac:dyDescent="0.25">
      <c r="A115" s="268">
        <v>4</v>
      </c>
      <c r="B115" s="270" t="s">
        <v>171</v>
      </c>
      <c r="C115" s="269">
        <v>1</v>
      </c>
      <c r="D115" s="269">
        <v>1</v>
      </c>
      <c r="E115" s="269">
        <v>1</v>
      </c>
      <c r="F115" s="269">
        <v>1</v>
      </c>
      <c r="G115" s="269">
        <v>1</v>
      </c>
    </row>
    <row r="116" spans="1:7" x14ac:dyDescent="0.25">
      <c r="A116" s="268">
        <v>5</v>
      </c>
      <c r="B116" s="270" t="s">
        <v>172</v>
      </c>
      <c r="C116" s="269">
        <v>1</v>
      </c>
      <c r="D116" s="269">
        <v>1</v>
      </c>
      <c r="E116" s="269">
        <v>1</v>
      </c>
      <c r="F116" s="269">
        <v>1</v>
      </c>
      <c r="G116" s="269">
        <v>1</v>
      </c>
    </row>
    <row r="117" spans="1:7" x14ac:dyDescent="0.25">
      <c r="A117" s="268">
        <v>6</v>
      </c>
      <c r="B117" s="270" t="s">
        <v>173</v>
      </c>
      <c r="C117" s="269">
        <v>1</v>
      </c>
      <c r="D117" s="269">
        <v>1</v>
      </c>
      <c r="E117" s="269">
        <v>1</v>
      </c>
      <c r="F117" s="269">
        <v>1</v>
      </c>
      <c r="G117" s="269">
        <v>1</v>
      </c>
    </row>
    <row r="118" spans="1:7" x14ac:dyDescent="0.25">
      <c r="A118" s="268">
        <v>7</v>
      </c>
      <c r="B118" s="270" t="s">
        <v>174</v>
      </c>
      <c r="C118" s="269">
        <v>1</v>
      </c>
      <c r="D118" s="269">
        <v>1</v>
      </c>
      <c r="E118" s="269">
        <v>1</v>
      </c>
      <c r="F118" s="269">
        <v>1</v>
      </c>
      <c r="G118" s="269">
        <v>1</v>
      </c>
    </row>
    <row r="119" spans="1:7" x14ac:dyDescent="0.25">
      <c r="A119" s="268">
        <v>8</v>
      </c>
      <c r="B119" s="270" t="s">
        <v>175</v>
      </c>
      <c r="C119" s="269">
        <v>1</v>
      </c>
      <c r="D119" s="269">
        <v>1</v>
      </c>
      <c r="E119" s="269">
        <v>1</v>
      </c>
      <c r="F119" s="269">
        <v>1</v>
      </c>
      <c r="G119" s="269">
        <v>1</v>
      </c>
    </row>
    <row r="120" spans="1:7" x14ac:dyDescent="0.25">
      <c r="A120" s="268">
        <v>9</v>
      </c>
      <c r="B120" s="270" t="s">
        <v>176</v>
      </c>
      <c r="C120" s="269">
        <v>1</v>
      </c>
      <c r="D120" s="269">
        <v>1</v>
      </c>
      <c r="E120" s="269">
        <v>1</v>
      </c>
      <c r="F120" s="269">
        <v>1</v>
      </c>
      <c r="G120" s="269">
        <v>1</v>
      </c>
    </row>
    <row r="121" spans="1:7" x14ac:dyDescent="0.25">
      <c r="A121" s="268">
        <v>10</v>
      </c>
      <c r="B121" s="270" t="s">
        <v>177</v>
      </c>
      <c r="C121" s="269">
        <v>1</v>
      </c>
      <c r="D121" s="269">
        <v>1</v>
      </c>
      <c r="E121" s="269">
        <v>1</v>
      </c>
      <c r="F121" s="269">
        <v>1</v>
      </c>
      <c r="G121" s="269">
        <v>1</v>
      </c>
    </row>
    <row r="122" spans="1:7" x14ac:dyDescent="0.25">
      <c r="A122" s="268">
        <v>11</v>
      </c>
      <c r="B122" s="270" t="s">
        <v>178</v>
      </c>
      <c r="C122" s="269">
        <v>1</v>
      </c>
      <c r="D122" s="269">
        <v>1</v>
      </c>
      <c r="E122" s="269">
        <v>1</v>
      </c>
      <c r="F122" s="269">
        <v>1</v>
      </c>
      <c r="G122" s="269">
        <v>1</v>
      </c>
    </row>
    <row r="123" spans="1:7" x14ac:dyDescent="0.25">
      <c r="A123" s="268">
        <v>12</v>
      </c>
      <c r="B123" s="270" t="s">
        <v>179</v>
      </c>
      <c r="C123" s="269">
        <v>1</v>
      </c>
      <c r="D123" s="269">
        <v>1</v>
      </c>
      <c r="E123" s="269">
        <v>1</v>
      </c>
      <c r="F123" s="269">
        <v>1</v>
      </c>
      <c r="G123" s="269">
        <v>1</v>
      </c>
    </row>
    <row r="124" spans="1:7" x14ac:dyDescent="0.25">
      <c r="A124" s="268">
        <v>13</v>
      </c>
      <c r="B124" s="270" t="s">
        <v>180</v>
      </c>
      <c r="C124" s="269">
        <v>1</v>
      </c>
      <c r="D124" s="269">
        <v>1</v>
      </c>
      <c r="E124" s="269">
        <v>1</v>
      </c>
      <c r="F124" s="269">
        <v>1</v>
      </c>
      <c r="G124" s="269">
        <v>1</v>
      </c>
    </row>
    <row r="125" spans="1:7" x14ac:dyDescent="0.25">
      <c r="A125" s="75" t="s">
        <v>523</v>
      </c>
      <c r="B125" s="82" t="s">
        <v>181</v>
      </c>
      <c r="C125" s="270"/>
      <c r="D125" s="270"/>
      <c r="E125" s="270"/>
      <c r="F125" s="270"/>
      <c r="G125" s="270"/>
    </row>
    <row r="126" spans="1:7" x14ac:dyDescent="0.25">
      <c r="A126" s="268">
        <v>1</v>
      </c>
      <c r="B126" s="270" t="s">
        <v>182</v>
      </c>
      <c r="C126" s="269">
        <v>1</v>
      </c>
      <c r="D126" s="269">
        <v>1</v>
      </c>
      <c r="E126" s="269">
        <v>1</v>
      </c>
      <c r="F126" s="269">
        <v>1</v>
      </c>
      <c r="G126" s="269">
        <v>1</v>
      </c>
    </row>
    <row r="127" spans="1:7" x14ac:dyDescent="0.25">
      <c r="A127" s="268">
        <v>2</v>
      </c>
      <c r="B127" s="270" t="s">
        <v>183</v>
      </c>
      <c r="C127" s="269">
        <v>1</v>
      </c>
      <c r="D127" s="269">
        <v>1</v>
      </c>
      <c r="E127" s="269">
        <v>1</v>
      </c>
      <c r="F127" s="269">
        <v>1</v>
      </c>
      <c r="G127" s="269">
        <v>1</v>
      </c>
    </row>
    <row r="128" spans="1:7" x14ac:dyDescent="0.25">
      <c r="A128" s="268">
        <v>3</v>
      </c>
      <c r="B128" s="270" t="s">
        <v>184</v>
      </c>
      <c r="C128" s="269">
        <v>1</v>
      </c>
      <c r="D128" s="269">
        <v>1</v>
      </c>
      <c r="E128" s="269">
        <v>1</v>
      </c>
      <c r="F128" s="269">
        <v>1</v>
      </c>
      <c r="G128" s="269">
        <v>1</v>
      </c>
    </row>
    <row r="129" spans="1:7" x14ac:dyDescent="0.25">
      <c r="A129" s="268">
        <v>4</v>
      </c>
      <c r="B129" s="270" t="s">
        <v>87</v>
      </c>
      <c r="C129" s="269">
        <v>1</v>
      </c>
      <c r="D129" s="269">
        <v>1</v>
      </c>
      <c r="E129" s="269">
        <v>1</v>
      </c>
      <c r="F129" s="269">
        <v>1</v>
      </c>
      <c r="G129" s="269">
        <v>1</v>
      </c>
    </row>
    <row r="130" spans="1:7" x14ac:dyDescent="0.25">
      <c r="A130" s="268">
        <v>5</v>
      </c>
      <c r="B130" s="270" t="s">
        <v>185</v>
      </c>
      <c r="C130" s="269">
        <v>1</v>
      </c>
      <c r="D130" s="269">
        <v>1</v>
      </c>
      <c r="E130" s="269">
        <v>1</v>
      </c>
      <c r="F130" s="269">
        <v>1</v>
      </c>
      <c r="G130" s="269">
        <v>1</v>
      </c>
    </row>
    <row r="131" spans="1:7" x14ac:dyDescent="0.25">
      <c r="A131" s="268">
        <v>6</v>
      </c>
      <c r="B131" s="270" t="s">
        <v>186</v>
      </c>
      <c r="C131" s="269">
        <v>1</v>
      </c>
      <c r="D131" s="269">
        <v>1</v>
      </c>
      <c r="E131" s="269">
        <v>1</v>
      </c>
      <c r="F131" s="269">
        <v>1</v>
      </c>
      <c r="G131" s="269">
        <v>1</v>
      </c>
    </row>
    <row r="132" spans="1:7" x14ac:dyDescent="0.25">
      <c r="A132" s="268">
        <v>7</v>
      </c>
      <c r="B132" s="270" t="s">
        <v>187</v>
      </c>
      <c r="C132" s="269">
        <v>1</v>
      </c>
      <c r="D132" s="269">
        <v>1</v>
      </c>
      <c r="E132" s="269">
        <v>1</v>
      </c>
      <c r="F132" s="269">
        <v>1</v>
      </c>
      <c r="G132" s="269">
        <v>1</v>
      </c>
    </row>
    <row r="133" spans="1:7" x14ac:dyDescent="0.25">
      <c r="A133" s="268">
        <v>8</v>
      </c>
      <c r="B133" s="270" t="s">
        <v>188</v>
      </c>
      <c r="C133" s="269">
        <v>1</v>
      </c>
      <c r="D133" s="269">
        <v>1</v>
      </c>
      <c r="E133" s="269">
        <v>1</v>
      </c>
      <c r="F133" s="269">
        <v>1</v>
      </c>
      <c r="G133" s="269">
        <v>1</v>
      </c>
    </row>
    <row r="134" spans="1:7" x14ac:dyDescent="0.25">
      <c r="A134" s="268">
        <v>9</v>
      </c>
      <c r="B134" s="270" t="s">
        <v>189</v>
      </c>
      <c r="C134" s="269">
        <v>1</v>
      </c>
      <c r="D134" s="269">
        <v>1</v>
      </c>
      <c r="E134" s="269">
        <v>1</v>
      </c>
      <c r="F134" s="269">
        <v>1</v>
      </c>
      <c r="G134" s="269">
        <v>1</v>
      </c>
    </row>
    <row r="135" spans="1:7" x14ac:dyDescent="0.25">
      <c r="A135" s="268">
        <v>10</v>
      </c>
      <c r="B135" s="270" t="s">
        <v>190</v>
      </c>
      <c r="C135" s="269">
        <v>1</v>
      </c>
      <c r="D135" s="269">
        <v>1</v>
      </c>
      <c r="E135" s="269">
        <v>1</v>
      </c>
      <c r="F135" s="269">
        <v>1</v>
      </c>
      <c r="G135" s="269">
        <v>1</v>
      </c>
    </row>
    <row r="136" spans="1:7" x14ac:dyDescent="0.25">
      <c r="A136" s="268">
        <v>11</v>
      </c>
      <c r="B136" s="270" t="s">
        <v>191</v>
      </c>
      <c r="C136" s="269">
        <v>1</v>
      </c>
      <c r="D136" s="269">
        <v>1</v>
      </c>
      <c r="E136" s="269">
        <v>1</v>
      </c>
      <c r="F136" s="269">
        <v>1</v>
      </c>
      <c r="G136" s="269">
        <v>1</v>
      </c>
    </row>
    <row r="137" spans="1:7" x14ac:dyDescent="0.25">
      <c r="A137" s="268">
        <v>12</v>
      </c>
      <c r="B137" s="270" t="s">
        <v>192</v>
      </c>
      <c r="C137" s="269">
        <v>1</v>
      </c>
      <c r="D137" s="269">
        <v>1</v>
      </c>
      <c r="E137" s="269">
        <v>1</v>
      </c>
      <c r="F137" s="269">
        <v>1</v>
      </c>
      <c r="G137" s="269">
        <v>1</v>
      </c>
    </row>
    <row r="138" spans="1:7" x14ac:dyDescent="0.25">
      <c r="A138" s="75" t="s">
        <v>524</v>
      </c>
      <c r="B138" s="82" t="s">
        <v>150</v>
      </c>
      <c r="C138" s="270"/>
      <c r="D138" s="270"/>
      <c r="E138" s="270"/>
      <c r="F138" s="270"/>
      <c r="G138" s="270"/>
    </row>
    <row r="139" spans="1:7" ht="15.75" customHeight="1" x14ac:dyDescent="0.25">
      <c r="A139" s="1283">
        <v>1</v>
      </c>
      <c r="B139" s="1284" t="s">
        <v>117</v>
      </c>
      <c r="C139" s="1555" t="s">
        <v>1618</v>
      </c>
      <c r="D139" s="1556"/>
      <c r="E139" s="1556"/>
      <c r="F139" s="1556"/>
      <c r="G139" s="1280">
        <v>1</v>
      </c>
    </row>
    <row r="140" spans="1:7" x14ac:dyDescent="0.25">
      <c r="A140" s="1283">
        <v>2</v>
      </c>
      <c r="B140" s="1284" t="s">
        <v>118</v>
      </c>
      <c r="C140" s="1556"/>
      <c r="D140" s="1556"/>
      <c r="E140" s="1556"/>
      <c r="F140" s="1556"/>
      <c r="G140" s="1280">
        <v>1</v>
      </c>
    </row>
    <row r="141" spans="1:7" x14ac:dyDescent="0.25">
      <c r="A141" s="1283">
        <v>3</v>
      </c>
      <c r="B141" s="1284" t="s">
        <v>119</v>
      </c>
      <c r="C141" s="1556"/>
      <c r="D141" s="1556"/>
      <c r="E141" s="1556"/>
      <c r="F141" s="1556"/>
      <c r="G141" s="1280">
        <v>1</v>
      </c>
    </row>
    <row r="142" spans="1:7" x14ac:dyDescent="0.25">
      <c r="A142" s="1283">
        <v>4</v>
      </c>
      <c r="B142" s="1284" t="s">
        <v>120</v>
      </c>
      <c r="C142" s="1556"/>
      <c r="D142" s="1556"/>
      <c r="E142" s="1556"/>
      <c r="F142" s="1556"/>
      <c r="G142" s="1280">
        <v>1</v>
      </c>
    </row>
    <row r="143" spans="1:7" x14ac:dyDescent="0.25">
      <c r="A143" s="1283">
        <v>5</v>
      </c>
      <c r="B143" s="1284" t="s">
        <v>193</v>
      </c>
      <c r="C143" s="1556"/>
      <c r="D143" s="1556"/>
      <c r="E143" s="1556"/>
      <c r="F143" s="1556"/>
      <c r="G143" s="1280">
        <v>1</v>
      </c>
    </row>
    <row r="144" spans="1:7" ht="38.25" customHeight="1" x14ac:dyDescent="0.25">
      <c r="A144" s="1285">
        <v>6</v>
      </c>
      <c r="B144" s="1286" t="s">
        <v>194</v>
      </c>
      <c r="C144" s="1556"/>
      <c r="D144" s="1556"/>
      <c r="E144" s="1556"/>
      <c r="F144" s="1556"/>
      <c r="G144" s="1282">
        <v>1</v>
      </c>
    </row>
    <row r="145" spans="1:7" x14ac:dyDescent="0.25">
      <c r="A145" s="268">
        <v>7</v>
      </c>
      <c r="B145" s="270" t="s">
        <v>195</v>
      </c>
      <c r="C145" s="269">
        <v>1</v>
      </c>
      <c r="D145" s="269">
        <v>1</v>
      </c>
      <c r="E145" s="269">
        <v>1</v>
      </c>
      <c r="F145" s="269">
        <v>1</v>
      </c>
      <c r="G145" s="269">
        <v>1</v>
      </c>
    </row>
    <row r="146" spans="1:7" x14ac:dyDescent="0.25">
      <c r="A146" s="268">
        <v>8</v>
      </c>
      <c r="B146" s="270" t="s">
        <v>196</v>
      </c>
      <c r="C146" s="269">
        <v>1</v>
      </c>
      <c r="D146" s="269">
        <v>1</v>
      </c>
      <c r="E146" s="269">
        <v>1</v>
      </c>
      <c r="F146" s="269">
        <v>1</v>
      </c>
      <c r="G146" s="269">
        <v>1</v>
      </c>
    </row>
    <row r="147" spans="1:7" x14ac:dyDescent="0.25">
      <c r="A147" s="268">
        <v>9</v>
      </c>
      <c r="B147" s="270" t="s">
        <v>197</v>
      </c>
      <c r="C147" s="269">
        <v>1</v>
      </c>
      <c r="D147" s="269">
        <v>1</v>
      </c>
      <c r="E147" s="269">
        <v>1</v>
      </c>
      <c r="F147" s="269">
        <v>1</v>
      </c>
      <c r="G147" s="269">
        <v>1</v>
      </c>
    </row>
    <row r="148" spans="1:7" x14ac:dyDescent="0.25">
      <c r="A148" s="75" t="s">
        <v>525</v>
      </c>
      <c r="B148" s="82" t="s">
        <v>198</v>
      </c>
      <c r="C148" s="270"/>
      <c r="D148" s="270"/>
      <c r="E148" s="270"/>
      <c r="F148" s="270"/>
      <c r="G148" s="270"/>
    </row>
    <row r="149" spans="1:7" x14ac:dyDescent="0.25">
      <c r="A149" s="268">
        <v>1</v>
      </c>
      <c r="B149" s="270" t="s">
        <v>199</v>
      </c>
      <c r="C149" s="269">
        <v>1</v>
      </c>
      <c r="D149" s="269">
        <v>1</v>
      </c>
      <c r="E149" s="269">
        <v>1</v>
      </c>
      <c r="F149" s="269">
        <v>1</v>
      </c>
      <c r="G149" s="269">
        <v>1</v>
      </c>
    </row>
    <row r="150" spans="1:7" x14ac:dyDescent="0.25">
      <c r="A150" s="268">
        <v>2</v>
      </c>
      <c r="B150" s="270" t="s">
        <v>115</v>
      </c>
      <c r="C150" s="269">
        <v>1</v>
      </c>
      <c r="D150" s="269">
        <v>1</v>
      </c>
      <c r="E150" s="269">
        <v>1</v>
      </c>
      <c r="F150" s="269">
        <v>1</v>
      </c>
      <c r="G150" s="269">
        <v>1</v>
      </c>
    </row>
    <row r="151" spans="1:7" x14ac:dyDescent="0.25">
      <c r="A151" s="268">
        <v>3</v>
      </c>
      <c r="B151" s="270" t="s">
        <v>200</v>
      </c>
      <c r="C151" s="269">
        <v>1</v>
      </c>
      <c r="D151" s="269">
        <v>1</v>
      </c>
      <c r="E151" s="269">
        <v>1</v>
      </c>
      <c r="F151" s="269">
        <v>1</v>
      </c>
      <c r="G151" s="269">
        <v>1</v>
      </c>
    </row>
    <row r="152" spans="1:7" x14ac:dyDescent="0.25">
      <c r="A152" s="268">
        <v>4</v>
      </c>
      <c r="B152" s="270" t="s">
        <v>201</v>
      </c>
      <c r="C152" s="269">
        <v>1</v>
      </c>
      <c r="D152" s="269">
        <v>1</v>
      </c>
      <c r="E152" s="269">
        <v>1</v>
      </c>
      <c r="F152" s="269">
        <v>1</v>
      </c>
      <c r="G152" s="269">
        <v>1</v>
      </c>
    </row>
    <row r="153" spans="1:7" x14ac:dyDescent="0.25">
      <c r="A153" s="268">
        <v>5</v>
      </c>
      <c r="B153" s="270" t="s">
        <v>202</v>
      </c>
      <c r="C153" s="269">
        <v>1</v>
      </c>
      <c r="D153" s="269">
        <v>1</v>
      </c>
      <c r="E153" s="269">
        <v>1</v>
      </c>
      <c r="F153" s="269">
        <v>1</v>
      </c>
      <c r="G153" s="269">
        <v>1</v>
      </c>
    </row>
    <row r="154" spans="1:7" x14ac:dyDescent="0.25">
      <c r="A154" s="268">
        <v>6</v>
      </c>
      <c r="B154" s="270" t="s">
        <v>203</v>
      </c>
      <c r="C154" s="269">
        <v>1</v>
      </c>
      <c r="D154" s="269">
        <v>1</v>
      </c>
      <c r="E154" s="269">
        <v>1</v>
      </c>
      <c r="F154" s="269">
        <v>1</v>
      </c>
      <c r="G154" s="269">
        <v>1</v>
      </c>
    </row>
    <row r="155" spans="1:7" x14ac:dyDescent="0.25">
      <c r="A155" s="268">
        <v>7</v>
      </c>
      <c r="B155" s="270" t="s">
        <v>204</v>
      </c>
      <c r="C155" s="269">
        <v>1</v>
      </c>
      <c r="D155" s="269">
        <v>1</v>
      </c>
      <c r="E155" s="269">
        <v>1</v>
      </c>
      <c r="F155" s="269">
        <v>1</v>
      </c>
      <c r="G155" s="269">
        <v>1</v>
      </c>
    </row>
    <row r="156" spans="1:7" x14ac:dyDescent="0.25">
      <c r="A156" s="268">
        <v>8</v>
      </c>
      <c r="B156" s="270" t="s">
        <v>205</v>
      </c>
      <c r="C156" s="269">
        <v>1</v>
      </c>
      <c r="D156" s="269">
        <v>1</v>
      </c>
      <c r="E156" s="269">
        <v>1</v>
      </c>
      <c r="F156" s="269">
        <v>1</v>
      </c>
      <c r="G156" s="269">
        <v>1</v>
      </c>
    </row>
    <row r="157" spans="1:7" x14ac:dyDescent="0.25">
      <c r="A157" s="268">
        <v>9</v>
      </c>
      <c r="B157" s="270" t="s">
        <v>206</v>
      </c>
      <c r="C157" s="269">
        <v>1</v>
      </c>
      <c r="D157" s="269">
        <v>1</v>
      </c>
      <c r="E157" s="269">
        <v>1</v>
      </c>
      <c r="F157" s="269">
        <v>1</v>
      </c>
      <c r="G157" s="269">
        <v>1</v>
      </c>
    </row>
    <row r="158" spans="1:7" x14ac:dyDescent="0.25">
      <c r="A158" s="268">
        <v>10</v>
      </c>
      <c r="B158" s="270" t="s">
        <v>207</v>
      </c>
      <c r="C158" s="269">
        <v>1</v>
      </c>
      <c r="D158" s="269">
        <v>1</v>
      </c>
      <c r="E158" s="269">
        <v>1</v>
      </c>
      <c r="F158" s="269">
        <v>1</v>
      </c>
      <c r="G158" s="269">
        <v>1</v>
      </c>
    </row>
    <row r="159" spans="1:7" x14ac:dyDescent="0.25">
      <c r="A159" s="268">
        <v>11</v>
      </c>
      <c r="B159" s="270" t="s">
        <v>208</v>
      </c>
      <c r="C159" s="269">
        <v>1</v>
      </c>
      <c r="D159" s="269">
        <v>1</v>
      </c>
      <c r="E159" s="269">
        <v>1</v>
      </c>
      <c r="F159" s="269">
        <v>1</v>
      </c>
      <c r="G159" s="269">
        <v>1</v>
      </c>
    </row>
    <row r="160" spans="1:7" x14ac:dyDescent="0.25">
      <c r="A160" s="272">
        <v>12</v>
      </c>
      <c r="B160" s="273" t="s">
        <v>209</v>
      </c>
      <c r="C160" s="274">
        <v>1</v>
      </c>
      <c r="D160" s="274">
        <v>1</v>
      </c>
      <c r="E160" s="274">
        <v>1</v>
      </c>
      <c r="F160" s="274">
        <v>1</v>
      </c>
      <c r="G160" s="274">
        <v>1</v>
      </c>
    </row>
    <row r="161" spans="2:7" x14ac:dyDescent="0.25">
      <c r="B161" s="14" t="s">
        <v>210</v>
      </c>
      <c r="E161" s="1542"/>
      <c r="F161" s="1542"/>
      <c r="G161" s="1542"/>
    </row>
    <row r="162" spans="2:7" x14ac:dyDescent="0.25">
      <c r="B162" s="209" t="s">
        <v>211</v>
      </c>
      <c r="E162" s="84"/>
      <c r="F162" s="84"/>
      <c r="G162" s="84"/>
    </row>
    <row r="163" spans="2:7" x14ac:dyDescent="0.25">
      <c r="B163" s="209" t="s">
        <v>212</v>
      </c>
      <c r="E163" s="1409"/>
      <c r="F163" s="1409"/>
      <c r="G163" s="1409"/>
    </row>
    <row r="164" spans="2:7" x14ac:dyDescent="0.25">
      <c r="B164" s="209" t="s">
        <v>213</v>
      </c>
      <c r="E164" s="1409"/>
      <c r="F164" s="1409"/>
      <c r="G164" s="1409"/>
    </row>
    <row r="165" spans="2:7" x14ac:dyDescent="0.25">
      <c r="B165" s="209" t="s">
        <v>214</v>
      </c>
    </row>
    <row r="166" spans="2:7" x14ac:dyDescent="0.25">
      <c r="B166" s="209" t="s">
        <v>215</v>
      </c>
    </row>
  </sheetData>
  <customSheetViews>
    <customSheetView guid="{88621519-296E-4458-B04E-813E881018FE}" fitToPage="1" state="hidden">
      <selection activeCell="A3" sqref="A3"/>
      <pageMargins left="0" right="0" top="0.59055118110236227" bottom="0.59055118110236227" header="0.19685039370078741" footer="0.19685039370078741"/>
      <printOptions horizontalCentered="1"/>
      <pageSetup paperSize="9" scale="94" fitToHeight="4" orientation="portrait" r:id="rId1"/>
      <headerFooter alignWithMargins="0">
        <oddHeader>&amp;R&amp;A</oddHeader>
      </headerFooter>
    </customSheetView>
  </customSheetViews>
  <mergeCells count="12">
    <mergeCell ref="A1:G1"/>
    <mergeCell ref="A2:G2"/>
    <mergeCell ref="F3:G3"/>
    <mergeCell ref="A4:A5"/>
    <mergeCell ref="B4:B5"/>
    <mergeCell ref="C4:G4"/>
    <mergeCell ref="C18:F22"/>
    <mergeCell ref="E163:G163"/>
    <mergeCell ref="E164:G164"/>
    <mergeCell ref="C63:F70"/>
    <mergeCell ref="C139:F144"/>
    <mergeCell ref="E161:G161"/>
  </mergeCells>
  <phoneticPr fontId="5" type="noConversion"/>
  <printOptions horizontalCentered="1"/>
  <pageMargins left="0" right="0" top="0.59055118110236227" bottom="0.59055118110236227" header="0.19685039370078741" footer="0.19685039370078741"/>
  <pageSetup paperSize="9" scale="94" fitToHeight="4" orientation="portrait" r:id="rId2"/>
  <headerFooter alignWithMargins="0">
    <oddHeader>&amp;R&amp;A</oddHeader>
  </headerFooter>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FF00"/>
  </sheetPr>
  <dimension ref="A1:F41"/>
  <sheetViews>
    <sheetView zoomScaleNormal="100" workbookViewId="0">
      <selection activeCell="A4" sqref="A4:C4"/>
    </sheetView>
  </sheetViews>
  <sheetFormatPr defaultRowHeight="12.75" x14ac:dyDescent="0.2"/>
  <cols>
    <col min="1" max="1" width="40.625" style="167" customWidth="1"/>
    <col min="2" max="2" width="9.625" style="167" customWidth="1"/>
    <col min="3" max="3" width="10.625" style="167" customWidth="1"/>
    <col min="4" max="4" width="10.25" style="167" customWidth="1"/>
    <col min="5" max="5" width="20.125" style="167" customWidth="1"/>
    <col min="6" max="6" width="12.625" style="167" bestFit="1" customWidth="1"/>
    <col min="7" max="16384" width="9" style="167"/>
  </cols>
  <sheetData>
    <row r="1" spans="1:5" s="14" customFormat="1" ht="42" customHeight="1" x14ac:dyDescent="0.25">
      <c r="A1" s="1530" t="s">
        <v>1601</v>
      </c>
      <c r="B1" s="1530"/>
      <c r="C1" s="1530"/>
      <c r="D1" s="1530"/>
      <c r="E1" s="1530"/>
    </row>
    <row r="2" spans="1:5" s="14" customFormat="1" ht="15.75" hidden="1" customHeight="1" x14ac:dyDescent="0.25">
      <c r="A2" s="240" t="s">
        <v>689</v>
      </c>
      <c r="B2" s="176"/>
      <c r="C2" s="176"/>
      <c r="D2" s="176"/>
    </row>
    <row r="3" spans="1:5" ht="12.75" hidden="1" customHeight="1" x14ac:dyDescent="0.2">
      <c r="A3" s="1558"/>
      <c r="B3" s="1558"/>
      <c r="C3" s="1558"/>
      <c r="D3" s="1558"/>
    </row>
    <row r="5" spans="1:5" ht="15.75" x14ac:dyDescent="0.25">
      <c r="A5" s="425" t="s">
        <v>238</v>
      </c>
      <c r="B5" s="856"/>
      <c r="C5" s="856"/>
      <c r="D5" s="856"/>
      <c r="E5" s="856"/>
    </row>
    <row r="6" spans="1:5" ht="15.75" x14ac:dyDescent="0.25">
      <c r="A6" s="856" t="s">
        <v>752</v>
      </c>
      <c r="B6" s="856"/>
      <c r="C6" s="857">
        <f>'Phụ lục số 2'!K13</f>
        <v>3381485</v>
      </c>
      <c r="D6" s="856" t="s">
        <v>239</v>
      </c>
      <c r="E6" s="858"/>
    </row>
    <row r="7" spans="1:5" ht="15.75" x14ac:dyDescent="0.25">
      <c r="A7" s="859" t="s">
        <v>242</v>
      </c>
      <c r="B7" s="860"/>
      <c r="C7" s="861"/>
      <c r="D7" s="860"/>
      <c r="E7" s="860"/>
    </row>
    <row r="8" spans="1:5" ht="15.75" x14ac:dyDescent="0.25">
      <c r="A8" s="862" t="s">
        <v>613</v>
      </c>
      <c r="B8" s="860"/>
      <c r="C8" s="861">
        <f>'Phụ lục số 2'!K14</f>
        <v>1131485</v>
      </c>
      <c r="D8" s="860" t="s">
        <v>239</v>
      </c>
      <c r="E8" s="860"/>
    </row>
    <row r="9" spans="1:5" ht="15.75" x14ac:dyDescent="0.25">
      <c r="A9" s="862" t="s">
        <v>361</v>
      </c>
      <c r="B9" s="856"/>
      <c r="C9" s="861">
        <f>'Phụ lục số 2'!K15</f>
        <v>750000</v>
      </c>
      <c r="D9" s="860" t="s">
        <v>239</v>
      </c>
      <c r="E9" s="856"/>
    </row>
    <row r="10" spans="1:5" ht="15.75" x14ac:dyDescent="0.25">
      <c r="A10" s="862" t="s">
        <v>614</v>
      </c>
      <c r="B10" s="856"/>
      <c r="C10" s="861">
        <f>'Phụ lục số 2'!K16</f>
        <v>1500000</v>
      </c>
      <c r="D10" s="860" t="s">
        <v>239</v>
      </c>
      <c r="E10" s="856"/>
    </row>
    <row r="11" spans="1:5" ht="15.75" x14ac:dyDescent="0.25">
      <c r="A11" s="863" t="s">
        <v>1679</v>
      </c>
      <c r="B11" s="864"/>
      <c r="C11" s="1325">
        <f>'Phụ lục số 5-KQPB'!C11</f>
        <v>742000</v>
      </c>
      <c r="D11" s="864" t="s">
        <v>239</v>
      </c>
      <c r="E11" s="865"/>
    </row>
    <row r="12" spans="1:5" ht="15.75" x14ac:dyDescent="0.25">
      <c r="A12" s="863" t="s">
        <v>1680</v>
      </c>
      <c r="B12" s="864"/>
      <c r="C12" s="1325">
        <f>'Phụ lục số 5-KQPB'!C12</f>
        <v>8000</v>
      </c>
      <c r="D12" s="864" t="s">
        <v>239</v>
      </c>
      <c r="E12" s="864"/>
    </row>
    <row r="13" spans="1:5" ht="15.75" x14ac:dyDescent="0.25">
      <c r="A13" s="425" t="s">
        <v>618</v>
      </c>
      <c r="B13" s="856"/>
      <c r="C13" s="856"/>
      <c r="D13" s="856"/>
      <c r="E13" s="858"/>
    </row>
    <row r="14" spans="1:5" ht="15.75" x14ac:dyDescent="0.25">
      <c r="A14" s="860"/>
      <c r="B14" s="860"/>
      <c r="C14" s="860"/>
      <c r="D14" s="424" t="s">
        <v>516</v>
      </c>
      <c r="E14" s="423"/>
    </row>
    <row r="15" spans="1:5" ht="15.75" customHeight="1" x14ac:dyDescent="0.2">
      <c r="A15" s="1536" t="s">
        <v>240</v>
      </c>
      <c r="B15" s="1536" t="s">
        <v>1603</v>
      </c>
      <c r="C15" s="1536" t="s">
        <v>1434</v>
      </c>
      <c r="D15" s="1536"/>
      <c r="E15" s="1536" t="s">
        <v>707</v>
      </c>
    </row>
    <row r="16" spans="1:5" ht="31.5" x14ac:dyDescent="0.2">
      <c r="A16" s="1536"/>
      <c r="B16" s="1536"/>
      <c r="C16" s="963" t="s">
        <v>728</v>
      </c>
      <c r="D16" s="963" t="s">
        <v>727</v>
      </c>
      <c r="E16" s="1536"/>
    </row>
    <row r="17" spans="1:5" ht="15.75" x14ac:dyDescent="0.25">
      <c r="A17" s="866" t="s">
        <v>241</v>
      </c>
      <c r="B17" s="867">
        <f>SUM(B19,B22,B27,B30,B33)</f>
        <v>445418.00400000002</v>
      </c>
      <c r="C17" s="867">
        <f>SUM(C19,C22,C27,C30,C33)</f>
        <v>61200</v>
      </c>
      <c r="D17" s="867">
        <f>SUM(D19,D22,D27,D30,D33)</f>
        <v>303424.33333333331</v>
      </c>
      <c r="E17" s="867"/>
    </row>
    <row r="18" spans="1:5" ht="15.75" x14ac:dyDescent="0.25">
      <c r="A18" s="868" t="s">
        <v>242</v>
      </c>
      <c r="B18" s="869"/>
      <c r="C18" s="869"/>
      <c r="D18" s="869"/>
      <c r="E18" s="869"/>
    </row>
    <row r="19" spans="1:5" ht="15.75" x14ac:dyDescent="0.25">
      <c r="A19" s="868" t="s">
        <v>243</v>
      </c>
      <c r="B19" s="869">
        <f>B21</f>
        <v>0</v>
      </c>
      <c r="C19" s="869">
        <f>C21</f>
        <v>0</v>
      </c>
      <c r="D19" s="869">
        <f>D21</f>
        <v>0</v>
      </c>
      <c r="E19" s="869"/>
    </row>
    <row r="20" spans="1:5" ht="15.75" x14ac:dyDescent="0.25">
      <c r="A20" s="870" t="s">
        <v>311</v>
      </c>
      <c r="B20" s="871"/>
      <c r="C20" s="871"/>
      <c r="D20" s="871"/>
      <c r="E20" s="871"/>
    </row>
    <row r="21" spans="1:5" ht="47.25" x14ac:dyDescent="0.2">
      <c r="A21" s="872" t="s">
        <v>615</v>
      </c>
      <c r="B21" s="873">
        <f>0</f>
        <v>0</v>
      </c>
      <c r="C21" s="873">
        <v>0</v>
      </c>
      <c r="D21" s="873">
        <f>0</f>
        <v>0</v>
      </c>
      <c r="E21" s="873"/>
    </row>
    <row r="22" spans="1:5" ht="15.75" x14ac:dyDescent="0.25">
      <c r="A22" s="868" t="s">
        <v>244</v>
      </c>
      <c r="B22" s="869">
        <f>SUM(B24:B26)</f>
        <v>417247.00400000002</v>
      </c>
      <c r="C22" s="869">
        <f>SUM(C24:C26)</f>
        <v>0</v>
      </c>
      <c r="D22" s="869">
        <f>SUM(D24:D26)</f>
        <v>303424.33333333331</v>
      </c>
      <c r="E22" s="869"/>
    </row>
    <row r="23" spans="1:5" ht="15.75" x14ac:dyDescent="0.25">
      <c r="A23" s="870" t="s">
        <v>242</v>
      </c>
      <c r="B23" s="871"/>
      <c r="C23" s="871"/>
      <c r="D23" s="871"/>
      <c r="E23" s="871"/>
    </row>
    <row r="24" spans="1:5" ht="15.75" x14ac:dyDescent="0.25">
      <c r="A24" s="875" t="s">
        <v>245</v>
      </c>
      <c r="B24" s="855">
        <f>290208.5+85000-92708-103437-84167-60104.5-28542</f>
        <v>6250</v>
      </c>
      <c r="C24" s="855">
        <v>0</v>
      </c>
      <c r="D24" s="855">
        <v>6250</v>
      </c>
      <c r="E24" s="855" t="s">
        <v>729</v>
      </c>
    </row>
    <row r="25" spans="1:5" ht="15.75" x14ac:dyDescent="0.25">
      <c r="A25" s="875" t="s">
        <v>246</v>
      </c>
      <c r="B25" s="855">
        <f>282048-51285</f>
        <v>230763</v>
      </c>
      <c r="C25" s="855">
        <v>0</v>
      </c>
      <c r="D25" s="855">
        <f>218680+11708+375</f>
        <v>230763</v>
      </c>
      <c r="E25" s="855" t="s">
        <v>729</v>
      </c>
    </row>
    <row r="26" spans="1:5" ht="15.75" x14ac:dyDescent="0.25">
      <c r="A26" s="875" t="s">
        <v>247</v>
      </c>
      <c r="B26" s="855">
        <f>379468-66411.332-66411.332-66411.332</f>
        <v>180234.00400000002</v>
      </c>
      <c r="C26" s="855">
        <v>0</v>
      </c>
      <c r="D26" s="855">
        <v>66411.333333333328</v>
      </c>
      <c r="E26" s="855" t="s">
        <v>729</v>
      </c>
    </row>
    <row r="27" spans="1:5" ht="15.75" x14ac:dyDescent="0.25">
      <c r="A27" s="876" t="s">
        <v>616</v>
      </c>
      <c r="B27" s="869">
        <f>SUM(B29)</f>
        <v>28171</v>
      </c>
      <c r="C27" s="869">
        <f>SUM(C29)</f>
        <v>61200</v>
      </c>
      <c r="D27" s="869">
        <f>SUM(D29)</f>
        <v>0</v>
      </c>
      <c r="E27" s="869"/>
    </row>
    <row r="28" spans="1:5" ht="15.75" x14ac:dyDescent="0.25">
      <c r="A28" s="870" t="s">
        <v>311</v>
      </c>
      <c r="B28" s="871"/>
      <c r="C28" s="871"/>
      <c r="D28" s="871"/>
      <c r="E28" s="871"/>
    </row>
    <row r="29" spans="1:5" ht="47.25" x14ac:dyDescent="0.2">
      <c r="A29" s="872" t="s">
        <v>615</v>
      </c>
      <c r="B29" s="873">
        <f>6000+22171</f>
        <v>28171</v>
      </c>
      <c r="C29" s="873">
        <f>'Phụ lục số 1'!N63</f>
        <v>61200</v>
      </c>
      <c r="D29" s="873">
        <f>0</f>
        <v>0</v>
      </c>
      <c r="E29" s="873"/>
    </row>
    <row r="30" spans="1:5" ht="15.75" x14ac:dyDescent="0.25">
      <c r="A30" s="868" t="s">
        <v>276</v>
      </c>
      <c r="B30" s="869">
        <f>B32</f>
        <v>0</v>
      </c>
      <c r="C30" s="869">
        <f>C32</f>
        <v>0</v>
      </c>
      <c r="D30" s="869">
        <f>D32</f>
        <v>0</v>
      </c>
      <c r="E30" s="869"/>
    </row>
    <row r="31" spans="1:5" ht="15.75" x14ac:dyDescent="0.25">
      <c r="A31" s="870" t="s">
        <v>311</v>
      </c>
      <c r="B31" s="871"/>
      <c r="C31" s="871"/>
      <c r="D31" s="871"/>
      <c r="E31" s="871"/>
    </row>
    <row r="32" spans="1:5" ht="47.25" x14ac:dyDescent="0.2">
      <c r="A32" s="872" t="s">
        <v>615</v>
      </c>
      <c r="B32" s="873">
        <f>0</f>
        <v>0</v>
      </c>
      <c r="C32" s="873">
        <v>0</v>
      </c>
      <c r="D32" s="873">
        <f>0</f>
        <v>0</v>
      </c>
      <c r="E32" s="873"/>
    </row>
    <row r="33" spans="1:6" ht="15.75" x14ac:dyDescent="0.25">
      <c r="A33" s="877" t="s">
        <v>617</v>
      </c>
      <c r="B33" s="878">
        <v>0</v>
      </c>
      <c r="C33" s="878">
        <v>0</v>
      </c>
      <c r="D33" s="878">
        <v>0</v>
      </c>
      <c r="E33" s="878"/>
    </row>
    <row r="37" spans="1:6" x14ac:dyDescent="0.2">
      <c r="E37" s="839"/>
      <c r="F37" s="840"/>
    </row>
    <row r="38" spans="1:6" x14ac:dyDescent="0.2">
      <c r="E38" s="839"/>
    </row>
    <row r="39" spans="1:6" x14ac:dyDescent="0.2">
      <c r="E39" s="839"/>
    </row>
    <row r="40" spans="1:6" x14ac:dyDescent="0.2">
      <c r="F40" s="838"/>
    </row>
    <row r="41" spans="1:6" x14ac:dyDescent="0.2">
      <c r="F41" s="838"/>
    </row>
  </sheetData>
  <customSheetViews>
    <customSheetView guid="{88621519-296E-4458-B04E-813E881018FE}" hiddenRows="1" state="hidden">
      <selection activeCell="C15" sqref="C15:D15"/>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6">
    <mergeCell ref="A1:E1"/>
    <mergeCell ref="E15:E16"/>
    <mergeCell ref="A15:A16"/>
    <mergeCell ref="B15:B16"/>
    <mergeCell ref="C15:D15"/>
    <mergeCell ref="A3:D3"/>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64"/>
  <sheetViews>
    <sheetView workbookViewId="0">
      <selection activeCell="D51" sqref="D51"/>
    </sheetView>
  </sheetViews>
  <sheetFormatPr defaultRowHeight="18.75" x14ac:dyDescent="0.3"/>
  <cols>
    <col min="1" max="1" width="5.75" style="488" bestFit="1" customWidth="1"/>
    <col min="2" max="2" width="62.875" style="488" customWidth="1"/>
    <col min="3" max="3" width="19.5" style="498" customWidth="1"/>
    <col min="4" max="16384" width="9" style="488"/>
  </cols>
  <sheetData>
    <row r="1" spans="1:99" ht="63" customHeight="1" x14ac:dyDescent="0.3">
      <c r="A1" s="1369" t="s">
        <v>1436</v>
      </c>
      <c r="B1" s="1369"/>
      <c r="C1" s="1369"/>
      <c r="AI1" s="1266"/>
      <c r="AQ1" s="1266"/>
      <c r="AY1" s="1266"/>
      <c r="BG1" s="1266"/>
      <c r="BO1" s="1266"/>
      <c r="BW1" s="1266"/>
      <c r="CE1" s="1266"/>
      <c r="CM1" s="1266"/>
      <c r="CU1" s="1266"/>
    </row>
    <row r="2" spans="1:99" ht="21" hidden="1" customHeight="1" x14ac:dyDescent="0.3">
      <c r="A2" s="1125"/>
      <c r="B2" s="1125"/>
      <c r="C2" s="1126"/>
    </row>
    <row r="3" spans="1:99" ht="17.25" hidden="1" customHeight="1" x14ac:dyDescent="0.3">
      <c r="A3" s="1127"/>
      <c r="B3" s="1127"/>
      <c r="C3" s="1126"/>
    </row>
    <row r="4" spans="1:99" ht="17.25" customHeight="1" x14ac:dyDescent="0.35">
      <c r="A4" s="1128"/>
      <c r="B4" s="1129"/>
      <c r="C4" s="1129" t="s">
        <v>806</v>
      </c>
    </row>
    <row r="5" spans="1:99" s="492" customFormat="1" ht="34.5" customHeight="1" x14ac:dyDescent="0.25">
      <c r="A5" s="1130" t="s">
        <v>519</v>
      </c>
      <c r="B5" s="1130" t="s">
        <v>240</v>
      </c>
      <c r="C5" s="1130" t="s">
        <v>404</v>
      </c>
    </row>
    <row r="6" spans="1:99" s="496" customFormat="1" ht="18" customHeight="1" x14ac:dyDescent="0.3">
      <c r="A6" s="1075" t="s">
        <v>409</v>
      </c>
      <c r="B6" s="1022" t="s">
        <v>940</v>
      </c>
      <c r="C6" s="1023"/>
    </row>
    <row r="7" spans="1:99" ht="30" customHeight="1" x14ac:dyDescent="0.3">
      <c r="A7" s="1074"/>
      <c r="B7" s="1024" t="s">
        <v>1437</v>
      </c>
      <c r="C7" s="1025">
        <v>121038</v>
      </c>
    </row>
    <row r="8" spans="1:99" ht="30" customHeight="1" x14ac:dyDescent="0.3">
      <c r="A8" s="1074"/>
      <c r="B8" s="1024" t="s">
        <v>1438</v>
      </c>
      <c r="C8" s="1025">
        <v>83858.210000000006</v>
      </c>
    </row>
    <row r="9" spans="1:99" ht="30" customHeight="1" x14ac:dyDescent="0.3">
      <c r="A9" s="1074"/>
      <c r="B9" s="1034" t="s">
        <v>842</v>
      </c>
      <c r="C9" s="1026"/>
    </row>
    <row r="10" spans="1:99" x14ac:dyDescent="0.3">
      <c r="A10" s="1074"/>
      <c r="B10" s="1370" t="s">
        <v>1454</v>
      </c>
      <c r="C10" s="1370"/>
    </row>
    <row r="11" spans="1:99" x14ac:dyDescent="0.3">
      <c r="A11" s="1074"/>
      <c r="B11" s="1370"/>
      <c r="C11" s="1370"/>
    </row>
    <row r="12" spans="1:99" x14ac:dyDescent="0.3">
      <c r="A12" s="1074"/>
      <c r="B12" s="1027" t="s">
        <v>1455</v>
      </c>
      <c r="C12" s="1026">
        <v>37179.789999999994</v>
      </c>
    </row>
    <row r="13" spans="1:99" s="496" customFormat="1" ht="30" customHeight="1" x14ac:dyDescent="0.3">
      <c r="A13" s="1075" t="s">
        <v>421</v>
      </c>
      <c r="B13" s="1022" t="s">
        <v>843</v>
      </c>
      <c r="C13" s="1026"/>
    </row>
    <row r="14" spans="1:99" ht="30" customHeight="1" x14ac:dyDescent="0.3">
      <c r="A14" s="1074"/>
      <c r="B14" s="1024" t="s">
        <v>1439</v>
      </c>
      <c r="C14" s="1026">
        <v>702746</v>
      </c>
    </row>
    <row r="15" spans="1:99" ht="30" customHeight="1" x14ac:dyDescent="0.3">
      <c r="A15" s="1074"/>
      <c r="B15" s="1024" t="s">
        <v>1440</v>
      </c>
      <c r="C15" s="1026">
        <v>23533</v>
      </c>
    </row>
    <row r="16" spans="1:99" ht="30" customHeight="1" x14ac:dyDescent="0.3">
      <c r="A16" s="1074"/>
      <c r="B16" s="1024" t="s">
        <v>1441</v>
      </c>
      <c r="C16" s="1026">
        <v>2000</v>
      </c>
    </row>
    <row r="17" spans="1:3" x14ac:dyDescent="0.3">
      <c r="A17" s="1074"/>
      <c r="B17" s="1024" t="s">
        <v>1442</v>
      </c>
      <c r="C17" s="1026">
        <v>17972</v>
      </c>
    </row>
    <row r="18" spans="1:3" x14ac:dyDescent="0.3">
      <c r="A18" s="1074"/>
      <c r="B18" s="1028" t="s">
        <v>844</v>
      </c>
      <c r="C18" s="1026"/>
    </row>
    <row r="19" spans="1:3" x14ac:dyDescent="0.3">
      <c r="A19" s="1074"/>
      <c r="B19" s="1024" t="s">
        <v>845</v>
      </c>
      <c r="C19" s="1026">
        <v>3561</v>
      </c>
    </row>
    <row r="20" spans="1:3" x14ac:dyDescent="0.3">
      <c r="A20" s="1074"/>
      <c r="B20" s="1024" t="s">
        <v>1567</v>
      </c>
      <c r="C20" s="1026">
        <v>0</v>
      </c>
    </row>
    <row r="21" spans="1:3" x14ac:dyDescent="0.3">
      <c r="A21" s="1074"/>
      <c r="B21" s="1034" t="s">
        <v>842</v>
      </c>
      <c r="C21" s="1026"/>
    </row>
    <row r="22" spans="1:3" x14ac:dyDescent="0.3">
      <c r="A22" s="1074"/>
      <c r="B22" s="1371"/>
      <c r="C22" s="1371"/>
    </row>
    <row r="23" spans="1:3" x14ac:dyDescent="0.3">
      <c r="A23" s="1074"/>
      <c r="B23" s="1371"/>
      <c r="C23" s="1371"/>
    </row>
    <row r="24" spans="1:3" x14ac:dyDescent="0.3">
      <c r="A24" s="1074"/>
      <c r="B24" s="1371"/>
      <c r="C24" s="1371"/>
    </row>
    <row r="25" spans="1:3" s="492" customFormat="1" x14ac:dyDescent="0.25">
      <c r="A25" s="1029"/>
      <c r="B25" s="1030" t="s">
        <v>1443</v>
      </c>
      <c r="C25" s="1031">
        <v>726279</v>
      </c>
    </row>
    <row r="26" spans="1:3" s="492" customFormat="1" x14ac:dyDescent="0.25">
      <c r="C26" s="499"/>
    </row>
    <row r="27" spans="1:3" s="492" customFormat="1" x14ac:dyDescent="0.25">
      <c r="C27" s="625"/>
    </row>
    <row r="28" spans="1:3" s="492" customFormat="1" x14ac:dyDescent="0.25">
      <c r="C28" s="499"/>
    </row>
    <row r="29" spans="1:3" s="492" customFormat="1" x14ac:dyDescent="0.25">
      <c r="C29" s="499"/>
    </row>
    <row r="30" spans="1:3" s="492" customFormat="1" x14ac:dyDescent="0.25">
      <c r="C30" s="499"/>
    </row>
    <row r="31" spans="1:3" s="492" customFormat="1" x14ac:dyDescent="0.25">
      <c r="C31" s="499"/>
    </row>
    <row r="32" spans="1:3" s="492" customFormat="1" x14ac:dyDescent="0.25">
      <c r="C32" s="499"/>
    </row>
    <row r="33" spans="3:3" s="492" customFormat="1" x14ac:dyDescent="0.25">
      <c r="C33" s="499"/>
    </row>
    <row r="34" spans="3:3" s="492" customFormat="1" x14ac:dyDescent="0.25">
      <c r="C34" s="499"/>
    </row>
    <row r="35" spans="3:3" s="492" customFormat="1" x14ac:dyDescent="0.25">
      <c r="C35" s="499"/>
    </row>
    <row r="36" spans="3:3" s="492" customFormat="1" x14ac:dyDescent="0.25">
      <c r="C36" s="499"/>
    </row>
    <row r="37" spans="3:3" s="492" customFormat="1" x14ac:dyDescent="0.25">
      <c r="C37" s="499"/>
    </row>
    <row r="38" spans="3:3" s="492" customFormat="1" x14ac:dyDescent="0.25">
      <c r="C38" s="499"/>
    </row>
    <row r="39" spans="3:3" s="492" customFormat="1" x14ac:dyDescent="0.25">
      <c r="C39" s="499"/>
    </row>
    <row r="40" spans="3:3" s="492" customFormat="1" x14ac:dyDescent="0.25">
      <c r="C40" s="499"/>
    </row>
    <row r="41" spans="3:3" s="492" customFormat="1" x14ac:dyDescent="0.25">
      <c r="C41" s="499"/>
    </row>
    <row r="42" spans="3:3" s="492" customFormat="1" x14ac:dyDescent="0.25">
      <c r="C42" s="499"/>
    </row>
    <row r="43" spans="3:3" s="492" customFormat="1" x14ac:dyDescent="0.25">
      <c r="C43" s="499"/>
    </row>
    <row r="44" spans="3:3" s="492" customFormat="1" x14ac:dyDescent="0.25">
      <c r="C44" s="499"/>
    </row>
    <row r="45" spans="3:3" s="492" customFormat="1" x14ac:dyDescent="0.25">
      <c r="C45" s="499"/>
    </row>
    <row r="46" spans="3:3" s="492" customFormat="1" x14ac:dyDescent="0.25">
      <c r="C46" s="499"/>
    </row>
    <row r="47" spans="3:3" s="492" customFormat="1" x14ac:dyDescent="0.25">
      <c r="C47" s="499"/>
    </row>
    <row r="48" spans="3:3" s="492" customFormat="1" x14ac:dyDescent="0.25">
      <c r="C48" s="499"/>
    </row>
    <row r="49" spans="3:3" s="492" customFormat="1" x14ac:dyDescent="0.25">
      <c r="C49" s="499"/>
    </row>
    <row r="50" spans="3:3" s="492" customFormat="1" x14ac:dyDescent="0.25">
      <c r="C50" s="499"/>
    </row>
    <row r="51" spans="3:3" s="492" customFormat="1" x14ac:dyDescent="0.25">
      <c r="C51" s="499"/>
    </row>
    <row r="52" spans="3:3" s="492" customFormat="1" x14ac:dyDescent="0.25">
      <c r="C52" s="499"/>
    </row>
    <row r="53" spans="3:3" s="492" customFormat="1" x14ac:dyDescent="0.25">
      <c r="C53" s="499"/>
    </row>
    <row r="54" spans="3:3" s="492" customFormat="1" x14ac:dyDescent="0.25">
      <c r="C54" s="499"/>
    </row>
    <row r="55" spans="3:3" s="492" customFormat="1" x14ac:dyDescent="0.25">
      <c r="C55" s="499"/>
    </row>
    <row r="56" spans="3:3" s="492" customFormat="1" x14ac:dyDescent="0.25">
      <c r="C56" s="499"/>
    </row>
    <row r="57" spans="3:3" s="492" customFormat="1" x14ac:dyDescent="0.25">
      <c r="C57" s="499"/>
    </row>
    <row r="58" spans="3:3" s="492" customFormat="1" x14ac:dyDescent="0.25">
      <c r="C58" s="499"/>
    </row>
    <row r="59" spans="3:3" s="492" customFormat="1" x14ac:dyDescent="0.25">
      <c r="C59" s="499"/>
    </row>
    <row r="60" spans="3:3" s="492" customFormat="1" x14ac:dyDescent="0.25">
      <c r="C60" s="499"/>
    </row>
    <row r="61" spans="3:3" s="492" customFormat="1" x14ac:dyDescent="0.25">
      <c r="C61" s="499"/>
    </row>
    <row r="62" spans="3:3" s="492" customFormat="1" x14ac:dyDescent="0.25">
      <c r="C62" s="499"/>
    </row>
    <row r="63" spans="3:3" s="492" customFormat="1" x14ac:dyDescent="0.25">
      <c r="C63" s="499"/>
    </row>
    <row r="64" spans="3:3" s="496" customFormat="1" x14ac:dyDescent="0.3">
      <c r="C64" s="500"/>
    </row>
  </sheetData>
  <customSheetViews>
    <customSheetView guid="{88621519-296E-4458-B04E-813E881018FE}" hiddenRows="1" state="hidden" topLeftCell="A13">
      <selection activeCell="E15" sqref="E15"/>
      <pageMargins left="0.7" right="0.7" top="0.75" bottom="0.75" header="0.3" footer="0.3"/>
      <pageSetup orientation="portrait" r:id="rId1"/>
    </customSheetView>
  </customSheetViews>
  <mergeCells count="3">
    <mergeCell ref="A1:C1"/>
    <mergeCell ref="B10:C11"/>
    <mergeCell ref="B22:C24"/>
  </mergeCells>
  <printOptions horizontalCentered="1"/>
  <pageMargins left="0" right="0" top="0.19685039370078741" bottom="0.19685039370078741" header="0" footer="0"/>
  <pageSetup paperSize="9" orientation="portrait"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C49"/>
  <sheetViews>
    <sheetView topLeftCell="A34" workbookViewId="0">
      <selection activeCell="D43" sqref="D43"/>
    </sheetView>
  </sheetViews>
  <sheetFormatPr defaultRowHeight="15.75" x14ac:dyDescent="0.25"/>
  <cols>
    <col min="1" max="1" width="4.875" customWidth="1"/>
    <col min="2" max="2" width="60.25" customWidth="1"/>
    <col min="3" max="3" width="18"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42"/>
    </row>
    <row r="4" spans="1:3" ht="35.25" customHeight="1" x14ac:dyDescent="0.25">
      <c r="A4" s="1530" t="s">
        <v>1691</v>
      </c>
      <c r="B4" s="1409"/>
      <c r="C4" s="1409"/>
    </row>
    <row r="5" spans="1:3" x14ac:dyDescent="0.25">
      <c r="A5" s="71"/>
      <c r="B5" s="71"/>
      <c r="C5" s="71"/>
    </row>
    <row r="6" spans="1:3" x14ac:dyDescent="0.25">
      <c r="A6" s="71"/>
      <c r="C6" s="1349" t="s">
        <v>516</v>
      </c>
    </row>
    <row r="7" spans="1:3" s="1340" customFormat="1" ht="45.75" customHeight="1" x14ac:dyDescent="0.25">
      <c r="A7" s="1341" t="s">
        <v>40</v>
      </c>
      <c r="B7" s="1341" t="s">
        <v>517</v>
      </c>
      <c r="C7" s="1341"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14" customFormat="1" ht="20.100000000000001" customHeight="1" x14ac:dyDescent="0.25">
      <c r="A10" s="234" t="s">
        <v>564</v>
      </c>
      <c r="B10" s="236" t="s">
        <v>311</v>
      </c>
      <c r="C10" s="386"/>
    </row>
    <row r="11" spans="1:3" s="86" customFormat="1" ht="20.100000000000001" customHeight="1" x14ac:dyDescent="0.25">
      <c r="A11" s="93" t="s">
        <v>564</v>
      </c>
      <c r="B11" s="94" t="s">
        <v>351</v>
      </c>
      <c r="C11" s="387">
        <f>'Phụ lục số 1'!N44</f>
        <v>750000</v>
      </c>
    </row>
    <row r="12" spans="1:3" s="14" customFormat="1" ht="20.100000000000001" customHeight="1" x14ac:dyDescent="0.25">
      <c r="A12" s="93" t="s">
        <v>564</v>
      </c>
      <c r="B12" s="94" t="s">
        <v>226</v>
      </c>
      <c r="C12" s="387">
        <f>'Phụ lục số 1'!N51</f>
        <v>1500000</v>
      </c>
    </row>
    <row r="13" spans="1:3" s="40" customFormat="1" ht="20.100000000000001" customHeight="1" x14ac:dyDescent="0.25">
      <c r="A13" s="87" t="s">
        <v>421</v>
      </c>
      <c r="B13" s="88" t="s">
        <v>219</v>
      </c>
      <c r="C13" s="385">
        <f>'Phụ lục số 1'!N52</f>
        <v>105000</v>
      </c>
    </row>
    <row r="14" spans="1:3" s="95" customFormat="1" ht="20.100000000000001" customHeight="1" x14ac:dyDescent="0.25">
      <c r="A14" s="89" t="s">
        <v>422</v>
      </c>
      <c r="B14" s="90" t="s">
        <v>925</v>
      </c>
      <c r="C14" s="388">
        <f>SUM(C15,C18,C22,C23)</f>
        <v>14124109</v>
      </c>
    </row>
    <row r="15" spans="1:3" s="95" customFormat="1" ht="20.100000000000001" customHeight="1" x14ac:dyDescent="0.25">
      <c r="A15" s="87" t="s">
        <v>409</v>
      </c>
      <c r="B15" s="88" t="s">
        <v>220</v>
      </c>
      <c r="C15" s="385">
        <f>'Phụ lục số 1'!Q12</f>
        <v>6480440</v>
      </c>
    </row>
    <row r="16" spans="1:3" s="40" customFormat="1" ht="20.100000000000001" customHeight="1" x14ac:dyDescent="0.25">
      <c r="A16" s="93" t="s">
        <v>434</v>
      </c>
      <c r="B16" s="94" t="s">
        <v>221</v>
      </c>
      <c r="C16" s="387">
        <f>C15-C17</f>
        <v>3144040</v>
      </c>
    </row>
    <row r="17" spans="1:3"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3" s="95" customFormat="1" ht="20.100000000000001" customHeight="1" x14ac:dyDescent="0.25">
      <c r="A18" s="87" t="s">
        <v>421</v>
      </c>
      <c r="B18" s="88" t="s">
        <v>223</v>
      </c>
      <c r="C18" s="385">
        <f>SUM(C19:C20)</f>
        <v>6765596</v>
      </c>
    </row>
    <row r="19" spans="1:3" s="95" customFormat="1" ht="20.100000000000001" customHeight="1" x14ac:dyDescent="0.25">
      <c r="A19" s="93" t="s">
        <v>434</v>
      </c>
      <c r="B19" s="94" t="s">
        <v>532</v>
      </c>
      <c r="C19" s="387">
        <f>'Phụ lục số 1'!Q56</f>
        <v>4883126</v>
      </c>
    </row>
    <row r="20" spans="1:3" s="95" customFormat="1" ht="20.100000000000001" customHeight="1" x14ac:dyDescent="0.25">
      <c r="A20" s="93" t="s">
        <v>435</v>
      </c>
      <c r="B20" s="94" t="s">
        <v>533</v>
      </c>
      <c r="C20" s="387">
        <f>'Phụ lục số 1'!Q57</f>
        <v>1882470</v>
      </c>
    </row>
    <row r="21" spans="1:3" s="14" customFormat="1" ht="33.75" customHeight="1" x14ac:dyDescent="0.25">
      <c r="A21" s="93" t="s">
        <v>224</v>
      </c>
      <c r="B21" s="97" t="s">
        <v>717</v>
      </c>
      <c r="C21" s="387">
        <f>'Phụ lục số 1'!N61+('Phụ lục số 1'!N60-'Phụ lục số 2'!K40)</f>
        <v>511676</v>
      </c>
    </row>
    <row r="22" spans="1:3" s="14" customFormat="1" ht="20.100000000000001" customHeight="1" x14ac:dyDescent="0.25">
      <c r="A22" s="87" t="s">
        <v>449</v>
      </c>
      <c r="B22" s="88" t="s">
        <v>225</v>
      </c>
      <c r="C22" s="385">
        <f>'Phụ lục số 1'!Q62</f>
        <v>816873</v>
      </c>
    </row>
    <row r="23" spans="1:3" s="86" customFormat="1" ht="20.100000000000001" customHeight="1" x14ac:dyDescent="0.25">
      <c r="A23" s="87" t="s">
        <v>450</v>
      </c>
      <c r="B23" s="88" t="s">
        <v>924</v>
      </c>
      <c r="C23" s="385">
        <f>'Phụ lục số 1'!Q63</f>
        <v>61200</v>
      </c>
    </row>
    <row r="24" spans="1:3" s="14" customFormat="1" ht="20.100000000000001" customHeight="1" x14ac:dyDescent="0.25">
      <c r="A24" s="89" t="s">
        <v>426</v>
      </c>
      <c r="B24" s="90" t="s">
        <v>926</v>
      </c>
      <c r="C24" s="388">
        <f>SUM(C25,C38,C42)</f>
        <v>14124109</v>
      </c>
    </row>
    <row r="25" spans="1:3" ht="20.100000000000001" customHeight="1" x14ac:dyDescent="0.25">
      <c r="A25" s="87" t="s">
        <v>409</v>
      </c>
      <c r="B25" s="88" t="s">
        <v>506</v>
      </c>
      <c r="C25" s="385">
        <f>SUM(C26,C30,C34,C35,C36,C37)</f>
        <v>12692115</v>
      </c>
    </row>
    <row r="26" spans="1:3" ht="20.100000000000001" customHeight="1" x14ac:dyDescent="0.25">
      <c r="A26" s="87">
        <v>1</v>
      </c>
      <c r="B26" s="88" t="s">
        <v>227</v>
      </c>
      <c r="C26" s="385">
        <f>'Phụ lục số 2'!K13</f>
        <v>3381485</v>
      </c>
    </row>
    <row r="27" spans="1:3" ht="20.100000000000001" customHeight="1" x14ac:dyDescent="0.25">
      <c r="A27" s="202" t="s">
        <v>564</v>
      </c>
      <c r="B27" s="203" t="s">
        <v>311</v>
      </c>
      <c r="C27" s="390"/>
    </row>
    <row r="28" spans="1:3" ht="20.100000000000001" customHeight="1" x14ac:dyDescent="0.25">
      <c r="A28" s="199" t="s">
        <v>564</v>
      </c>
      <c r="B28" s="200" t="s">
        <v>381</v>
      </c>
      <c r="C28" s="389">
        <f>C11</f>
        <v>750000</v>
      </c>
    </row>
    <row r="29" spans="1:3" ht="20.100000000000001" customHeight="1" x14ac:dyDescent="0.25">
      <c r="A29" s="199" t="s">
        <v>564</v>
      </c>
      <c r="B29" s="200" t="s">
        <v>510</v>
      </c>
      <c r="C29" s="389">
        <f>C12</f>
        <v>1500000</v>
      </c>
    </row>
    <row r="30" spans="1:3" ht="20.100000000000001" customHeight="1" x14ac:dyDescent="0.25">
      <c r="A30" s="87">
        <v>2</v>
      </c>
      <c r="B30" s="88" t="s">
        <v>460</v>
      </c>
      <c r="C30" s="385">
        <f>'Phụ lục số 2'!K18</f>
        <v>8465821</v>
      </c>
    </row>
    <row r="31" spans="1:3" ht="20.100000000000001" customHeight="1" x14ac:dyDescent="0.25">
      <c r="A31" s="202" t="s">
        <v>564</v>
      </c>
      <c r="B31" s="203" t="s">
        <v>311</v>
      </c>
      <c r="C31" s="390"/>
    </row>
    <row r="32" spans="1:3" ht="20.100000000000001" customHeight="1" x14ac:dyDescent="0.25">
      <c r="A32" s="199" t="s">
        <v>564</v>
      </c>
      <c r="B32" s="200" t="s">
        <v>385</v>
      </c>
      <c r="C32" s="389">
        <f>'Phụ lục số 2'!K23</f>
        <v>3653191</v>
      </c>
    </row>
    <row r="33" spans="1:3" ht="20.100000000000001" customHeight="1" x14ac:dyDescent="0.25">
      <c r="A33" s="199" t="s">
        <v>564</v>
      </c>
      <c r="B33" s="200" t="s">
        <v>386</v>
      </c>
      <c r="C33" s="389">
        <f>'Phụ lục số 2'!K22</f>
        <v>31000</v>
      </c>
    </row>
    <row r="34" spans="1:3" ht="20.100000000000001" customHeight="1" x14ac:dyDescent="0.25">
      <c r="A34" s="87">
        <v>3</v>
      </c>
      <c r="B34" s="88" t="s">
        <v>300</v>
      </c>
      <c r="C34" s="385">
        <f>'Phụ lục số 2'!K32</f>
        <v>2000</v>
      </c>
    </row>
    <row r="35" spans="1:3" s="40" customFormat="1" ht="20.100000000000001" customHeight="1" x14ac:dyDescent="0.25">
      <c r="A35" s="87">
        <v>4</v>
      </c>
      <c r="B35" s="88" t="s">
        <v>487</v>
      </c>
      <c r="C35" s="385">
        <f>'Phụ lục số 2'!K33</f>
        <v>233960</v>
      </c>
    </row>
    <row r="36" spans="1:3" s="14" customFormat="1" ht="20.100000000000001" customHeight="1" x14ac:dyDescent="0.25">
      <c r="A36" s="87">
        <v>5</v>
      </c>
      <c r="B36" s="88" t="s">
        <v>526</v>
      </c>
      <c r="C36" s="385">
        <f>'Phụ lục số 2'!K35</f>
        <v>606749</v>
      </c>
    </row>
    <row r="37" spans="1:3" s="14" customFormat="1" ht="20.100000000000001" customHeight="1" x14ac:dyDescent="0.25">
      <c r="A37" s="87">
        <v>6</v>
      </c>
      <c r="B37" s="26" t="s">
        <v>732</v>
      </c>
      <c r="C37" s="385">
        <f>'Phụ lục số 2'!K36</f>
        <v>2100</v>
      </c>
    </row>
    <row r="38" spans="1:3" s="14" customFormat="1" ht="20.100000000000001" customHeight="1" x14ac:dyDescent="0.25">
      <c r="A38" s="87" t="s">
        <v>421</v>
      </c>
      <c r="B38" s="98" t="s">
        <v>229</v>
      </c>
      <c r="C38" s="385">
        <f>SUM(C39:C41)</f>
        <v>1370794</v>
      </c>
    </row>
    <row r="39" spans="1:3" s="14" customFormat="1" ht="20.100000000000001" customHeight="1" x14ac:dyDescent="0.25">
      <c r="A39" s="202">
        <v>1</v>
      </c>
      <c r="B39" s="24" t="s">
        <v>599</v>
      </c>
      <c r="C39" s="390">
        <f>'Phụ lục số 2'!K38</f>
        <v>0</v>
      </c>
    </row>
    <row r="40" spans="1:3" s="14" customFormat="1" ht="20.100000000000001" customHeight="1" x14ac:dyDescent="0.25">
      <c r="A40" s="202">
        <v>2</v>
      </c>
      <c r="B40" s="24" t="s">
        <v>508</v>
      </c>
      <c r="C40" s="390">
        <f>'Phụ lục số 2'!K39</f>
        <v>1263824</v>
      </c>
    </row>
    <row r="41" spans="1:3" s="14" customFormat="1" ht="20.100000000000001" customHeight="1" x14ac:dyDescent="0.25">
      <c r="A41" s="202">
        <v>3</v>
      </c>
      <c r="B41" s="24" t="s">
        <v>509</v>
      </c>
      <c r="C41" s="390">
        <f>'Phụ lục số 2'!K40</f>
        <v>106970</v>
      </c>
    </row>
    <row r="42" spans="1:3" x14ac:dyDescent="0.25">
      <c r="A42" s="87" t="s">
        <v>449</v>
      </c>
      <c r="B42" s="823" t="s">
        <v>920</v>
      </c>
      <c r="C42" s="385">
        <f>'Phụ lục số 2'!K41</f>
        <v>61200</v>
      </c>
    </row>
    <row r="43" spans="1:3" s="86" customFormat="1" x14ac:dyDescent="0.25">
      <c r="A43" s="484" t="s">
        <v>464</v>
      </c>
      <c r="B43" s="1345" t="s">
        <v>1151</v>
      </c>
      <c r="C43" s="388">
        <v>79551</v>
      </c>
    </row>
    <row r="44" spans="1:3" s="86" customFormat="1" x14ac:dyDescent="0.25">
      <c r="A44" s="484" t="s">
        <v>1687</v>
      </c>
      <c r="B44" s="1345" t="s">
        <v>1688</v>
      </c>
      <c r="C44" s="388">
        <f>SUM(C45:C46)</f>
        <v>79551</v>
      </c>
    </row>
    <row r="45" spans="1:3" x14ac:dyDescent="0.25">
      <c r="A45" s="779">
        <v>1</v>
      </c>
      <c r="B45" s="1346" t="s">
        <v>1088</v>
      </c>
      <c r="C45" s="390"/>
    </row>
    <row r="46" spans="1:3" x14ac:dyDescent="0.25">
      <c r="A46" s="779">
        <v>2</v>
      </c>
      <c r="B46" s="1346" t="s">
        <v>1689</v>
      </c>
      <c r="C46" s="390">
        <f>79551</f>
        <v>79551</v>
      </c>
    </row>
    <row r="47" spans="1:3" s="86" customFormat="1" x14ac:dyDescent="0.25">
      <c r="A47" s="484" t="s">
        <v>740</v>
      </c>
      <c r="B47" s="1345" t="s">
        <v>1690</v>
      </c>
      <c r="C47" s="388">
        <f>SUM(C48:C49)</f>
        <v>61200</v>
      </c>
    </row>
    <row r="48" spans="1:3" x14ac:dyDescent="0.25">
      <c r="A48" s="779">
        <v>1</v>
      </c>
      <c r="B48" s="1346" t="s">
        <v>1091</v>
      </c>
      <c r="C48" s="390">
        <v>0</v>
      </c>
    </row>
    <row r="49" spans="1:3" x14ac:dyDescent="0.25">
      <c r="A49" s="780">
        <v>2</v>
      </c>
      <c r="B49" s="1347" t="s">
        <v>1092</v>
      </c>
      <c r="C49" s="1348">
        <f>C23</f>
        <v>61200</v>
      </c>
    </row>
  </sheetData>
  <mergeCells count="1">
    <mergeCell ref="A4:C4"/>
  </mergeCells>
  <printOptions horizontalCentered="1"/>
  <pageMargins left="0" right="0" top="0.59055118110236227" bottom="0.59055118110236227" header="0.19685039370078741" footer="0.19685039370078741"/>
  <pageSetup paperSize="9" scale="84" orientation="portrait" r:id="rId1"/>
  <headerFooter alignWithMargins="0">
    <oddHeader>&amp;L&amp;"Times New Roman,Bold"ỦY BAN NHÂN DÂN TỈNH ĐỒNG THÁP&amp;R&amp;A</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E21"/>
  <sheetViews>
    <sheetView tabSelected="1" zoomScale="90" workbookViewId="0">
      <selection activeCell="D12" sqref="D12"/>
    </sheetView>
  </sheetViews>
  <sheetFormatPr defaultColWidth="9" defaultRowHeight="15.75" x14ac:dyDescent="0.25"/>
  <cols>
    <col min="1" max="1" width="8" style="1351" customWidth="1"/>
    <col min="2" max="2" width="25.125" style="209" customWidth="1"/>
    <col min="3" max="3" width="20.875" style="209" customWidth="1"/>
    <col min="4" max="4" width="23.75" style="209" customWidth="1"/>
    <col min="5" max="5" width="24.75" style="209" customWidth="1"/>
    <col min="6" max="16384" width="9" style="209"/>
  </cols>
  <sheetData>
    <row r="1" spans="1:5" ht="30" customHeight="1" x14ac:dyDescent="0.25">
      <c r="A1" s="1538" t="s">
        <v>1692</v>
      </c>
      <c r="B1" s="1538"/>
      <c r="C1" s="1538"/>
      <c r="D1" s="1538"/>
      <c r="E1" s="1538"/>
    </row>
    <row r="2" spans="1:5" ht="17.25" customHeight="1" x14ac:dyDescent="0.25">
      <c r="A2" s="1565" t="str">
        <f>'[5]Biếu số 55-CK-NSNN'!A2:T2</f>
        <v>(Kèm theo Quyết định số    22/QĐ-UBND-HC ngày  10 tháng 01 năm 2022    của UBND tỉnh Đồng Tháp)</v>
      </c>
      <c r="B2" s="1565"/>
      <c r="C2" s="1565"/>
      <c r="D2" s="1565"/>
      <c r="E2" s="1565"/>
    </row>
    <row r="3" spans="1:5" ht="16.5" customHeight="1" thickBot="1" x14ac:dyDescent="0.3">
      <c r="E3" s="1350" t="s">
        <v>516</v>
      </c>
    </row>
    <row r="4" spans="1:5" s="14" customFormat="1" ht="15.75" customHeight="1" thickTop="1" x14ac:dyDescent="0.25">
      <c r="A4" s="1566" t="s">
        <v>519</v>
      </c>
      <c r="B4" s="1567" t="s">
        <v>1531</v>
      </c>
      <c r="C4" s="1568" t="s">
        <v>1693</v>
      </c>
      <c r="D4" s="1568"/>
      <c r="E4" s="1569"/>
    </row>
    <row r="5" spans="1:5" s="14" customFormat="1" ht="15.75" customHeight="1" x14ac:dyDescent="0.25">
      <c r="A5" s="1570"/>
      <c r="B5" s="1406"/>
      <c r="C5" s="1406" t="s">
        <v>404</v>
      </c>
      <c r="D5" s="1424"/>
      <c r="E5" s="1571"/>
    </row>
    <row r="6" spans="1:5" s="14" customFormat="1" ht="25.5" x14ac:dyDescent="0.25">
      <c r="A6" s="1570"/>
      <c r="B6" s="1406"/>
      <c r="C6" s="1406"/>
      <c r="D6" s="1352" t="s">
        <v>1694</v>
      </c>
      <c r="E6" s="1572" t="s">
        <v>1695</v>
      </c>
    </row>
    <row r="7" spans="1:5" s="14" customFormat="1" x14ac:dyDescent="0.25">
      <c r="A7" s="1573">
        <v>1</v>
      </c>
      <c r="B7" s="70">
        <v>2</v>
      </c>
      <c r="C7" s="70" t="s">
        <v>406</v>
      </c>
      <c r="D7" s="70">
        <v>4</v>
      </c>
      <c r="E7" s="1574">
        <v>5</v>
      </c>
    </row>
    <row r="8" spans="1:5" ht="24.95" customHeight="1" x14ac:dyDescent="0.25">
      <c r="A8" s="1575">
        <v>1</v>
      </c>
      <c r="B8" s="1353" t="s">
        <v>23</v>
      </c>
      <c r="C8" s="1355">
        <f t="shared" ref="C8:C19" si="0">SUM(D8:E8)</f>
        <v>18800</v>
      </c>
      <c r="D8" s="1354">
        <f>'[5]Biếu số 55-CK-NSNN'!K9</f>
        <v>9300</v>
      </c>
      <c r="E8" s="1576">
        <f>'[5]Biếu số 55-CK-NSNN'!L9</f>
        <v>9500</v>
      </c>
    </row>
    <row r="9" spans="1:5" ht="24.95" customHeight="1" x14ac:dyDescent="0.25">
      <c r="A9" s="1577">
        <v>2</v>
      </c>
      <c r="B9" s="218" t="s">
        <v>1522</v>
      </c>
      <c r="C9" s="219">
        <f t="shared" si="0"/>
        <v>13300</v>
      </c>
      <c r="D9" s="219">
        <f>'[5]Biếu số 55-CK-NSNN'!K10</f>
        <v>5800</v>
      </c>
      <c r="E9" s="1578">
        <f>'[5]Biếu số 55-CK-NSNN'!L10</f>
        <v>7500</v>
      </c>
    </row>
    <row r="10" spans="1:5" ht="24.95" customHeight="1" x14ac:dyDescent="0.25">
      <c r="A10" s="1577">
        <v>3</v>
      </c>
      <c r="B10" s="218" t="s">
        <v>24</v>
      </c>
      <c r="C10" s="219">
        <f t="shared" si="0"/>
        <v>34100</v>
      </c>
      <c r="D10" s="219">
        <f>'[5]Biếu số 55-CK-NSNN'!K11</f>
        <v>16100</v>
      </c>
      <c r="E10" s="1578">
        <f>'[5]Biếu số 55-CK-NSNN'!L11</f>
        <v>18000</v>
      </c>
    </row>
    <row r="11" spans="1:5" ht="24.95" customHeight="1" x14ac:dyDescent="0.25">
      <c r="A11" s="1577">
        <v>4</v>
      </c>
      <c r="B11" s="218" t="s">
        <v>5</v>
      </c>
      <c r="C11" s="219">
        <f t="shared" si="0"/>
        <v>45900</v>
      </c>
      <c r="D11" s="219">
        <f>'[5]Biếu số 55-CK-NSNN'!K12</f>
        <v>18900</v>
      </c>
      <c r="E11" s="1578">
        <f>'[5]Biếu số 55-CK-NSNN'!L12</f>
        <v>27000</v>
      </c>
    </row>
    <row r="12" spans="1:5" ht="24.95" customHeight="1" x14ac:dyDescent="0.25">
      <c r="A12" s="1577">
        <v>5</v>
      </c>
      <c r="B12" s="218" t="s">
        <v>6</v>
      </c>
      <c r="C12" s="219">
        <f t="shared" si="0"/>
        <v>32298</v>
      </c>
      <c r="D12" s="219">
        <f>'[5]Biếu số 55-CK-NSNN'!K13</f>
        <v>13200</v>
      </c>
      <c r="E12" s="1578">
        <f>'[5]Biếu số 55-CK-NSNN'!L13</f>
        <v>19098</v>
      </c>
    </row>
    <row r="13" spans="1:5" ht="24.95" customHeight="1" x14ac:dyDescent="0.25">
      <c r="A13" s="1577">
        <v>6</v>
      </c>
      <c r="B13" s="218" t="s">
        <v>7</v>
      </c>
      <c r="C13" s="219">
        <f t="shared" si="0"/>
        <v>8000</v>
      </c>
      <c r="D13" s="219">
        <f>'[5]Biếu số 55-CK-NSNN'!K14</f>
        <v>5000</v>
      </c>
      <c r="E13" s="1578">
        <f>'[5]Biếu số 55-CK-NSNN'!L14</f>
        <v>3000</v>
      </c>
    </row>
    <row r="14" spans="1:5" ht="24.95" customHeight="1" x14ac:dyDescent="0.25">
      <c r="A14" s="1577">
        <v>7</v>
      </c>
      <c r="B14" s="218" t="s">
        <v>8</v>
      </c>
      <c r="C14" s="219">
        <f t="shared" si="0"/>
        <v>47400</v>
      </c>
      <c r="D14" s="219">
        <f>'[5]Biếu số 55-CK-NSNN'!K15</f>
        <v>21400</v>
      </c>
      <c r="E14" s="1578">
        <f>'[5]Biếu số 55-CK-NSNN'!L15</f>
        <v>26000</v>
      </c>
    </row>
    <row r="15" spans="1:5" ht="24.95" customHeight="1" x14ac:dyDescent="0.25">
      <c r="A15" s="1577">
        <v>8</v>
      </c>
      <c r="B15" s="218" t="s">
        <v>25</v>
      </c>
      <c r="C15" s="219">
        <f t="shared" si="0"/>
        <v>61600</v>
      </c>
      <c r="D15" s="219">
        <f>'[5]Biếu số 55-CK-NSNN'!K16</f>
        <v>28600</v>
      </c>
      <c r="E15" s="1578">
        <f>'[5]Biếu số 55-CK-NSNN'!L16</f>
        <v>33000</v>
      </c>
    </row>
    <row r="16" spans="1:5" ht="24.95" customHeight="1" x14ac:dyDescent="0.25">
      <c r="A16" s="1577">
        <v>9</v>
      </c>
      <c r="B16" s="218" t="s">
        <v>26</v>
      </c>
      <c r="C16" s="219">
        <f t="shared" si="0"/>
        <v>15900</v>
      </c>
      <c r="D16" s="219">
        <f>'[5]Biếu số 55-CK-NSNN'!K17</f>
        <v>8900</v>
      </c>
      <c r="E16" s="1578">
        <f>'[5]Biếu số 55-CK-NSNN'!L17</f>
        <v>7000</v>
      </c>
    </row>
    <row r="17" spans="1:5" ht="24.95" customHeight="1" x14ac:dyDescent="0.25">
      <c r="A17" s="1577">
        <v>10</v>
      </c>
      <c r="B17" s="218" t="s">
        <v>27</v>
      </c>
      <c r="C17" s="219">
        <f t="shared" si="0"/>
        <v>18300</v>
      </c>
      <c r="D17" s="219">
        <f>'[5]Biếu số 55-CK-NSNN'!K18</f>
        <v>11300</v>
      </c>
      <c r="E17" s="1578">
        <f>'[5]Biếu số 55-CK-NSNN'!L18</f>
        <v>7000</v>
      </c>
    </row>
    <row r="18" spans="1:5" ht="24.95" customHeight="1" x14ac:dyDescent="0.25">
      <c r="A18" s="1577">
        <v>11</v>
      </c>
      <c r="B18" s="218" t="s">
        <v>145</v>
      </c>
      <c r="C18" s="219">
        <f t="shared" si="0"/>
        <v>4500</v>
      </c>
      <c r="D18" s="219">
        <f>'[5]Biếu số 55-CK-NSNN'!K19</f>
        <v>3000</v>
      </c>
      <c r="E18" s="1578">
        <f>'[5]Biếu số 55-CK-NSNN'!L19</f>
        <v>1500</v>
      </c>
    </row>
    <row r="19" spans="1:5" ht="24.95" customHeight="1" x14ac:dyDescent="0.25">
      <c r="A19" s="1579">
        <v>12</v>
      </c>
      <c r="B19" s="1356" t="s">
        <v>12</v>
      </c>
      <c r="C19" s="1357">
        <f t="shared" si="0"/>
        <v>17700</v>
      </c>
      <c r="D19" s="1357">
        <f>'[5]Biếu số 55-CK-NSNN'!K20</f>
        <v>7200</v>
      </c>
      <c r="E19" s="1580">
        <f>'[5]Biếu số 55-CK-NSNN'!L20</f>
        <v>10500</v>
      </c>
    </row>
    <row r="20" spans="1:5" s="14" customFormat="1" ht="24.95" customHeight="1" thickBot="1" x14ac:dyDescent="0.3">
      <c r="A20" s="1581" t="s">
        <v>28</v>
      </c>
      <c r="B20" s="1582"/>
      <c r="C20" s="1583">
        <f>SUM(C8:C19)</f>
        <v>317798</v>
      </c>
      <c r="D20" s="1583">
        <f>SUM(D8:D19)</f>
        <v>148700</v>
      </c>
      <c r="E20" s="1584">
        <f>SUM(E8:E19)</f>
        <v>169098</v>
      </c>
    </row>
    <row r="21" spans="1:5" ht="16.5" thickTop="1" x14ac:dyDescent="0.25"/>
  </sheetData>
  <mergeCells count="8">
    <mergeCell ref="A20:B20"/>
    <mergeCell ref="A1:E1"/>
    <mergeCell ref="A2:E2"/>
    <mergeCell ref="A4:A6"/>
    <mergeCell ref="B4:B6"/>
    <mergeCell ref="C4:E4"/>
    <mergeCell ref="C5:C6"/>
    <mergeCell ref="D5:E5"/>
  </mergeCells>
  <printOptions horizontalCentered="1"/>
  <pageMargins left="0" right="0" top="0.39370078740157483" bottom="0.39370078740157483" header="0.19685039370078741" footer="0.19685039370078741"/>
  <pageSetup paperSize="9" fitToHeight="0" orientation="landscape" r:id="rId1"/>
  <headerFooter alignWithMargins="0">
    <oddHeader>&amp;L&amp;"Times New Roman,Bold"ỦY BAN NHÂN DÂN TỈNH ĐỒNG THÁP&amp;R&amp;A</oddHeader>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F38"/>
  <sheetViews>
    <sheetView zoomScaleNormal="100" workbookViewId="0">
      <selection sqref="A1:E1"/>
    </sheetView>
  </sheetViews>
  <sheetFormatPr defaultRowHeight="12.75" x14ac:dyDescent="0.2"/>
  <cols>
    <col min="1" max="1" width="40.625" style="167" customWidth="1"/>
    <col min="2" max="2" width="9.625" style="167" customWidth="1"/>
    <col min="3" max="3" width="10.625" style="167" customWidth="1"/>
    <col min="4" max="4" width="10.25" style="167" customWidth="1"/>
    <col min="5" max="5" width="20.125" style="167" customWidth="1"/>
    <col min="6" max="6" width="12.625" style="167" bestFit="1" customWidth="1"/>
    <col min="7" max="16384" width="9" style="167"/>
  </cols>
  <sheetData>
    <row r="1" spans="1:5" s="14" customFormat="1" ht="35.25" customHeight="1" x14ac:dyDescent="0.25">
      <c r="A1" s="1530" t="s">
        <v>1601</v>
      </c>
      <c r="B1" s="1530"/>
      <c r="C1" s="1530"/>
      <c r="D1" s="1530"/>
      <c r="E1" s="1530"/>
    </row>
    <row r="2" spans="1:5" ht="15.75" x14ac:dyDescent="0.25">
      <c r="A2" s="425" t="s">
        <v>238</v>
      </c>
      <c r="B2" s="856"/>
      <c r="C2" s="856"/>
      <c r="D2" s="856"/>
      <c r="E2" s="856"/>
    </row>
    <row r="3" spans="1:5" ht="15.75" x14ac:dyDescent="0.25">
      <c r="A3" s="856" t="s">
        <v>752</v>
      </c>
      <c r="B3" s="856"/>
      <c r="C3" s="857">
        <f>'Phụ lục số 2'!K13</f>
        <v>3381485</v>
      </c>
      <c r="D3" s="856" t="s">
        <v>239</v>
      </c>
      <c r="E3" s="858"/>
    </row>
    <row r="4" spans="1:5" ht="15.75" x14ac:dyDescent="0.25">
      <c r="A4" s="859" t="s">
        <v>242</v>
      </c>
      <c r="B4" s="860"/>
      <c r="C4" s="861"/>
      <c r="D4" s="860"/>
      <c r="E4" s="860"/>
    </row>
    <row r="5" spans="1:5" ht="15.75" x14ac:dyDescent="0.25">
      <c r="A5" s="862" t="s">
        <v>613</v>
      </c>
      <c r="B5" s="860"/>
      <c r="C5" s="861">
        <f>'Phụ lục số 2'!K14</f>
        <v>1131485</v>
      </c>
      <c r="D5" s="860" t="s">
        <v>239</v>
      </c>
      <c r="E5" s="860"/>
    </row>
    <row r="6" spans="1:5" ht="15.75" x14ac:dyDescent="0.25">
      <c r="A6" s="862" t="s">
        <v>361</v>
      </c>
      <c r="B6" s="856"/>
      <c r="C6" s="861">
        <f>'Phụ lục số 2'!K15</f>
        <v>750000</v>
      </c>
      <c r="D6" s="860" t="s">
        <v>239</v>
      </c>
      <c r="E6" s="856"/>
    </row>
    <row r="7" spans="1:5" ht="15.75" x14ac:dyDescent="0.25">
      <c r="A7" s="862" t="s">
        <v>614</v>
      </c>
      <c r="B7" s="856"/>
      <c r="C7" s="861">
        <f>'Phụ lục số 2'!K16</f>
        <v>1500000</v>
      </c>
      <c r="D7" s="860" t="s">
        <v>239</v>
      </c>
      <c r="E7" s="856"/>
    </row>
    <row r="8" spans="1:5" ht="15.75" x14ac:dyDescent="0.25">
      <c r="A8" s="863" t="s">
        <v>1679</v>
      </c>
      <c r="B8" s="864"/>
      <c r="C8" s="1325">
        <f>'Phụ lục số 5-KQPB'!C11</f>
        <v>742000</v>
      </c>
      <c r="D8" s="864" t="s">
        <v>239</v>
      </c>
      <c r="E8" s="865"/>
    </row>
    <row r="9" spans="1:5" ht="15.75" x14ac:dyDescent="0.25">
      <c r="A9" s="863" t="s">
        <v>1680</v>
      </c>
      <c r="B9" s="864"/>
      <c r="C9" s="1325">
        <f>'Phụ lục số 5-KQPB'!C12</f>
        <v>8000</v>
      </c>
      <c r="D9" s="864" t="s">
        <v>239</v>
      </c>
      <c r="E9" s="864"/>
    </row>
    <row r="10" spans="1:5" ht="15.75" x14ac:dyDescent="0.25">
      <c r="A10" s="425" t="s">
        <v>618</v>
      </c>
      <c r="B10" s="856"/>
      <c r="C10" s="856"/>
      <c r="D10" s="856"/>
      <c r="E10" s="858"/>
    </row>
    <row r="11" spans="1:5" ht="15.75" x14ac:dyDescent="0.25">
      <c r="A11" s="860"/>
      <c r="B11" s="860"/>
      <c r="C11" s="860"/>
      <c r="D11" s="424" t="s">
        <v>516</v>
      </c>
      <c r="E11" s="423"/>
    </row>
    <row r="12" spans="1:5" ht="15.75" customHeight="1" x14ac:dyDescent="0.2">
      <c r="A12" s="1536" t="s">
        <v>240</v>
      </c>
      <c r="B12" s="1536" t="s">
        <v>1603</v>
      </c>
      <c r="C12" s="1536" t="s">
        <v>1434</v>
      </c>
      <c r="D12" s="1536"/>
      <c r="E12" s="1536" t="s">
        <v>707</v>
      </c>
    </row>
    <row r="13" spans="1:5" ht="31.5" x14ac:dyDescent="0.2">
      <c r="A13" s="1536"/>
      <c r="B13" s="1536"/>
      <c r="C13" s="1343" t="s">
        <v>728</v>
      </c>
      <c r="D13" s="1343" t="s">
        <v>727</v>
      </c>
      <c r="E13" s="1536"/>
    </row>
    <row r="14" spans="1:5" ht="15.75" x14ac:dyDescent="0.25">
      <c r="A14" s="866" t="s">
        <v>241</v>
      </c>
      <c r="B14" s="867">
        <f>SUM(B16,B19,B24,B27,B30)</f>
        <v>445418.00400000002</v>
      </c>
      <c r="C14" s="867">
        <f>SUM(C16,C19,C24,C27,C30)</f>
        <v>61200</v>
      </c>
      <c r="D14" s="867">
        <f>SUM(D16,D19,D24,D27,D30)</f>
        <v>303424.33333333331</v>
      </c>
      <c r="E14" s="867"/>
    </row>
    <row r="15" spans="1:5" ht="15.75" x14ac:dyDescent="0.25">
      <c r="A15" s="868" t="s">
        <v>242</v>
      </c>
      <c r="B15" s="869"/>
      <c r="C15" s="869"/>
      <c r="D15" s="869"/>
      <c r="E15" s="869"/>
    </row>
    <row r="16" spans="1:5" ht="15.75" x14ac:dyDescent="0.25">
      <c r="A16" s="868" t="s">
        <v>243</v>
      </c>
      <c r="B16" s="869">
        <f>B18</f>
        <v>0</v>
      </c>
      <c r="C16" s="869">
        <f>C18</f>
        <v>0</v>
      </c>
      <c r="D16" s="869">
        <f>D18</f>
        <v>0</v>
      </c>
      <c r="E16" s="869"/>
    </row>
    <row r="17" spans="1:5" ht="15.75" x14ac:dyDescent="0.25">
      <c r="A17" s="870" t="s">
        <v>311</v>
      </c>
      <c r="B17" s="871"/>
      <c r="C17" s="871"/>
      <c r="D17" s="871"/>
      <c r="E17" s="871"/>
    </row>
    <row r="18" spans="1:5" ht="47.25" x14ac:dyDescent="0.2">
      <c r="A18" s="872" t="s">
        <v>615</v>
      </c>
      <c r="B18" s="873">
        <f>0</f>
        <v>0</v>
      </c>
      <c r="C18" s="873">
        <v>0</v>
      </c>
      <c r="D18" s="873">
        <f>0</f>
        <v>0</v>
      </c>
      <c r="E18" s="873"/>
    </row>
    <row r="19" spans="1:5" ht="15.75" x14ac:dyDescent="0.25">
      <c r="A19" s="868" t="s">
        <v>244</v>
      </c>
      <c r="B19" s="869">
        <f>SUM(B21:B23)</f>
        <v>417247.00400000002</v>
      </c>
      <c r="C19" s="869">
        <f>SUM(C21:C23)</f>
        <v>0</v>
      </c>
      <c r="D19" s="869">
        <f>SUM(D21:D23)</f>
        <v>303424.33333333331</v>
      </c>
      <c r="E19" s="869"/>
    </row>
    <row r="20" spans="1:5" ht="15.75" x14ac:dyDescent="0.25">
      <c r="A20" s="870" t="s">
        <v>242</v>
      </c>
      <c r="B20" s="871"/>
      <c r="C20" s="871"/>
      <c r="D20" s="871"/>
      <c r="E20" s="871"/>
    </row>
    <row r="21" spans="1:5" ht="15.75" x14ac:dyDescent="0.25">
      <c r="A21" s="875" t="s">
        <v>245</v>
      </c>
      <c r="B21" s="855">
        <f>290208.5+85000-92708-103437-84167-60104.5-28542</f>
        <v>6250</v>
      </c>
      <c r="C21" s="855">
        <v>0</v>
      </c>
      <c r="D21" s="855">
        <v>6250</v>
      </c>
      <c r="E21" s="855" t="s">
        <v>729</v>
      </c>
    </row>
    <row r="22" spans="1:5" ht="15.75" x14ac:dyDescent="0.25">
      <c r="A22" s="875" t="s">
        <v>246</v>
      </c>
      <c r="B22" s="855">
        <f>282048-51285</f>
        <v>230763</v>
      </c>
      <c r="C22" s="855">
        <v>0</v>
      </c>
      <c r="D22" s="855">
        <f>218680+11708+375</f>
        <v>230763</v>
      </c>
      <c r="E22" s="855" t="s">
        <v>729</v>
      </c>
    </row>
    <row r="23" spans="1:5" ht="15.75" x14ac:dyDescent="0.25">
      <c r="A23" s="875" t="s">
        <v>247</v>
      </c>
      <c r="B23" s="855">
        <f>379468-66411.332-66411.332-66411.332</f>
        <v>180234.00400000002</v>
      </c>
      <c r="C23" s="855">
        <v>0</v>
      </c>
      <c r="D23" s="855">
        <v>66411.333333333328</v>
      </c>
      <c r="E23" s="855" t="s">
        <v>729</v>
      </c>
    </row>
    <row r="24" spans="1:5" ht="15.75" x14ac:dyDescent="0.25">
      <c r="A24" s="876" t="s">
        <v>616</v>
      </c>
      <c r="B24" s="869">
        <f>SUM(B26)</f>
        <v>28171</v>
      </c>
      <c r="C24" s="869">
        <f>SUM(C26)</f>
        <v>61200</v>
      </c>
      <c r="D24" s="869">
        <f>SUM(D26)</f>
        <v>0</v>
      </c>
      <c r="E24" s="869"/>
    </row>
    <row r="25" spans="1:5" ht="15.75" x14ac:dyDescent="0.25">
      <c r="A25" s="870" t="s">
        <v>311</v>
      </c>
      <c r="B25" s="871"/>
      <c r="C25" s="871"/>
      <c r="D25" s="871"/>
      <c r="E25" s="871"/>
    </row>
    <row r="26" spans="1:5" ht="47.25" x14ac:dyDescent="0.2">
      <c r="A26" s="872" t="s">
        <v>615</v>
      </c>
      <c r="B26" s="873">
        <f>6000+22171</f>
        <v>28171</v>
      </c>
      <c r="C26" s="873">
        <f>'Phụ lục số 1'!N63</f>
        <v>61200</v>
      </c>
      <c r="D26" s="873">
        <f>0</f>
        <v>0</v>
      </c>
      <c r="E26" s="873"/>
    </row>
    <row r="27" spans="1:5" ht="15.75" x14ac:dyDescent="0.25">
      <c r="A27" s="868" t="s">
        <v>276</v>
      </c>
      <c r="B27" s="869">
        <f>B29</f>
        <v>0</v>
      </c>
      <c r="C27" s="869">
        <f>C29</f>
        <v>0</v>
      </c>
      <c r="D27" s="869">
        <f>D29</f>
        <v>0</v>
      </c>
      <c r="E27" s="869"/>
    </row>
    <row r="28" spans="1:5" ht="15.75" x14ac:dyDescent="0.25">
      <c r="A28" s="870" t="s">
        <v>311</v>
      </c>
      <c r="B28" s="871"/>
      <c r="C28" s="871"/>
      <c r="D28" s="871"/>
      <c r="E28" s="871"/>
    </row>
    <row r="29" spans="1:5" ht="47.25" x14ac:dyDescent="0.2">
      <c r="A29" s="872" t="s">
        <v>615</v>
      </c>
      <c r="B29" s="873">
        <f>0</f>
        <v>0</v>
      </c>
      <c r="C29" s="873">
        <v>0</v>
      </c>
      <c r="D29" s="873">
        <f>0</f>
        <v>0</v>
      </c>
      <c r="E29" s="873"/>
    </row>
    <row r="30" spans="1:5" ht="15.75" x14ac:dyDescent="0.25">
      <c r="A30" s="877" t="s">
        <v>617</v>
      </c>
      <c r="B30" s="878">
        <v>0</v>
      </c>
      <c r="C30" s="878">
        <v>0</v>
      </c>
      <c r="D30" s="878">
        <v>0</v>
      </c>
      <c r="E30" s="878"/>
    </row>
    <row r="34" spans="5:6" x14ac:dyDescent="0.2">
      <c r="E34" s="839"/>
      <c r="F34" s="840"/>
    </row>
    <row r="35" spans="5:6" x14ac:dyDescent="0.2">
      <c r="E35" s="839"/>
    </row>
    <row r="36" spans="5:6" x14ac:dyDescent="0.2">
      <c r="E36" s="839"/>
    </row>
    <row r="37" spans="5:6" x14ac:dyDescent="0.2">
      <c r="F37" s="838"/>
    </row>
    <row r="38" spans="5:6" x14ac:dyDescent="0.2">
      <c r="F38" s="838"/>
    </row>
  </sheetData>
  <mergeCells count="5">
    <mergeCell ref="A1:E1"/>
    <mergeCell ref="A12:A13"/>
    <mergeCell ref="B12:B13"/>
    <mergeCell ref="C12:D12"/>
    <mergeCell ref="E12:E13"/>
  </mergeCells>
  <printOptions horizontalCentered="1"/>
  <pageMargins left="0" right="0" top="0.59055118110236227" bottom="0.59055118110236227" header="0.19685039370078741" footer="0.19685039370078741"/>
  <pageSetup paperSize="9" orientation="portrait" r:id="rId1"/>
  <headerFooter alignWithMargins="0">
    <oddHeader>&amp;R&amp;A</oddHeader>
  </headerFooter>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2:T27"/>
  <sheetViews>
    <sheetView showZeros="0" workbookViewId="0">
      <pane xSplit="5" ySplit="7" topLeftCell="F8" activePane="bottomRight" state="frozen"/>
      <selection activeCell="E7" sqref="E7"/>
      <selection pane="topRight" activeCell="E7" sqref="E7"/>
      <selection pane="bottomLeft" activeCell="E7" sqref="E7"/>
      <selection pane="bottomRight" activeCell="F8" sqref="F8"/>
    </sheetView>
  </sheetViews>
  <sheetFormatPr defaultRowHeight="12.75" x14ac:dyDescent="0.2"/>
  <cols>
    <col min="1" max="1" width="4.5" style="423" bestFit="1" customWidth="1"/>
    <col min="2" max="2" width="48.625" style="423" customWidth="1"/>
    <col min="3" max="3" width="13.75" style="423" customWidth="1"/>
    <col min="4" max="4" width="11" style="423" customWidth="1"/>
    <col min="5" max="5" width="11.5" style="423" customWidth="1"/>
    <col min="6" max="6" width="14.5" style="423" customWidth="1"/>
    <col min="7" max="7" width="10.25" style="423" customWidth="1"/>
    <col min="8" max="8" width="10.875" style="423" customWidth="1"/>
    <col min="9" max="9" width="12.625" style="423" customWidth="1"/>
    <col min="10" max="10" width="11.875" style="423" customWidth="1"/>
    <col min="11" max="11" width="11.625" style="423" customWidth="1"/>
    <col min="12" max="12" width="10.375" style="423" customWidth="1"/>
    <col min="13" max="13" width="12.75" style="423" customWidth="1"/>
    <col min="14" max="14" width="12.375" style="423" customWidth="1"/>
    <col min="15" max="15" width="10.625" style="423" customWidth="1"/>
    <col min="16" max="17" width="12.5" style="423" customWidth="1"/>
    <col min="18" max="18" width="12" style="423" customWidth="1"/>
    <col min="19" max="19" width="10.5" style="423" customWidth="1"/>
    <col min="20" max="20" width="12.625" style="423" customWidth="1"/>
    <col min="21" max="16384" width="9" style="423"/>
  </cols>
  <sheetData>
    <row r="2" spans="1:20" ht="33.75" customHeight="1" x14ac:dyDescent="0.2">
      <c r="A2" s="1562" t="s">
        <v>1417</v>
      </c>
      <c r="B2" s="1562"/>
      <c r="C2" s="1562"/>
      <c r="D2" s="1562"/>
      <c r="E2" s="1562"/>
    </row>
    <row r="4" spans="1:20" ht="15.75" x14ac:dyDescent="0.25">
      <c r="C4" s="424" t="s">
        <v>516</v>
      </c>
    </row>
    <row r="5" spans="1:20" ht="27.75" customHeight="1" x14ac:dyDescent="0.2">
      <c r="A5" s="1563" t="s">
        <v>519</v>
      </c>
      <c r="B5" s="1563" t="s">
        <v>392</v>
      </c>
      <c r="C5" s="1559" t="s">
        <v>1418</v>
      </c>
      <c r="D5" s="1560"/>
      <c r="E5" s="1561"/>
      <c r="F5" s="1559" t="s">
        <v>1419</v>
      </c>
      <c r="G5" s="1560"/>
      <c r="H5" s="1561"/>
      <c r="I5" s="1559" t="s">
        <v>1420</v>
      </c>
      <c r="J5" s="1560"/>
      <c r="K5" s="1561"/>
      <c r="L5" s="1559" t="s">
        <v>1421</v>
      </c>
      <c r="M5" s="1560"/>
      <c r="N5" s="1561"/>
      <c r="O5" s="1559" t="s">
        <v>1422</v>
      </c>
      <c r="P5" s="1560"/>
      <c r="Q5" s="1561"/>
      <c r="R5" s="1559" t="s">
        <v>1423</v>
      </c>
      <c r="S5" s="1560"/>
      <c r="T5" s="1561"/>
    </row>
    <row r="6" spans="1:20" ht="33.75" customHeight="1" x14ac:dyDescent="0.2">
      <c r="A6" s="1564"/>
      <c r="B6" s="1564"/>
      <c r="C6" s="284" t="s">
        <v>404</v>
      </c>
      <c r="D6" s="284" t="s">
        <v>456</v>
      </c>
      <c r="E6" s="284" t="s">
        <v>457</v>
      </c>
      <c r="F6" s="284" t="s">
        <v>404</v>
      </c>
      <c r="G6" s="284" t="s">
        <v>456</v>
      </c>
      <c r="H6" s="284" t="s">
        <v>457</v>
      </c>
      <c r="I6" s="284" t="s">
        <v>404</v>
      </c>
      <c r="J6" s="284" t="s">
        <v>456</v>
      </c>
      <c r="K6" s="284" t="s">
        <v>457</v>
      </c>
      <c r="L6" s="284" t="s">
        <v>404</v>
      </c>
      <c r="M6" s="284" t="s">
        <v>456</v>
      </c>
      <c r="N6" s="284" t="s">
        <v>457</v>
      </c>
      <c r="O6" s="284" t="s">
        <v>404</v>
      </c>
      <c r="P6" s="284" t="s">
        <v>456</v>
      </c>
      <c r="Q6" s="284" t="s">
        <v>457</v>
      </c>
      <c r="R6" s="284" t="s">
        <v>404</v>
      </c>
      <c r="S6" s="284" t="s">
        <v>456</v>
      </c>
      <c r="T6" s="284" t="s">
        <v>457</v>
      </c>
    </row>
    <row r="7" spans="1:20" s="425" customFormat="1" ht="30" customHeight="1" x14ac:dyDescent="0.25">
      <c r="A7" s="285"/>
      <c r="B7" s="286" t="s">
        <v>990</v>
      </c>
      <c r="C7" s="368">
        <f>SUM(C8,C13,C18,C19,C20,C21)</f>
        <v>509738</v>
      </c>
      <c r="D7" s="368">
        <f t="shared" ref="D7:T7" si="0">SUM(D8,D13,D18,D19,D20,D21)</f>
        <v>116023</v>
      </c>
      <c r="E7" s="368">
        <f t="shared" si="0"/>
        <v>393715</v>
      </c>
      <c r="F7" s="368">
        <f t="shared" si="0"/>
        <v>1310317</v>
      </c>
      <c r="G7" s="368">
        <f t="shared" si="0"/>
        <v>340017</v>
      </c>
      <c r="H7" s="368">
        <f t="shared" si="0"/>
        <v>970300</v>
      </c>
      <c r="I7" s="368">
        <f t="shared" si="0"/>
        <v>2051972</v>
      </c>
      <c r="J7" s="368">
        <f t="shared" si="0"/>
        <v>655017</v>
      </c>
      <c r="K7" s="368">
        <f t="shared" si="0"/>
        <v>1396955</v>
      </c>
      <c r="L7" s="368">
        <f t="shared" si="0"/>
        <v>2679162</v>
      </c>
      <c r="M7" s="368">
        <f t="shared" si="0"/>
        <v>820707</v>
      </c>
      <c r="N7" s="368">
        <f t="shared" si="0"/>
        <v>1858455</v>
      </c>
      <c r="O7" s="368">
        <f t="shared" si="0"/>
        <v>3355722</v>
      </c>
      <c r="P7" s="368">
        <f t="shared" si="0"/>
        <v>997267</v>
      </c>
      <c r="Q7" s="368">
        <f t="shared" si="0"/>
        <v>2358455</v>
      </c>
      <c r="R7" s="368" t="e">
        <f t="shared" si="0"/>
        <v>#REF!</v>
      </c>
      <c r="S7" s="368" t="e">
        <f t="shared" si="0"/>
        <v>#REF!</v>
      </c>
      <c r="T7" s="368" t="e">
        <f t="shared" si="0"/>
        <v>#REF!</v>
      </c>
    </row>
    <row r="8" spans="1:20" s="426" customFormat="1" ht="30" customHeight="1" x14ac:dyDescent="0.2">
      <c r="A8" s="366" t="s">
        <v>409</v>
      </c>
      <c r="B8" s="367" t="s">
        <v>393</v>
      </c>
      <c r="C8" s="369">
        <f>SUM(C9:C12)</f>
        <v>190000</v>
      </c>
      <c r="D8" s="369">
        <f t="shared" ref="D8:T8" si="1">SUM(D9:D12)</f>
        <v>40000</v>
      </c>
      <c r="E8" s="369">
        <f t="shared" si="1"/>
        <v>150000</v>
      </c>
      <c r="F8" s="369">
        <f t="shared" si="1"/>
        <v>353515</v>
      </c>
      <c r="G8" s="369">
        <f t="shared" si="1"/>
        <v>119761</v>
      </c>
      <c r="H8" s="369">
        <f t="shared" si="1"/>
        <v>233754</v>
      </c>
      <c r="I8" s="369">
        <f t="shared" si="1"/>
        <v>464515</v>
      </c>
      <c r="J8" s="369">
        <f t="shared" si="1"/>
        <v>196761</v>
      </c>
      <c r="K8" s="369">
        <f t="shared" si="1"/>
        <v>267754</v>
      </c>
      <c r="L8" s="369">
        <f t="shared" si="1"/>
        <v>527705</v>
      </c>
      <c r="M8" s="369">
        <f t="shared" si="1"/>
        <v>223951</v>
      </c>
      <c r="N8" s="369">
        <f t="shared" si="1"/>
        <v>303754</v>
      </c>
      <c r="O8" s="369">
        <f t="shared" si="1"/>
        <v>595515</v>
      </c>
      <c r="P8" s="369">
        <f t="shared" si="1"/>
        <v>252761</v>
      </c>
      <c r="Q8" s="369">
        <f t="shared" si="1"/>
        <v>342754</v>
      </c>
      <c r="R8" s="369" t="e">
        <f t="shared" si="1"/>
        <v>#REF!</v>
      </c>
      <c r="S8" s="369" t="e">
        <f t="shared" si="1"/>
        <v>#REF!</v>
      </c>
      <c r="T8" s="369" t="e">
        <f t="shared" si="1"/>
        <v>#REF!</v>
      </c>
    </row>
    <row r="9" spans="1:20" ht="30" customHeight="1" x14ac:dyDescent="0.2">
      <c r="A9" s="290">
        <v>1</v>
      </c>
      <c r="B9" s="287" t="s">
        <v>390</v>
      </c>
      <c r="C9" s="352">
        <f>D9+E9</f>
        <v>0</v>
      </c>
      <c r="D9" s="352">
        <f>'Phụ lục số 3-thu bs'!J21-'Phụ lục số 3-thu bs'!D21</f>
        <v>0</v>
      </c>
      <c r="E9" s="352">
        <f>'Phụ lục số 3-thu bs'!K21-'Phụ lục số 3-thu bs'!E21</f>
        <v>0</v>
      </c>
      <c r="F9" s="352">
        <f>G9+H9</f>
        <v>63515</v>
      </c>
      <c r="G9" s="352">
        <f>'Phụ lục số 3-thu bs'!M21-'Phụ lục số 3-thu bs'!D21</f>
        <v>29761</v>
      </c>
      <c r="H9" s="352">
        <f>'Phụ lục số 3-thu bs'!N21-'Phụ lục số 3-thu bs'!E21</f>
        <v>33754</v>
      </c>
      <c r="I9" s="352">
        <f>J9+K9</f>
        <v>124515</v>
      </c>
      <c r="J9" s="352">
        <f>'Phụ lục số 3-thu bs'!P21-'Phụ lục số 3-thu bs'!D21</f>
        <v>56761</v>
      </c>
      <c r="K9" s="352">
        <f>'Phụ lục số 3-thu bs'!Q21-'Phụ lục số 3-thu bs'!E21</f>
        <v>67754</v>
      </c>
      <c r="L9" s="352">
        <f>M9+N9</f>
        <v>187705</v>
      </c>
      <c r="M9" s="352">
        <f>'Phụ lục số 3-thu bs'!S21-'Phụ lục số 3-thu bs'!D21</f>
        <v>83951</v>
      </c>
      <c r="N9" s="352">
        <f>'Phụ lục số 3-thu bs'!T21-'Phụ lục số 3-thu bs'!E21</f>
        <v>103754</v>
      </c>
      <c r="O9" s="352">
        <f>P9+Q9</f>
        <v>255515</v>
      </c>
      <c r="P9" s="352">
        <f>'Phụ lục số 3-thu bs'!V21-'Phụ lục số 3-thu bs'!D21</f>
        <v>112761</v>
      </c>
      <c r="Q9" s="352">
        <f>'Phụ lục số 3-thu bs'!W21-'Phụ lục số 3-thu bs'!E21</f>
        <v>142754</v>
      </c>
      <c r="R9" s="352" t="e">
        <f>S9+T9</f>
        <v>#REF!</v>
      </c>
      <c r="S9" s="352" t="e">
        <f>'Phụ lục số 3-thu bs'!#REF!-'Phụ lục số 3-thu bs'!D21</f>
        <v>#REF!</v>
      </c>
      <c r="T9" s="352" t="e">
        <f>'Phụ lục số 3-thu bs'!#REF!-'Phụ lục số 3-thu bs'!E21</f>
        <v>#REF!</v>
      </c>
    </row>
    <row r="10" spans="1:20" ht="30" customHeight="1" x14ac:dyDescent="0.2">
      <c r="A10" s="290">
        <v>2</v>
      </c>
      <c r="B10" s="287" t="s">
        <v>479</v>
      </c>
      <c r="C10" s="352">
        <f>D10+E10</f>
        <v>150000</v>
      </c>
      <c r="D10" s="352">
        <f>'Phụ lục số 3-thu bs'!J22-'Phụ lục số 3-thu bs'!D22</f>
        <v>0</v>
      </c>
      <c r="E10" s="352">
        <f>'Phụ lục số 3-thu bs'!K22-'Phụ lục số 3-thu bs'!E22</f>
        <v>150000</v>
      </c>
      <c r="F10" s="352">
        <f>G10+H10</f>
        <v>200000</v>
      </c>
      <c r="G10" s="352">
        <f>'Phụ lục số 3-thu bs'!M22-'Phụ lục số 3-thu bs'!D22</f>
        <v>0</v>
      </c>
      <c r="H10" s="352">
        <f>'Phụ lục số 3-thu bs'!N22-'Phụ lục số 3-thu bs'!E22</f>
        <v>200000</v>
      </c>
      <c r="I10" s="352">
        <f>J10+K10</f>
        <v>200000</v>
      </c>
      <c r="J10" s="352">
        <f>'Phụ lục số 3-thu bs'!P22-'Phụ lục số 3-thu bs'!D22</f>
        <v>0</v>
      </c>
      <c r="K10" s="352">
        <f>'Phụ lục số 3-thu bs'!Q22-'Phụ lục số 3-thu bs'!E22</f>
        <v>200000</v>
      </c>
      <c r="L10" s="352">
        <f>M10+N10</f>
        <v>200000</v>
      </c>
      <c r="M10" s="352">
        <f>'Phụ lục số 3-thu bs'!S22-'Phụ lục số 3-thu bs'!D22</f>
        <v>0</v>
      </c>
      <c r="N10" s="352">
        <f>'Phụ lục số 3-thu bs'!T22-'Phụ lục số 3-thu bs'!E22</f>
        <v>200000</v>
      </c>
      <c r="O10" s="352">
        <f>P10+Q10</f>
        <v>200000</v>
      </c>
      <c r="P10" s="352">
        <f>'Phụ lục số 3-thu bs'!V22-'Phụ lục số 3-thu bs'!D22</f>
        <v>0</v>
      </c>
      <c r="Q10" s="352">
        <f>'Phụ lục số 3-thu bs'!W22-'Phụ lục số 3-thu bs'!E22</f>
        <v>200000</v>
      </c>
      <c r="R10" s="352" t="e">
        <f>S10+T10</f>
        <v>#REF!</v>
      </c>
      <c r="S10" s="352" t="e">
        <f>'Phụ lục số 3-thu bs'!#REF!-'Phụ lục số 3-thu bs'!D22</f>
        <v>#REF!</v>
      </c>
      <c r="T10" s="352" t="e">
        <f>'Phụ lục số 3-thu bs'!#REF!-'Phụ lục số 3-thu bs'!E22</f>
        <v>#REF!</v>
      </c>
    </row>
    <row r="11" spans="1:20" ht="30" customHeight="1" x14ac:dyDescent="0.2">
      <c r="A11" s="290">
        <v>3</v>
      </c>
      <c r="B11" s="287" t="s">
        <v>30</v>
      </c>
      <c r="C11" s="352">
        <f>D11+E11</f>
        <v>40000</v>
      </c>
      <c r="D11" s="352">
        <f>'Phụ lục số 3-thu bs'!J23-'Phụ lục số 3-thu bs'!D23</f>
        <v>40000</v>
      </c>
      <c r="E11" s="352">
        <f>'Phụ lục số 3-thu bs'!K23-'Phụ lục số 3-thu bs'!E23</f>
        <v>0</v>
      </c>
      <c r="F11" s="352">
        <f>G11+H11</f>
        <v>90000</v>
      </c>
      <c r="G11" s="352">
        <f>'Phụ lục số 3-thu bs'!M23-'Phụ lục số 3-thu bs'!D23</f>
        <v>90000</v>
      </c>
      <c r="H11" s="352">
        <f>'Phụ lục số 3-thu bs'!N23-'Phụ lục số 3-thu bs'!E23</f>
        <v>0</v>
      </c>
      <c r="I11" s="352">
        <f>J11+K11</f>
        <v>140000</v>
      </c>
      <c r="J11" s="352">
        <f>'Phụ lục số 3-thu bs'!P23-'Phụ lục số 3-thu bs'!D23</f>
        <v>140000</v>
      </c>
      <c r="K11" s="352">
        <f>'Phụ lục số 3-thu bs'!Q23-'Phụ lục số 3-thu bs'!E23</f>
        <v>0</v>
      </c>
      <c r="L11" s="352">
        <f>M11+N11</f>
        <v>140000</v>
      </c>
      <c r="M11" s="352">
        <f>'Phụ lục số 3-thu bs'!S23-'Phụ lục số 3-thu bs'!D23</f>
        <v>140000</v>
      </c>
      <c r="N11" s="352">
        <f>'Phụ lục số 3-thu bs'!T23-'Phụ lục số 3-thu bs'!E23</f>
        <v>0</v>
      </c>
      <c r="O11" s="352">
        <f>P11+Q11</f>
        <v>140000</v>
      </c>
      <c r="P11" s="352">
        <f>'Phụ lục số 3-thu bs'!V23-'Phụ lục số 3-thu bs'!D23</f>
        <v>140000</v>
      </c>
      <c r="Q11" s="352">
        <f>'Phụ lục số 3-thu bs'!W23-'Phụ lục số 3-thu bs'!E23</f>
        <v>0</v>
      </c>
      <c r="R11" s="352" t="e">
        <f>S11+T11</f>
        <v>#REF!</v>
      </c>
      <c r="S11" s="352" t="e">
        <f>'Phụ lục số 3-thu bs'!#REF!-'Phụ lục số 3-thu bs'!D23</f>
        <v>#REF!</v>
      </c>
      <c r="T11" s="352" t="e">
        <f>'Phụ lục số 3-thu bs'!#REF!-'Phụ lục số 3-thu bs'!E23</f>
        <v>#REF!</v>
      </c>
    </row>
    <row r="12" spans="1:20" ht="30" customHeight="1" x14ac:dyDescent="0.2">
      <c r="A12" s="290">
        <v>3</v>
      </c>
      <c r="B12" s="287" t="s">
        <v>630</v>
      </c>
      <c r="C12" s="352">
        <f>D12+E12</f>
        <v>0</v>
      </c>
      <c r="D12" s="352">
        <f>'Phụ lục số 3-thu bs'!J24-'Phụ lục số 3-thu bs'!D24</f>
        <v>0</v>
      </c>
      <c r="E12" s="352">
        <f>'Phụ lục số 3-thu bs'!K24-'Phụ lục số 3-thu bs'!E24</f>
        <v>0</v>
      </c>
      <c r="F12" s="352">
        <f>G12+H12</f>
        <v>0</v>
      </c>
      <c r="G12" s="352">
        <f>'Phụ lục số 3-thu bs'!M24-'Phụ lục số 3-thu bs'!D24</f>
        <v>0</v>
      </c>
      <c r="H12" s="352">
        <f>'Phụ lục số 3-thu bs'!N24-'Phụ lục số 3-thu bs'!E24</f>
        <v>0</v>
      </c>
      <c r="I12" s="352">
        <f>J12+K12</f>
        <v>0</v>
      </c>
      <c r="J12" s="352">
        <f>'Phụ lục số 3-thu bs'!P24-'Phụ lục số 3-thu bs'!D24</f>
        <v>0</v>
      </c>
      <c r="K12" s="352">
        <f>'Phụ lục số 3-thu bs'!Q24-'Phụ lục số 3-thu bs'!E24</f>
        <v>0</v>
      </c>
      <c r="L12" s="352">
        <f>M12+N12</f>
        <v>0</v>
      </c>
      <c r="M12" s="352">
        <f>'Phụ lục số 3-thu bs'!S24-'Phụ lục số 3-thu bs'!D24</f>
        <v>0</v>
      </c>
      <c r="N12" s="352">
        <f>'Phụ lục số 3-thu bs'!T24-'Phụ lục số 3-thu bs'!E24</f>
        <v>0</v>
      </c>
      <c r="O12" s="352">
        <f>P12+Q12</f>
        <v>0</v>
      </c>
      <c r="P12" s="352">
        <f>'Phụ lục số 3-thu bs'!V24-'Phụ lục số 3-thu bs'!D24</f>
        <v>0</v>
      </c>
      <c r="Q12" s="352">
        <f>'Phụ lục số 3-thu bs'!W24-'Phụ lục số 3-thu bs'!E24</f>
        <v>0</v>
      </c>
      <c r="R12" s="352" t="e">
        <f>S12+T12</f>
        <v>#REF!</v>
      </c>
      <c r="S12" s="352" t="e">
        <f>'Phụ lục số 3-thu bs'!#REF!-'Phụ lục số 3-thu bs'!D24</f>
        <v>#REF!</v>
      </c>
      <c r="T12" s="352" t="e">
        <f>'Phụ lục số 3-thu bs'!#REF!-'Phụ lục số 3-thu bs'!E24</f>
        <v>#REF!</v>
      </c>
    </row>
    <row r="13" spans="1:20" s="426" customFormat="1" ht="30" customHeight="1" x14ac:dyDescent="0.2">
      <c r="A13" s="366" t="s">
        <v>421</v>
      </c>
      <c r="B13" s="367" t="s">
        <v>991</v>
      </c>
      <c r="C13" s="369">
        <f>SUM(C14:C17)</f>
        <v>91978</v>
      </c>
      <c r="D13" s="369">
        <f t="shared" ref="D13:T13" si="2">SUM(D14:D17)</f>
        <v>76023</v>
      </c>
      <c r="E13" s="369">
        <f t="shared" si="2"/>
        <v>15955</v>
      </c>
      <c r="F13" s="369">
        <f t="shared" si="2"/>
        <v>601157</v>
      </c>
      <c r="G13" s="369">
        <f t="shared" si="2"/>
        <v>214294</v>
      </c>
      <c r="H13" s="369">
        <f t="shared" si="2"/>
        <v>386863</v>
      </c>
      <c r="I13" s="369">
        <f t="shared" si="2"/>
        <v>1099157</v>
      </c>
      <c r="J13" s="369">
        <f t="shared" si="2"/>
        <v>336294</v>
      </c>
      <c r="K13" s="369">
        <f t="shared" si="2"/>
        <v>762863</v>
      </c>
      <c r="L13" s="369">
        <f t="shared" si="2"/>
        <v>1626157</v>
      </c>
      <c r="M13" s="369">
        <f t="shared" si="2"/>
        <v>462294</v>
      </c>
      <c r="N13" s="369">
        <f t="shared" si="2"/>
        <v>1163863</v>
      </c>
      <c r="O13" s="369">
        <f t="shared" si="2"/>
        <v>2189157</v>
      </c>
      <c r="P13" s="369">
        <f t="shared" si="2"/>
        <v>593294</v>
      </c>
      <c r="Q13" s="369">
        <f t="shared" si="2"/>
        <v>1595863</v>
      </c>
      <c r="R13" s="369" t="e">
        <f t="shared" si="2"/>
        <v>#REF!</v>
      </c>
      <c r="S13" s="369" t="e">
        <f t="shared" si="2"/>
        <v>#REF!</v>
      </c>
      <c r="T13" s="369" t="e">
        <f t="shared" si="2"/>
        <v>#REF!</v>
      </c>
    </row>
    <row r="14" spans="1:20" ht="30" customHeight="1" x14ac:dyDescent="0.2">
      <c r="A14" s="290">
        <v>1</v>
      </c>
      <c r="B14" s="287" t="s">
        <v>394</v>
      </c>
      <c r="C14" s="352">
        <f>D14+E14</f>
        <v>68</v>
      </c>
      <c r="D14" s="352">
        <f>'Phụ lục số 3-thu bs'!J26-'Phụ lục số 3-thu bs'!D26</f>
        <v>35068</v>
      </c>
      <c r="E14" s="352">
        <f>'Phụ lục số 3-thu bs'!K26-'Phụ lục số 3-thu bs'!E26</f>
        <v>-35000</v>
      </c>
      <c r="F14" s="352">
        <f>G14+H14</f>
        <v>228877</v>
      </c>
      <c r="G14" s="352">
        <f>'Phụ lục số 3-thu bs'!M26-'Phụ lục số 3-thu bs'!D26</f>
        <v>72339</v>
      </c>
      <c r="H14" s="352">
        <f>'Phụ lục số 3-thu bs'!N26-'Phụ lục số 3-thu bs'!E26</f>
        <v>156538</v>
      </c>
      <c r="I14" s="352">
        <f>J14+K14</f>
        <v>455877</v>
      </c>
      <c r="J14" s="352">
        <f>'Phụ lục số 3-thu bs'!P26-'Phụ lục số 3-thu bs'!D26</f>
        <v>105339</v>
      </c>
      <c r="K14" s="352">
        <f>'Phụ lục số 3-thu bs'!Q26-'Phụ lục số 3-thu bs'!E26</f>
        <v>350538</v>
      </c>
      <c r="L14" s="352">
        <f>M14+N14</f>
        <v>696877</v>
      </c>
      <c r="M14" s="352">
        <f>'Phụ lục số 3-thu bs'!S26-'Phụ lục số 3-thu bs'!D26</f>
        <v>139339</v>
      </c>
      <c r="N14" s="352">
        <f>'Phụ lục số 3-thu bs'!T26-'Phụ lục số 3-thu bs'!E26</f>
        <v>557538</v>
      </c>
      <c r="O14" s="352">
        <f>P14+Q14</f>
        <v>955877</v>
      </c>
      <c r="P14" s="352">
        <f>'Phụ lục số 3-thu bs'!V26-'Phụ lục số 3-thu bs'!D26</f>
        <v>175339</v>
      </c>
      <c r="Q14" s="352">
        <f>'Phụ lục số 3-thu bs'!W26-'Phụ lục số 3-thu bs'!E26</f>
        <v>780538</v>
      </c>
      <c r="R14" s="352" t="e">
        <f>S14+T14</f>
        <v>#REF!</v>
      </c>
      <c r="S14" s="352" t="e">
        <f>'Phụ lục số 3-thu bs'!#REF!-'Phụ lục số 3-thu bs'!D26</f>
        <v>#REF!</v>
      </c>
      <c r="T14" s="352" t="e">
        <f>'Phụ lục số 3-thu bs'!#REF!-'Phụ lục số 3-thu bs'!E26</f>
        <v>#REF!</v>
      </c>
    </row>
    <row r="15" spans="1:20" ht="30" customHeight="1" x14ac:dyDescent="0.2">
      <c r="A15" s="290">
        <v>2</v>
      </c>
      <c r="B15" s="287" t="s">
        <v>528</v>
      </c>
      <c r="C15" s="352">
        <f t="shared" ref="C15:C21" si="3">D15+E15</f>
        <v>0</v>
      </c>
      <c r="D15" s="352">
        <f>'Phụ lục số 3-thu bs'!J27-'Phụ lục số 3-thu bs'!D27</f>
        <v>0</v>
      </c>
      <c r="E15" s="352">
        <f>'Phụ lục số 3-thu bs'!K27-'Phụ lục số 3-thu bs'!E27</f>
        <v>0</v>
      </c>
      <c r="F15" s="352">
        <f t="shared" ref="F15:F21" si="4">G15+H15</f>
        <v>1000</v>
      </c>
      <c r="G15" s="352">
        <f>'Phụ lục số 3-thu bs'!M27-'Phụ lục số 3-thu bs'!D27</f>
        <v>1000</v>
      </c>
      <c r="H15" s="352">
        <f>'Phụ lục số 3-thu bs'!N27-'Phụ lục số 3-thu bs'!E27</f>
        <v>0</v>
      </c>
      <c r="I15" s="352">
        <f t="shared" ref="I15:I21" si="5">J15+K15</f>
        <v>2000</v>
      </c>
      <c r="J15" s="352">
        <f>'Phụ lục số 3-thu bs'!P27-'Phụ lục số 3-thu bs'!D27</f>
        <v>2000</v>
      </c>
      <c r="K15" s="352">
        <f>'Phụ lục số 3-thu bs'!Q27-'Phụ lục số 3-thu bs'!E27</f>
        <v>0</v>
      </c>
      <c r="L15" s="352">
        <f t="shared" ref="L15:L21" si="6">M15+N15</f>
        <v>3000</v>
      </c>
      <c r="M15" s="352">
        <f>'Phụ lục số 3-thu bs'!S27-'Phụ lục số 3-thu bs'!D27</f>
        <v>3000</v>
      </c>
      <c r="N15" s="352">
        <f>'Phụ lục số 3-thu bs'!T27-'Phụ lục số 3-thu bs'!E27</f>
        <v>0</v>
      </c>
      <c r="O15" s="352">
        <f t="shared" ref="O15:O21" si="7">P15+Q15</f>
        <v>4000</v>
      </c>
      <c r="P15" s="352">
        <f>'Phụ lục số 3-thu bs'!V27-'Phụ lục số 3-thu bs'!D27</f>
        <v>4000</v>
      </c>
      <c r="Q15" s="352">
        <f>'Phụ lục số 3-thu bs'!W27-'Phụ lục số 3-thu bs'!E27</f>
        <v>0</v>
      </c>
      <c r="R15" s="352" t="e">
        <f t="shared" ref="R15:R21" si="8">S15+T15</f>
        <v>#REF!</v>
      </c>
      <c r="S15" s="352" t="e">
        <f>'Phụ lục số 3-thu bs'!#REF!-'Phụ lục số 3-thu bs'!D27</f>
        <v>#REF!</v>
      </c>
      <c r="T15" s="352" t="e">
        <f>'Phụ lục số 3-thu bs'!#REF!-'Phụ lục số 3-thu bs'!E27</f>
        <v>#REF!</v>
      </c>
    </row>
    <row r="16" spans="1:20" ht="30" customHeight="1" x14ac:dyDescent="0.2">
      <c r="A16" s="290">
        <v>3</v>
      </c>
      <c r="B16" s="287" t="s">
        <v>502</v>
      </c>
      <c r="C16" s="352">
        <f t="shared" si="3"/>
        <v>1</v>
      </c>
      <c r="D16" s="352">
        <f>'Phụ lục số 3-thu bs'!J28-'Phụ lục số 3-thu bs'!D28</f>
        <v>1</v>
      </c>
      <c r="E16" s="352">
        <f>'Phụ lục số 3-thu bs'!K28-'Phụ lục số 3-thu bs'!E28</f>
        <v>0</v>
      </c>
      <c r="F16" s="352">
        <f t="shared" si="4"/>
        <v>8531</v>
      </c>
      <c r="G16" s="352">
        <f>'Phụ lục số 3-thu bs'!M28-'Phụ lục số 3-thu bs'!D28</f>
        <v>3001</v>
      </c>
      <c r="H16" s="352">
        <f>'Phụ lục số 3-thu bs'!N28-'Phụ lục số 3-thu bs'!E28</f>
        <v>5530</v>
      </c>
      <c r="I16" s="352">
        <f t="shared" si="5"/>
        <v>16531</v>
      </c>
      <c r="J16" s="352">
        <f>'Phụ lục số 3-thu bs'!P28-'Phụ lục số 3-thu bs'!D28</f>
        <v>6001</v>
      </c>
      <c r="K16" s="352">
        <f>'Phụ lục số 3-thu bs'!Q28-'Phụ lục số 3-thu bs'!E28</f>
        <v>10530</v>
      </c>
      <c r="L16" s="352">
        <f t="shared" si="6"/>
        <v>25531</v>
      </c>
      <c r="M16" s="352">
        <f>'Phụ lục số 3-thu bs'!S28-'Phụ lục số 3-thu bs'!D28</f>
        <v>9001</v>
      </c>
      <c r="N16" s="352">
        <f>'Phụ lục số 3-thu bs'!T28-'Phụ lục số 3-thu bs'!E28</f>
        <v>16530</v>
      </c>
      <c r="O16" s="352">
        <f t="shared" si="7"/>
        <v>34531</v>
      </c>
      <c r="P16" s="352">
        <f>'Phụ lục số 3-thu bs'!V28-'Phụ lục số 3-thu bs'!D28</f>
        <v>12001</v>
      </c>
      <c r="Q16" s="352">
        <f>'Phụ lục số 3-thu bs'!W28-'Phụ lục số 3-thu bs'!E28</f>
        <v>22530</v>
      </c>
      <c r="R16" s="352" t="e">
        <f t="shared" si="8"/>
        <v>#REF!</v>
      </c>
      <c r="S16" s="352" t="e">
        <f>'Phụ lục số 3-thu bs'!#REF!-'Phụ lục số 3-thu bs'!D28</f>
        <v>#REF!</v>
      </c>
      <c r="T16" s="352" t="e">
        <f>'Phụ lục số 3-thu bs'!#REF!-'Phụ lục số 3-thu bs'!E28</f>
        <v>#REF!</v>
      </c>
    </row>
    <row r="17" spans="1:20" ht="30" customHeight="1" x14ac:dyDescent="0.2">
      <c r="A17" s="290">
        <v>4</v>
      </c>
      <c r="B17" s="287" t="s">
        <v>364</v>
      </c>
      <c r="C17" s="352">
        <f t="shared" si="3"/>
        <v>91909</v>
      </c>
      <c r="D17" s="352">
        <f>'Phụ lục số 3-thu bs'!J29-'Phụ lục số 3-thu bs'!D29</f>
        <v>40954</v>
      </c>
      <c r="E17" s="352">
        <f>'Phụ lục số 3-thu bs'!K29-'Phụ lục số 3-thu bs'!E29</f>
        <v>50955</v>
      </c>
      <c r="F17" s="352">
        <f t="shared" si="4"/>
        <v>362749</v>
      </c>
      <c r="G17" s="352">
        <f>'Phụ lục số 3-thu bs'!M29-'Phụ lục số 3-thu bs'!D29</f>
        <v>137954</v>
      </c>
      <c r="H17" s="352">
        <f>'Phụ lục số 3-thu bs'!N29-'Phụ lục số 3-thu bs'!E29</f>
        <v>224795</v>
      </c>
      <c r="I17" s="352">
        <f t="shared" si="5"/>
        <v>624749</v>
      </c>
      <c r="J17" s="352">
        <f>'Phụ lục số 3-thu bs'!P29-'Phụ lục số 3-thu bs'!D29</f>
        <v>222954</v>
      </c>
      <c r="K17" s="352">
        <f>'Phụ lục số 3-thu bs'!Q29-'Phụ lục số 3-thu bs'!E29</f>
        <v>401795</v>
      </c>
      <c r="L17" s="352">
        <f t="shared" si="6"/>
        <v>900749</v>
      </c>
      <c r="M17" s="352">
        <f>'Phụ lục số 3-thu bs'!S29-'Phụ lục số 3-thu bs'!D29</f>
        <v>310954</v>
      </c>
      <c r="N17" s="352">
        <f>'Phụ lục số 3-thu bs'!T29-'Phụ lục số 3-thu bs'!E29</f>
        <v>589795</v>
      </c>
      <c r="O17" s="352">
        <f t="shared" si="7"/>
        <v>1194749</v>
      </c>
      <c r="P17" s="352">
        <f>'Phụ lục số 3-thu bs'!V29-'Phụ lục số 3-thu bs'!D29</f>
        <v>401954</v>
      </c>
      <c r="Q17" s="352">
        <f>'Phụ lục số 3-thu bs'!W29-'Phụ lục số 3-thu bs'!E29</f>
        <v>792795</v>
      </c>
      <c r="R17" s="352" t="e">
        <f t="shared" si="8"/>
        <v>#REF!</v>
      </c>
      <c r="S17" s="352" t="e">
        <f>'Phụ lục số 3-thu bs'!#REF!-'Phụ lục số 3-thu bs'!D29</f>
        <v>#REF!</v>
      </c>
      <c r="T17" s="352" t="e">
        <f>'Phụ lục số 3-thu bs'!#REF!-'Phụ lục số 3-thu bs'!E29</f>
        <v>#REF!</v>
      </c>
    </row>
    <row r="18" spans="1:20" ht="30" customHeight="1" x14ac:dyDescent="0.2">
      <c r="A18" s="366" t="s">
        <v>449</v>
      </c>
      <c r="B18" s="367" t="s">
        <v>992</v>
      </c>
      <c r="C18" s="370">
        <f>D18+E18</f>
        <v>0</v>
      </c>
      <c r="D18" s="370">
        <f>'Phụ lục số 3-thu bs'!J30-'Phụ lục số 3-thu bs'!D30</f>
        <v>0</v>
      </c>
      <c r="E18" s="370">
        <f>'Phụ lục số 3-thu bs'!K30-'Phụ lục số 3-thu bs'!E30</f>
        <v>0</v>
      </c>
      <c r="F18" s="370">
        <f>G18+H18</f>
        <v>0</v>
      </c>
      <c r="G18" s="370">
        <f>'Phụ lục số 3-thu bs'!M30-'Phụ lục số 3-thu bs'!D30</f>
        <v>0</v>
      </c>
      <c r="H18" s="370">
        <f>'Phụ lục số 3-thu bs'!N30-'Phụ lục số 3-thu bs'!E30</f>
        <v>0</v>
      </c>
      <c r="I18" s="370">
        <f>J18+K18</f>
        <v>0</v>
      </c>
      <c r="J18" s="370">
        <f>'Phụ lục số 3-thu bs'!P30-'Phụ lục số 3-thu bs'!D30</f>
        <v>0</v>
      </c>
      <c r="K18" s="370">
        <f>'Phụ lục số 3-thu bs'!Q30-'Phụ lục số 3-thu bs'!E30</f>
        <v>0</v>
      </c>
      <c r="L18" s="370">
        <f>M18+N18</f>
        <v>0</v>
      </c>
      <c r="M18" s="370">
        <f>'Phụ lục số 3-thu bs'!S30-'Phụ lục số 3-thu bs'!D30</f>
        <v>0</v>
      </c>
      <c r="N18" s="370">
        <f>'Phụ lục số 3-thu bs'!T30-'Phụ lục số 3-thu bs'!E30</f>
        <v>0</v>
      </c>
      <c r="O18" s="370">
        <f>P18+Q18</f>
        <v>0</v>
      </c>
      <c r="P18" s="370">
        <f>'Phụ lục số 3-thu bs'!V30-'Phụ lục số 3-thu bs'!D30</f>
        <v>0</v>
      </c>
      <c r="Q18" s="370">
        <f>'Phụ lục số 3-thu bs'!W30-'Phụ lục số 3-thu bs'!E30</f>
        <v>0</v>
      </c>
      <c r="R18" s="370" t="e">
        <f>S18+T18</f>
        <v>#REF!</v>
      </c>
      <c r="S18" s="370" t="e">
        <f>'Phụ lục số 3-thu bs'!#REF!-'Phụ lục số 3-thu bs'!D30</f>
        <v>#REF!</v>
      </c>
      <c r="T18" s="370" t="e">
        <f>'Phụ lục số 3-thu bs'!#REF!-'Phụ lục số 3-thu bs'!E30</f>
        <v>#REF!</v>
      </c>
    </row>
    <row r="19" spans="1:20" ht="30" customHeight="1" x14ac:dyDescent="0.2">
      <c r="A19" s="366" t="s">
        <v>450</v>
      </c>
      <c r="B19" s="367" t="s">
        <v>703</v>
      </c>
      <c r="C19" s="370">
        <f>D19+E19</f>
        <v>227760</v>
      </c>
      <c r="D19" s="370">
        <f>'Phụ lục số 3-thu bs'!J31-'Phụ lục số 3-thu bs'!D31</f>
        <v>0</v>
      </c>
      <c r="E19" s="370">
        <f>'Phụ lục số 3-thu bs'!K31-'Phụ lục số 3-thu bs'!E31</f>
        <v>227760</v>
      </c>
      <c r="F19" s="370">
        <f>G19+H19</f>
        <v>342605</v>
      </c>
      <c r="G19" s="370">
        <f>'Phụ lục số 3-thu bs'!M31-'Phụ lục số 3-thu bs'!D31</f>
        <v>0</v>
      </c>
      <c r="H19" s="370">
        <f>'Phụ lục số 3-thu bs'!N31-'Phụ lục số 3-thu bs'!E31</f>
        <v>342605</v>
      </c>
      <c r="I19" s="370">
        <f>J19+K19</f>
        <v>462260</v>
      </c>
      <c r="J19" s="370">
        <f>'Phụ lục số 3-thu bs'!P31-'Phụ lục số 3-thu bs'!D31</f>
        <v>111000</v>
      </c>
      <c r="K19" s="370">
        <f>'Phụ lục số 3-thu bs'!Q31-'Phụ lục số 3-thu bs'!E31</f>
        <v>351260</v>
      </c>
      <c r="L19" s="370">
        <f>M19+N19</f>
        <v>486260</v>
      </c>
      <c r="M19" s="370">
        <f>'Phụ lục số 3-thu bs'!S31-'Phụ lục số 3-thu bs'!D31</f>
        <v>118500</v>
      </c>
      <c r="N19" s="370">
        <f>'Phụ lục số 3-thu bs'!T31-'Phụ lục số 3-thu bs'!E31</f>
        <v>367760</v>
      </c>
      <c r="O19" s="370">
        <f>P19+Q19</f>
        <v>517010</v>
      </c>
      <c r="P19" s="370">
        <f>'Phụ lục số 3-thu bs'!V31-'Phụ lục số 3-thu bs'!D31</f>
        <v>129250</v>
      </c>
      <c r="Q19" s="370">
        <f>'Phụ lục số 3-thu bs'!W31-'Phụ lục số 3-thu bs'!E31</f>
        <v>387760</v>
      </c>
      <c r="R19" s="370" t="e">
        <f>S19+T19</f>
        <v>#REF!</v>
      </c>
      <c r="S19" s="370" t="e">
        <f>'Phụ lục số 3-thu bs'!#REF!-'Phụ lục số 3-thu bs'!D31</f>
        <v>#REF!</v>
      </c>
      <c r="T19" s="370" t="e">
        <f>'Phụ lục số 3-thu bs'!#REF!-'Phụ lục số 3-thu bs'!E31</f>
        <v>#REF!</v>
      </c>
    </row>
    <row r="20" spans="1:20" s="426" customFormat="1" ht="30" customHeight="1" x14ac:dyDescent="0.2">
      <c r="A20" s="366" t="s">
        <v>472</v>
      </c>
      <c r="B20" s="367" t="s">
        <v>465</v>
      </c>
      <c r="C20" s="370">
        <f t="shared" si="3"/>
        <v>0</v>
      </c>
      <c r="D20" s="370">
        <f>'Phụ lục số 3-thu bs'!J32-'Phụ lục số 3-thu bs'!D32</f>
        <v>0</v>
      </c>
      <c r="E20" s="370">
        <f>'Phụ lục số 3-thu bs'!K32-'Phụ lục số 3-thu bs'!E32</f>
        <v>0</v>
      </c>
      <c r="F20" s="370">
        <f t="shared" si="4"/>
        <v>0</v>
      </c>
      <c r="G20" s="370">
        <f>'Phụ lục số 3-thu bs'!M32-'Phụ lục số 3-thu bs'!D32</f>
        <v>0</v>
      </c>
      <c r="H20" s="370">
        <f>'Phụ lục số 3-thu bs'!N32-'Phụ lục số 3-thu bs'!E32</f>
        <v>0</v>
      </c>
      <c r="I20" s="370">
        <f t="shared" si="5"/>
        <v>0</v>
      </c>
      <c r="J20" s="370">
        <f>'Phụ lục số 3-thu bs'!P32-'Phụ lục số 3-thu bs'!D32</f>
        <v>0</v>
      </c>
      <c r="K20" s="370">
        <f>'Phụ lục số 3-thu bs'!Q32-'Phụ lục số 3-thu bs'!E32</f>
        <v>0</v>
      </c>
      <c r="L20" s="370">
        <f t="shared" si="6"/>
        <v>0</v>
      </c>
      <c r="M20" s="370">
        <f>'Phụ lục số 3-thu bs'!S32-'Phụ lục số 3-thu bs'!D32</f>
        <v>0</v>
      </c>
      <c r="N20" s="370">
        <f>'Phụ lục số 3-thu bs'!T32-'Phụ lục số 3-thu bs'!E32</f>
        <v>0</v>
      </c>
      <c r="O20" s="370">
        <f t="shared" si="7"/>
        <v>0</v>
      </c>
      <c r="P20" s="370">
        <f>'Phụ lục số 3-thu bs'!V32-'Phụ lục số 3-thu bs'!D32</f>
        <v>0</v>
      </c>
      <c r="Q20" s="370">
        <f>'Phụ lục số 3-thu bs'!W32-'Phụ lục số 3-thu bs'!E32</f>
        <v>0</v>
      </c>
      <c r="R20" s="370" t="e">
        <f t="shared" si="8"/>
        <v>#REF!</v>
      </c>
      <c r="S20" s="370" t="e">
        <f>'Phụ lục số 3-thu bs'!#REF!-'Phụ lục số 3-thu bs'!D32</f>
        <v>#REF!</v>
      </c>
      <c r="T20" s="370" t="e">
        <f>'Phụ lục số 3-thu bs'!#REF!-'Phụ lục số 3-thu bs'!E32</f>
        <v>#REF!</v>
      </c>
    </row>
    <row r="21" spans="1:20" s="426" customFormat="1" ht="30" customHeight="1" x14ac:dyDescent="0.2">
      <c r="A21" s="366" t="s">
        <v>473</v>
      </c>
      <c r="B21" s="367" t="s">
        <v>395</v>
      </c>
      <c r="C21" s="370">
        <f t="shared" si="3"/>
        <v>0</v>
      </c>
      <c r="D21" s="370">
        <f>'Phụ lục số 3-thu bs'!J33-'Phụ lục số 3-thu bs'!D33</f>
        <v>0</v>
      </c>
      <c r="E21" s="370">
        <f>'Phụ lục số 3-thu bs'!K33-'Phụ lục số 3-thu bs'!E33</f>
        <v>0</v>
      </c>
      <c r="F21" s="370">
        <f t="shared" si="4"/>
        <v>13040</v>
      </c>
      <c r="G21" s="370">
        <f>'Phụ lục số 3-thu bs'!M33-'Phụ lục số 3-thu bs'!D33</f>
        <v>5962</v>
      </c>
      <c r="H21" s="370">
        <f>'Phụ lục số 3-thu bs'!N33-'Phụ lục số 3-thu bs'!E33</f>
        <v>7078</v>
      </c>
      <c r="I21" s="370">
        <f t="shared" si="5"/>
        <v>26040</v>
      </c>
      <c r="J21" s="370">
        <f>'Phụ lục số 3-thu bs'!P33-'Phụ lục số 3-thu bs'!D33</f>
        <v>10962</v>
      </c>
      <c r="K21" s="370">
        <f>'Phụ lục số 3-thu bs'!Q33-'Phụ lục số 3-thu bs'!E33</f>
        <v>15078</v>
      </c>
      <c r="L21" s="370">
        <f t="shared" si="6"/>
        <v>39040</v>
      </c>
      <c r="M21" s="370">
        <f>'Phụ lục số 3-thu bs'!S33-'Phụ lục số 3-thu bs'!D33</f>
        <v>15962</v>
      </c>
      <c r="N21" s="370">
        <f>'Phụ lục số 3-thu bs'!T33-'Phụ lục số 3-thu bs'!E33</f>
        <v>23078</v>
      </c>
      <c r="O21" s="370">
        <f t="shared" si="7"/>
        <v>54040</v>
      </c>
      <c r="P21" s="370">
        <f>'Phụ lục số 3-thu bs'!V33-'Phụ lục số 3-thu bs'!D33</f>
        <v>21962</v>
      </c>
      <c r="Q21" s="370">
        <f>'Phụ lục số 3-thu bs'!W33-'Phụ lục số 3-thu bs'!E33</f>
        <v>32078</v>
      </c>
      <c r="R21" s="370" t="e">
        <f t="shared" si="8"/>
        <v>#REF!</v>
      </c>
      <c r="S21" s="370" t="e">
        <f>'Phụ lục số 3-thu bs'!#REF!-'Phụ lục số 3-thu bs'!D33</f>
        <v>#REF!</v>
      </c>
      <c r="T21" s="370" t="e">
        <f>'Phụ lục số 3-thu bs'!#REF!-'Phụ lục số 3-thu bs'!E33</f>
        <v>#REF!</v>
      </c>
    </row>
    <row r="22" spans="1:20" ht="15.75" x14ac:dyDescent="0.2">
      <c r="A22" s="288"/>
      <c r="B22" s="289"/>
      <c r="C22" s="371"/>
      <c r="D22" s="371"/>
      <c r="E22" s="371"/>
      <c r="F22" s="371"/>
      <c r="G22" s="371"/>
      <c r="H22" s="371"/>
      <c r="I22" s="371"/>
      <c r="J22" s="371"/>
      <c r="K22" s="371"/>
      <c r="L22" s="371"/>
      <c r="M22" s="371"/>
      <c r="N22" s="371"/>
      <c r="O22" s="371"/>
      <c r="P22" s="371"/>
      <c r="Q22" s="371"/>
      <c r="R22" s="371"/>
      <c r="S22" s="371"/>
      <c r="T22" s="371"/>
    </row>
    <row r="25" spans="1:20" x14ac:dyDescent="0.2">
      <c r="C25" s="660">
        <f>C7-'Phụ lục số 3-thu bs'!AD8</f>
        <v>747998</v>
      </c>
      <c r="F25" s="660">
        <f>F7-'Phụ lục số 3-thu bs'!AG8</f>
        <v>739757</v>
      </c>
      <c r="I25" s="660">
        <f>I7-'Phụ lục số 3-thu bs'!AJ8</f>
        <v>1532972</v>
      </c>
      <c r="L25" s="660">
        <f>L7-'Phụ lục số 3-thu bs'!AM8</f>
        <v>2162162</v>
      </c>
      <c r="O25" s="660">
        <f>O7-'Phụ lục số 3-thu bs'!AP8</f>
        <v>2777222</v>
      </c>
      <c r="R25" s="660" t="e">
        <f>R7-'Phụ lục số 3-thu bs'!#REF!</f>
        <v>#REF!</v>
      </c>
    </row>
    <row r="26" spans="1:20" x14ac:dyDescent="0.2">
      <c r="C26" s="660" t="e">
        <f>+'Phụ lục số 3-thu bs'!#REF!</f>
        <v>#REF!</v>
      </c>
    </row>
    <row r="27" spans="1:20" x14ac:dyDescent="0.2">
      <c r="C27" s="660" t="e">
        <f>+C26-C7</f>
        <v>#REF!</v>
      </c>
    </row>
  </sheetData>
  <customSheetViews>
    <customSheetView guid="{88621519-296E-4458-B04E-813E881018FE}" zeroValues="0" fitToPage="1" state="hidden" topLeftCell="A13">
      <selection activeCell="C19" activeCellId="1" sqref="C13 C19"/>
      <pageMargins left="0" right="0" top="0.39370078740157483" bottom="0.39370078740157483" header="0.19685039370078741" footer="0.19685039370078741"/>
      <printOptions horizontalCentered="1"/>
      <pageSetup paperSize="9" fitToHeight="0" orientation="portrait" r:id="rId1"/>
      <headerFooter alignWithMargins="0"/>
    </customSheetView>
  </customSheetViews>
  <mergeCells count="9">
    <mergeCell ref="I5:K5"/>
    <mergeCell ref="L5:N5"/>
    <mergeCell ref="O5:Q5"/>
    <mergeCell ref="R5:T5"/>
    <mergeCell ref="A2:E2"/>
    <mergeCell ref="C5:E5"/>
    <mergeCell ref="A5:A6"/>
    <mergeCell ref="B5:B6"/>
    <mergeCell ref="F5:H5"/>
  </mergeCells>
  <phoneticPr fontId="5" type="noConversion"/>
  <conditionalFormatting sqref="A5:B5 C6 A22:T22 A7:C17 A19:C21 F19:F21 C7:F8 C13:F13 I19:I21 I13 I7:I8 L19:L21 L7:L8 L13 O19:O21 O13 O7:O8 R19:R21 R7:R8 R13">
    <cfRule type="expression" dxfId="46" priority="53">
      <formula>MOD(COLUMN(),2)</formula>
    </cfRule>
  </conditionalFormatting>
  <conditionalFormatting sqref="F5:F17">
    <cfRule type="expression" dxfId="45" priority="52">
      <formula>MOD(COLUMN(),2)</formula>
    </cfRule>
  </conditionalFormatting>
  <conditionalFormatting sqref="I5:I17">
    <cfRule type="expression" dxfId="44" priority="51">
      <formula>MOD(COLUMN(),2)</formula>
    </cfRule>
  </conditionalFormatting>
  <conditionalFormatting sqref="L5:L17">
    <cfRule type="expression" dxfId="43" priority="50">
      <formula>MOD(COLUMN(),2)</formula>
    </cfRule>
  </conditionalFormatting>
  <conditionalFormatting sqref="O5:O17">
    <cfRule type="expression" dxfId="42" priority="49">
      <formula>MOD(COLUMN(),2)</formula>
    </cfRule>
  </conditionalFormatting>
  <conditionalFormatting sqref="R5:R17">
    <cfRule type="expression" dxfId="41" priority="48">
      <formula>MOD(COLUMN(),2)</formula>
    </cfRule>
  </conditionalFormatting>
  <conditionalFormatting sqref="C5">
    <cfRule type="expression" dxfId="40" priority="47">
      <formula>MOD(COLUMN(),2)</formula>
    </cfRule>
  </conditionalFormatting>
  <conditionalFormatting sqref="A18:C18">
    <cfRule type="expression" dxfId="39" priority="46">
      <formula>MOD(COLUMN(),2)</formula>
    </cfRule>
  </conditionalFormatting>
  <conditionalFormatting sqref="F18">
    <cfRule type="expression" dxfId="38" priority="45">
      <formula>MOD(COLUMN(),2)</formula>
    </cfRule>
  </conditionalFormatting>
  <conditionalFormatting sqref="I18">
    <cfRule type="expression" dxfId="37" priority="44">
      <formula>MOD(COLUMN(),2)</formula>
    </cfRule>
  </conditionalFormatting>
  <conditionalFormatting sqref="L18">
    <cfRule type="expression" dxfId="36" priority="43">
      <formula>MOD(COLUMN(),2)</formula>
    </cfRule>
  </conditionalFormatting>
  <conditionalFormatting sqref="O18">
    <cfRule type="expression" dxfId="35" priority="42">
      <formula>MOD(COLUMN(),2)</formula>
    </cfRule>
  </conditionalFormatting>
  <conditionalFormatting sqref="R18">
    <cfRule type="expression" dxfId="34" priority="41">
      <formula>MOD(COLUMN(),2)</formula>
    </cfRule>
  </conditionalFormatting>
  <conditionalFormatting sqref="D6:D17 D19:D21">
    <cfRule type="expression" dxfId="33" priority="39">
      <formula>MOD(COLUMN(),2)</formula>
    </cfRule>
  </conditionalFormatting>
  <conditionalFormatting sqref="D18">
    <cfRule type="expression" dxfId="32" priority="38">
      <formula>MOD(COLUMN(),2)</formula>
    </cfRule>
  </conditionalFormatting>
  <conditionalFormatting sqref="E6:E17 E19:E21">
    <cfRule type="expression" dxfId="31" priority="37">
      <formula>MOD(COLUMN(),2)</formula>
    </cfRule>
  </conditionalFormatting>
  <conditionalFormatting sqref="E18">
    <cfRule type="expression" dxfId="30" priority="36">
      <formula>MOD(COLUMN(),2)</formula>
    </cfRule>
  </conditionalFormatting>
  <conditionalFormatting sqref="G19:G21 G7:G8 G13">
    <cfRule type="expression" dxfId="29" priority="34">
      <formula>MOD(COLUMN(),2)</formula>
    </cfRule>
  </conditionalFormatting>
  <conditionalFormatting sqref="G6:G17">
    <cfRule type="expression" dxfId="28" priority="33">
      <formula>MOD(COLUMN(),2)</formula>
    </cfRule>
  </conditionalFormatting>
  <conditionalFormatting sqref="G18">
    <cfRule type="expression" dxfId="27" priority="32">
      <formula>MOD(COLUMN(),2)</formula>
    </cfRule>
  </conditionalFormatting>
  <conditionalFormatting sqref="H19:H21 H7:H8 H13">
    <cfRule type="expression" dxfId="26" priority="31">
      <formula>MOD(COLUMN(),2)</formula>
    </cfRule>
  </conditionalFormatting>
  <conditionalFormatting sqref="H6:H17">
    <cfRule type="expression" dxfId="25" priority="30">
      <formula>MOD(COLUMN(),2)</formula>
    </cfRule>
  </conditionalFormatting>
  <conditionalFormatting sqref="H18">
    <cfRule type="expression" dxfId="24" priority="29">
      <formula>MOD(COLUMN(),2)</formula>
    </cfRule>
  </conditionalFormatting>
  <conditionalFormatting sqref="J19:J21 J13 J7:J8">
    <cfRule type="expression" dxfId="23" priority="27">
      <formula>MOD(COLUMN(),2)</formula>
    </cfRule>
  </conditionalFormatting>
  <conditionalFormatting sqref="J6:J17">
    <cfRule type="expression" dxfId="22" priority="26">
      <formula>MOD(COLUMN(),2)</formula>
    </cfRule>
  </conditionalFormatting>
  <conditionalFormatting sqref="J18">
    <cfRule type="expression" dxfId="21" priority="25">
      <formula>MOD(COLUMN(),2)</formula>
    </cfRule>
  </conditionalFormatting>
  <conditionalFormatting sqref="K19:K21 K13 K7:K8">
    <cfRule type="expression" dxfId="20" priority="24">
      <formula>MOD(COLUMN(),2)</formula>
    </cfRule>
  </conditionalFormatting>
  <conditionalFormatting sqref="K6:K17">
    <cfRule type="expression" dxfId="19" priority="23">
      <formula>MOD(COLUMN(),2)</formula>
    </cfRule>
  </conditionalFormatting>
  <conditionalFormatting sqref="K18">
    <cfRule type="expression" dxfId="18" priority="22">
      <formula>MOD(COLUMN(),2)</formula>
    </cfRule>
  </conditionalFormatting>
  <conditionalFormatting sqref="M19:M21 M7:M8 M13">
    <cfRule type="expression" dxfId="17" priority="20">
      <formula>MOD(COLUMN(),2)</formula>
    </cfRule>
  </conditionalFormatting>
  <conditionalFormatting sqref="M6:M17">
    <cfRule type="expression" dxfId="16" priority="19">
      <formula>MOD(COLUMN(),2)</formula>
    </cfRule>
  </conditionalFormatting>
  <conditionalFormatting sqref="M18">
    <cfRule type="expression" dxfId="15" priority="18">
      <formula>MOD(COLUMN(),2)</formula>
    </cfRule>
  </conditionalFormatting>
  <conditionalFormatting sqref="N19:N21 N7:N8 N13">
    <cfRule type="expression" dxfId="14" priority="17">
      <formula>MOD(COLUMN(),2)</formula>
    </cfRule>
  </conditionalFormatting>
  <conditionalFormatting sqref="N6:N17">
    <cfRule type="expression" dxfId="13" priority="16">
      <formula>MOD(COLUMN(),2)</formula>
    </cfRule>
  </conditionalFormatting>
  <conditionalFormatting sqref="N18">
    <cfRule type="expression" dxfId="12" priority="15">
      <formula>MOD(COLUMN(),2)</formula>
    </cfRule>
  </conditionalFormatting>
  <conditionalFormatting sqref="P19:P21 P13 P7:P8">
    <cfRule type="expression" dxfId="11" priority="13">
      <formula>MOD(COLUMN(),2)</formula>
    </cfRule>
  </conditionalFormatting>
  <conditionalFormatting sqref="P6:P17">
    <cfRule type="expression" dxfId="10" priority="12">
      <formula>MOD(COLUMN(),2)</formula>
    </cfRule>
  </conditionalFormatting>
  <conditionalFormatting sqref="P18">
    <cfRule type="expression" dxfId="9" priority="11">
      <formula>MOD(COLUMN(),2)</formula>
    </cfRule>
  </conditionalFormatting>
  <conditionalFormatting sqref="Q19:Q21 Q13 Q7:Q8">
    <cfRule type="expression" dxfId="8" priority="10">
      <formula>MOD(COLUMN(),2)</formula>
    </cfRule>
  </conditionalFormatting>
  <conditionalFormatting sqref="Q6:Q17">
    <cfRule type="expression" dxfId="7" priority="9">
      <formula>MOD(COLUMN(),2)</formula>
    </cfRule>
  </conditionalFormatting>
  <conditionalFormatting sqref="Q18">
    <cfRule type="expression" dxfId="6" priority="8">
      <formula>MOD(COLUMN(),2)</formula>
    </cfRule>
  </conditionalFormatting>
  <conditionalFormatting sqref="S19:S21 S7:S8 S13">
    <cfRule type="expression" dxfId="5" priority="6">
      <formula>MOD(COLUMN(),2)</formula>
    </cfRule>
  </conditionalFormatting>
  <conditionalFormatting sqref="S6:S17">
    <cfRule type="expression" dxfId="4" priority="5">
      <formula>MOD(COLUMN(),2)</formula>
    </cfRule>
  </conditionalFormatting>
  <conditionalFormatting sqref="S18">
    <cfRule type="expression" dxfId="3" priority="4">
      <formula>MOD(COLUMN(),2)</formula>
    </cfRule>
  </conditionalFormatting>
  <conditionalFormatting sqref="T19:T21 T7:T8 T13">
    <cfRule type="expression" dxfId="2" priority="3">
      <formula>MOD(COLUMN(),2)</formula>
    </cfRule>
  </conditionalFormatting>
  <conditionalFormatting sqref="T6:T17">
    <cfRule type="expression" dxfId="1" priority="2">
      <formula>MOD(COLUMN(),2)</formula>
    </cfRule>
  </conditionalFormatting>
  <conditionalFormatting sqref="T18">
    <cfRule type="expression" dxfId="0" priority="1">
      <formula>MOD(COLUMN(),2)</formula>
    </cfRule>
  </conditionalFormatting>
  <printOptions horizontalCentered="1"/>
  <pageMargins left="0" right="0" top="0.39370078740157483" bottom="0.39370078740157483" header="0.19685039370078741" footer="0.19685039370078741"/>
  <pageSetup paperSize="9" fitToHeight="0"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56"/>
  <sheetViews>
    <sheetView topLeftCell="A4" zoomScale="80" zoomScaleNormal="80" workbookViewId="0">
      <pane xSplit="2" ySplit="8" topLeftCell="C12" activePane="bottomRight" state="frozen"/>
      <selection activeCell="D51" sqref="D51"/>
      <selection pane="topRight" activeCell="D51" sqref="D51"/>
      <selection pane="bottomLeft" activeCell="D51" sqref="D51"/>
      <selection pane="bottomRight" activeCell="D51" sqref="D51"/>
    </sheetView>
  </sheetViews>
  <sheetFormatPr defaultRowHeight="18.75" x14ac:dyDescent="0.3"/>
  <cols>
    <col min="1" max="1" width="5.75" style="488" bestFit="1" customWidth="1"/>
    <col min="2" max="2" width="57.25" style="488" customWidth="1"/>
    <col min="3" max="3" width="19.5" style="498" customWidth="1"/>
    <col min="4" max="4" width="13.75" style="488" customWidth="1"/>
    <col min="5" max="5" width="12" style="488" customWidth="1"/>
    <col min="6" max="6" width="12.125" style="488" customWidth="1"/>
    <col min="7" max="7" width="12.875" style="488" bestFit="1" customWidth="1"/>
    <col min="8" max="8" width="12.25" style="488" customWidth="1"/>
    <col min="9" max="16384" width="9" style="488"/>
  </cols>
  <sheetData>
    <row r="1" spans="1:99" ht="63" customHeight="1" x14ac:dyDescent="0.3">
      <c r="A1" s="1372" t="s">
        <v>1446</v>
      </c>
      <c r="B1" s="1372"/>
      <c r="C1" s="1372"/>
      <c r="D1" s="1372"/>
      <c r="E1" s="1372"/>
      <c r="F1" s="1372"/>
      <c r="G1" s="1372"/>
      <c r="H1" s="1372"/>
      <c r="AD1" s="488" t="s">
        <v>1537</v>
      </c>
      <c r="AI1" s="1267"/>
      <c r="AQ1" s="1267"/>
      <c r="AY1" s="1267"/>
      <c r="BG1" s="1267"/>
      <c r="BO1" s="1267"/>
      <c r="BW1" s="1267"/>
      <c r="CE1" s="1267"/>
      <c r="CM1" s="1267"/>
      <c r="CU1" s="1267"/>
    </row>
    <row r="2" spans="1:99" ht="21" hidden="1" customHeight="1" x14ac:dyDescent="0.3">
      <c r="A2" s="489"/>
      <c r="B2" s="489"/>
      <c r="C2" s="490"/>
    </row>
    <row r="3" spans="1:99" ht="17.25" hidden="1" customHeight="1" x14ac:dyDescent="0.3">
      <c r="A3" s="491"/>
      <c r="B3" s="491"/>
      <c r="C3" s="490"/>
    </row>
    <row r="4" spans="1:99" ht="17.25" customHeight="1" x14ac:dyDescent="0.35">
      <c r="A4" s="488" t="s">
        <v>1542</v>
      </c>
      <c r="B4" s="1373" t="s">
        <v>1531</v>
      </c>
      <c r="C4" s="1373"/>
      <c r="D4" s="1373"/>
      <c r="E4" s="1373"/>
      <c r="H4" s="662" t="s">
        <v>806</v>
      </c>
    </row>
    <row r="5" spans="1:99" s="492" customFormat="1" x14ac:dyDescent="0.25">
      <c r="A5" s="1374" t="s">
        <v>519</v>
      </c>
      <c r="B5" s="1374" t="s">
        <v>240</v>
      </c>
      <c r="C5" s="1374" t="s">
        <v>905</v>
      </c>
      <c r="D5" s="1374"/>
      <c r="E5" s="1375" t="s">
        <v>952</v>
      </c>
      <c r="F5" s="1375" t="s">
        <v>1447</v>
      </c>
      <c r="G5" s="1375" t="s">
        <v>950</v>
      </c>
      <c r="H5" s="1375" t="s">
        <v>972</v>
      </c>
    </row>
    <row r="6" spans="1:99" s="492" customFormat="1" ht="144.75" customHeight="1" x14ac:dyDescent="0.25">
      <c r="A6" s="1374"/>
      <c r="B6" s="1374"/>
      <c r="C6" s="663" t="s">
        <v>807</v>
      </c>
      <c r="D6" s="664" t="s">
        <v>808</v>
      </c>
      <c r="E6" s="1375"/>
      <c r="F6" s="1375"/>
      <c r="G6" s="1375"/>
      <c r="H6" s="1375"/>
    </row>
    <row r="7" spans="1:99" s="492" customFormat="1" x14ac:dyDescent="0.25">
      <c r="A7" s="663"/>
      <c r="B7" s="663"/>
      <c r="C7" s="663">
        <v>1</v>
      </c>
      <c r="D7" s="664">
        <v>2</v>
      </c>
      <c r="E7" s="664">
        <v>3</v>
      </c>
      <c r="F7" s="664" t="s">
        <v>996</v>
      </c>
      <c r="G7" s="664">
        <v>5</v>
      </c>
      <c r="H7" s="664">
        <v>6</v>
      </c>
    </row>
    <row r="8" spans="1:99" s="494" customFormat="1" x14ac:dyDescent="0.25">
      <c r="A8" s="1045" t="s">
        <v>407</v>
      </c>
      <c r="B8" s="1046" t="s">
        <v>809</v>
      </c>
      <c r="C8" s="1047">
        <f>'CĐ NSĐP 2020-2025'!C10*20%</f>
        <v>1343740</v>
      </c>
      <c r="D8" s="1047">
        <f>'CĐ NSĐP 2020-2025'!D10*20%</f>
        <v>1304072</v>
      </c>
      <c r="E8" s="1047">
        <f>'CĐ NSĐP 2020-2025'!E10*20%</f>
        <v>1296088</v>
      </c>
      <c r="F8" s="665">
        <f>E8/C8</f>
        <v>0.96453778260675427</v>
      </c>
      <c r="G8" s="493">
        <f>'CĐ NSĐP 2020-2025'!F10*20%</f>
        <v>1410200</v>
      </c>
      <c r="H8" s="493">
        <f>'CĐ NSĐP 2020-2025'!G10*20%</f>
        <v>1514000</v>
      </c>
    </row>
    <row r="9" spans="1:99" s="494" customFormat="1" ht="18" customHeight="1" x14ac:dyDescent="0.25">
      <c r="A9" s="1048" t="s">
        <v>422</v>
      </c>
      <c r="B9" s="1049" t="s">
        <v>810</v>
      </c>
      <c r="C9" s="1050">
        <v>123200</v>
      </c>
      <c r="D9" s="1050">
        <v>123200</v>
      </c>
      <c r="E9" s="1050">
        <v>72661</v>
      </c>
      <c r="F9" s="1051"/>
      <c r="G9" s="1050"/>
      <c r="H9" s="1050"/>
    </row>
    <row r="10" spans="1:99" s="494" customFormat="1" ht="18" customHeight="1" x14ac:dyDescent="0.25">
      <c r="A10" s="1048" t="s">
        <v>426</v>
      </c>
      <c r="B10" s="1049" t="s">
        <v>811</v>
      </c>
      <c r="C10" s="1050">
        <v>123200</v>
      </c>
      <c r="D10" s="1050">
        <v>123200</v>
      </c>
      <c r="E10" s="1050">
        <v>72661</v>
      </c>
      <c r="F10" s="1051"/>
      <c r="G10" s="1050"/>
      <c r="H10" s="1050"/>
    </row>
    <row r="11" spans="1:99" s="494" customFormat="1" ht="18" customHeight="1" x14ac:dyDescent="0.25">
      <c r="A11" s="1048" t="s">
        <v>409</v>
      </c>
      <c r="B11" s="1049" t="s">
        <v>812</v>
      </c>
      <c r="C11" s="1050">
        <v>518207.90068093996</v>
      </c>
      <c r="D11" s="1050">
        <v>518207.90068093996</v>
      </c>
      <c r="E11" s="1050">
        <v>217182.32823394</v>
      </c>
      <c r="F11" s="1051"/>
      <c r="G11" s="1050">
        <v>205721.32823394</v>
      </c>
      <c r="H11" s="1050">
        <v>185119.99490193999</v>
      </c>
    </row>
    <row r="12" spans="1:99" s="492" customFormat="1" ht="18" customHeight="1" x14ac:dyDescent="0.25">
      <c r="A12" s="1052"/>
      <c r="B12" s="1053" t="s">
        <v>813</v>
      </c>
      <c r="C12" s="1054">
        <v>38.56459588022534</v>
      </c>
      <c r="D12" s="1054">
        <v>39.916186581906274</v>
      </c>
      <c r="E12" s="1054">
        <v>17.028245370476014</v>
      </c>
      <c r="F12" s="1055"/>
      <c r="G12" s="1054">
        <v>15.362266078968945</v>
      </c>
      <c r="H12" s="1054">
        <v>12.657344699459163</v>
      </c>
    </row>
    <row r="13" spans="1:99" s="494" customFormat="1" ht="18" customHeight="1" x14ac:dyDescent="0.25">
      <c r="A13" s="1056">
        <v>1</v>
      </c>
      <c r="B13" s="1057" t="s">
        <v>814</v>
      </c>
      <c r="C13" s="1050">
        <v>512199.90844699997</v>
      </c>
      <c r="D13" s="1050">
        <v>512199.90844699997</v>
      </c>
      <c r="E13" s="1050">
        <v>186484.33600000001</v>
      </c>
      <c r="F13" s="1051"/>
      <c r="G13" s="1050">
        <v>113823.33600000001</v>
      </c>
      <c r="H13" s="1050">
        <v>47412.002668000016</v>
      </c>
    </row>
    <row r="14" spans="1:99" s="495" customFormat="1" ht="18" customHeight="1" x14ac:dyDescent="0.3">
      <c r="A14" s="1058"/>
      <c r="B14" s="1059" t="s">
        <v>815</v>
      </c>
      <c r="C14" s="1078">
        <v>34792</v>
      </c>
      <c r="D14" s="1078">
        <v>34792</v>
      </c>
      <c r="E14" s="1060">
        <v>6250</v>
      </c>
      <c r="F14" s="1061"/>
      <c r="G14" s="1060">
        <v>0</v>
      </c>
      <c r="H14" s="1060">
        <v>0</v>
      </c>
    </row>
    <row r="15" spans="1:99" s="495" customFormat="1" ht="18" customHeight="1" x14ac:dyDescent="0.3">
      <c r="A15" s="1058"/>
      <c r="B15" s="1062" t="s">
        <v>816</v>
      </c>
      <c r="C15" s="1078">
        <v>230762.57244699995</v>
      </c>
      <c r="D15" s="1078">
        <v>230762.57244699995</v>
      </c>
      <c r="E15" s="1060">
        <v>0</v>
      </c>
      <c r="F15" s="1061"/>
      <c r="G15" s="1060">
        <v>0</v>
      </c>
      <c r="H15" s="1060">
        <v>0</v>
      </c>
    </row>
    <row r="16" spans="1:99" s="495" customFormat="1" ht="18" customHeight="1" x14ac:dyDescent="0.3">
      <c r="A16" s="1058"/>
      <c r="B16" s="1062" t="s">
        <v>817</v>
      </c>
      <c r="C16" s="1078">
        <v>246645.33600000001</v>
      </c>
      <c r="D16" s="1078">
        <v>246645.33600000001</v>
      </c>
      <c r="E16" s="1060">
        <v>180234.33600000001</v>
      </c>
      <c r="F16" s="1061"/>
      <c r="G16" s="1060">
        <v>113823.33600000001</v>
      </c>
      <c r="H16" s="1060">
        <v>47412.002668000016</v>
      </c>
    </row>
    <row r="17" spans="1:8" s="494" customFormat="1" x14ac:dyDescent="0.25">
      <c r="A17" s="1056">
        <v>2</v>
      </c>
      <c r="B17" s="1057" t="s">
        <v>818</v>
      </c>
      <c r="C17" s="1050">
        <v>0</v>
      </c>
      <c r="D17" s="1050">
        <v>0</v>
      </c>
      <c r="E17" s="1050">
        <v>0</v>
      </c>
      <c r="F17" s="1051"/>
      <c r="G17" s="1050">
        <v>0</v>
      </c>
      <c r="H17" s="1050">
        <v>0</v>
      </c>
    </row>
    <row r="18" spans="1:8" s="496" customFormat="1" x14ac:dyDescent="0.3">
      <c r="A18" s="1056">
        <v>3</v>
      </c>
      <c r="B18" s="1063" t="s">
        <v>819</v>
      </c>
      <c r="C18" s="1064">
        <v>0</v>
      </c>
      <c r="D18" s="1064">
        <v>0</v>
      </c>
      <c r="E18" s="1050">
        <v>0</v>
      </c>
      <c r="F18" s="1065"/>
      <c r="G18" s="1050">
        <v>0</v>
      </c>
      <c r="H18" s="1050">
        <v>0</v>
      </c>
    </row>
    <row r="19" spans="1:8" s="496" customFormat="1" x14ac:dyDescent="0.3">
      <c r="A19" s="1056">
        <v>4</v>
      </c>
      <c r="B19" s="1063" t="s">
        <v>820</v>
      </c>
      <c r="C19" s="1064">
        <v>6007.99223394</v>
      </c>
      <c r="D19" s="1064">
        <v>6007.99223394</v>
      </c>
      <c r="E19" s="1050">
        <v>30697.99223394</v>
      </c>
      <c r="F19" s="1065"/>
      <c r="G19" s="1050">
        <v>91897.992233939993</v>
      </c>
      <c r="H19" s="1050">
        <v>137707.99223393999</v>
      </c>
    </row>
    <row r="20" spans="1:8" s="496" customFormat="1" x14ac:dyDescent="0.3">
      <c r="A20" s="1056">
        <v>5</v>
      </c>
      <c r="B20" s="1063" t="s">
        <v>821</v>
      </c>
      <c r="C20" s="1064">
        <v>0</v>
      </c>
      <c r="D20" s="1064">
        <v>0</v>
      </c>
      <c r="E20" s="1050">
        <v>0</v>
      </c>
      <c r="F20" s="1065"/>
      <c r="G20" s="1050">
        <v>0</v>
      </c>
      <c r="H20" s="1050">
        <v>0</v>
      </c>
    </row>
    <row r="21" spans="1:8" s="496" customFormat="1" x14ac:dyDescent="0.3">
      <c r="A21" s="1056" t="s">
        <v>421</v>
      </c>
      <c r="B21" s="1066" t="s">
        <v>822</v>
      </c>
      <c r="C21" s="1064">
        <v>325715.57244700001</v>
      </c>
      <c r="D21" s="1064">
        <v>325715.57244700001</v>
      </c>
      <c r="E21" s="1064">
        <v>72661</v>
      </c>
      <c r="F21" s="1065"/>
      <c r="G21" s="1064">
        <v>66411.333331999995</v>
      </c>
      <c r="H21" s="1064">
        <v>49684.181871860012</v>
      </c>
    </row>
    <row r="22" spans="1:8" s="496" customFormat="1" x14ac:dyDescent="0.3">
      <c r="A22" s="1056">
        <v>1</v>
      </c>
      <c r="B22" s="1066" t="s">
        <v>823</v>
      </c>
      <c r="C22" s="1064">
        <v>325715.57244700001</v>
      </c>
      <c r="D22" s="1064">
        <v>325715.57244700001</v>
      </c>
      <c r="E22" s="1064">
        <v>72661</v>
      </c>
      <c r="F22" s="1065"/>
      <c r="G22" s="1064">
        <v>66411.333331999995</v>
      </c>
      <c r="H22" s="1064">
        <v>49684.181871860012</v>
      </c>
    </row>
    <row r="23" spans="1:8" x14ac:dyDescent="0.3">
      <c r="A23" s="1056" t="s">
        <v>564</v>
      </c>
      <c r="B23" s="1067" t="s">
        <v>1568</v>
      </c>
      <c r="C23" s="1068">
        <v>325715.57244700001</v>
      </c>
      <c r="D23" s="1068">
        <v>325715.57244700001</v>
      </c>
      <c r="E23" s="1068">
        <v>72661</v>
      </c>
      <c r="F23" s="1069"/>
      <c r="G23" s="1068">
        <v>66411.333331999995</v>
      </c>
      <c r="H23" s="1068">
        <v>47412</v>
      </c>
    </row>
    <row r="24" spans="1:8" s="497" customFormat="1" ht="19.5" x14ac:dyDescent="0.3">
      <c r="A24" s="1070"/>
      <c r="B24" s="1059" t="s">
        <v>815</v>
      </c>
      <c r="C24" s="1071">
        <v>28542</v>
      </c>
      <c r="D24" s="1071">
        <v>28542</v>
      </c>
      <c r="E24" s="1071">
        <v>6250</v>
      </c>
      <c r="F24" s="1072"/>
      <c r="G24" s="1071">
        <v>0</v>
      </c>
      <c r="H24" s="1071">
        <v>0</v>
      </c>
    </row>
    <row r="25" spans="1:8" s="497" customFormat="1" ht="19.5" x14ac:dyDescent="0.3">
      <c r="A25" s="1070"/>
      <c r="B25" s="1062" t="s">
        <v>816</v>
      </c>
      <c r="C25" s="1071">
        <v>230762.57244700001</v>
      </c>
      <c r="D25" s="1071">
        <v>230762.57244700001</v>
      </c>
      <c r="E25" s="1071">
        <v>0</v>
      </c>
      <c r="F25" s="1072"/>
      <c r="G25" s="1071">
        <v>0</v>
      </c>
      <c r="H25" s="1071">
        <v>0</v>
      </c>
    </row>
    <row r="26" spans="1:8" s="497" customFormat="1" ht="19.5" x14ac:dyDescent="0.3">
      <c r="A26" s="1070"/>
      <c r="B26" s="1062" t="s">
        <v>817</v>
      </c>
      <c r="C26" s="1071">
        <v>66411</v>
      </c>
      <c r="D26" s="1071">
        <v>66411</v>
      </c>
      <c r="E26" s="1071">
        <v>66411</v>
      </c>
      <c r="F26" s="1072"/>
      <c r="G26" s="1071">
        <v>66411.333331999995</v>
      </c>
      <c r="H26" s="1071">
        <v>47412</v>
      </c>
    </row>
    <row r="27" spans="1:8" x14ac:dyDescent="0.3">
      <c r="A27" s="1056" t="s">
        <v>564</v>
      </c>
      <c r="B27" s="1067" t="s">
        <v>824</v>
      </c>
      <c r="C27" s="1068">
        <v>0</v>
      </c>
      <c r="D27" s="1068">
        <v>0</v>
      </c>
      <c r="E27" s="1068">
        <v>0</v>
      </c>
      <c r="F27" s="1068">
        <v>0</v>
      </c>
      <c r="G27" s="1068">
        <v>0</v>
      </c>
      <c r="H27" s="1068">
        <v>0</v>
      </c>
    </row>
    <row r="28" spans="1:8" x14ac:dyDescent="0.3">
      <c r="A28" s="1056" t="s">
        <v>564</v>
      </c>
      <c r="B28" s="1073" t="s">
        <v>825</v>
      </c>
      <c r="C28" s="1068">
        <v>0</v>
      </c>
      <c r="D28" s="1068">
        <v>0</v>
      </c>
      <c r="E28" s="1068">
        <v>0</v>
      </c>
      <c r="F28" s="1068">
        <v>0</v>
      </c>
      <c r="G28" s="1068">
        <v>0</v>
      </c>
      <c r="H28" s="1068">
        <v>0</v>
      </c>
    </row>
    <row r="29" spans="1:8" x14ac:dyDescent="0.3">
      <c r="A29" s="1074" t="s">
        <v>564</v>
      </c>
      <c r="B29" s="1073" t="s">
        <v>826</v>
      </c>
      <c r="C29" s="1068">
        <v>0</v>
      </c>
      <c r="D29" s="1068">
        <v>0</v>
      </c>
      <c r="E29" s="1068">
        <v>0</v>
      </c>
      <c r="F29" s="1068">
        <v>0</v>
      </c>
      <c r="G29" s="1068">
        <v>0</v>
      </c>
      <c r="H29" s="1068">
        <v>2272.1818718600098</v>
      </c>
    </row>
    <row r="30" spans="1:8" x14ac:dyDescent="0.3">
      <c r="A30" s="1074" t="s">
        <v>564</v>
      </c>
      <c r="B30" s="1073" t="s">
        <v>1569</v>
      </c>
      <c r="C30" s="1068">
        <v>0</v>
      </c>
      <c r="D30" s="1068">
        <v>0</v>
      </c>
      <c r="E30" s="1068">
        <v>0</v>
      </c>
      <c r="F30" s="1068">
        <v>0</v>
      </c>
      <c r="G30" s="1068">
        <v>0</v>
      </c>
      <c r="H30" s="1068">
        <v>0</v>
      </c>
    </row>
    <row r="31" spans="1:8" s="496" customFormat="1" x14ac:dyDescent="0.3">
      <c r="A31" s="1075">
        <v>2</v>
      </c>
      <c r="B31" s="1063" t="s">
        <v>827</v>
      </c>
      <c r="C31" s="1064">
        <v>325715.57244700001</v>
      </c>
      <c r="D31" s="1064">
        <v>325715.57244700001</v>
      </c>
      <c r="E31" s="1064">
        <v>72661</v>
      </c>
      <c r="F31" s="1065"/>
      <c r="G31" s="1064">
        <v>66411.333331999995</v>
      </c>
      <c r="H31" s="1064">
        <v>47412</v>
      </c>
    </row>
    <row r="32" spans="1:8" x14ac:dyDescent="0.3">
      <c r="A32" s="1074" t="s">
        <v>564</v>
      </c>
      <c r="B32" s="1073" t="s">
        <v>828</v>
      </c>
      <c r="C32" s="1068">
        <v>0</v>
      </c>
      <c r="D32" s="1068">
        <v>0</v>
      </c>
      <c r="E32" s="1068"/>
      <c r="F32" s="1069"/>
      <c r="G32" s="1068"/>
      <c r="H32" s="1068"/>
    </row>
    <row r="33" spans="1:8" x14ac:dyDescent="0.3">
      <c r="A33" s="1074" t="s">
        <v>564</v>
      </c>
      <c r="B33" s="1073" t="s">
        <v>829</v>
      </c>
      <c r="C33" s="1068">
        <v>325715.57244700001</v>
      </c>
      <c r="D33" s="1068">
        <v>325715.57244700001</v>
      </c>
      <c r="E33" s="1068">
        <v>72661</v>
      </c>
      <c r="F33" s="1069"/>
      <c r="G33" s="1068">
        <v>66411.333331999995</v>
      </c>
      <c r="H33" s="1068">
        <v>47412</v>
      </c>
    </row>
    <row r="34" spans="1:8" x14ac:dyDescent="0.3">
      <c r="A34" s="1074" t="s">
        <v>564</v>
      </c>
      <c r="B34" s="1073" t="s">
        <v>830</v>
      </c>
      <c r="C34" s="1068">
        <v>0</v>
      </c>
      <c r="D34" s="1068">
        <v>0</v>
      </c>
      <c r="E34" s="1068"/>
      <c r="F34" s="1069"/>
      <c r="G34" s="1068"/>
      <c r="H34" s="1068"/>
    </row>
    <row r="35" spans="1:8" x14ac:dyDescent="0.3">
      <c r="A35" s="1074" t="s">
        <v>564</v>
      </c>
      <c r="B35" s="1073" t="s">
        <v>831</v>
      </c>
      <c r="C35" s="1068">
        <v>0</v>
      </c>
      <c r="D35" s="1068">
        <v>0</v>
      </c>
      <c r="E35" s="1068"/>
      <c r="F35" s="1069"/>
      <c r="G35" s="1068"/>
      <c r="H35" s="1068"/>
    </row>
    <row r="36" spans="1:8" s="496" customFormat="1" x14ac:dyDescent="0.3">
      <c r="A36" s="1075" t="s">
        <v>449</v>
      </c>
      <c r="B36" s="1063" t="s">
        <v>832</v>
      </c>
      <c r="C36" s="1064">
        <v>30900</v>
      </c>
      <c r="D36" s="1064">
        <v>24690</v>
      </c>
      <c r="E36" s="1064">
        <v>61200</v>
      </c>
      <c r="F36" s="1065"/>
      <c r="G36" s="1064">
        <v>45810</v>
      </c>
      <c r="H36" s="1064">
        <v>35791</v>
      </c>
    </row>
    <row r="37" spans="1:8" s="496" customFormat="1" x14ac:dyDescent="0.3">
      <c r="A37" s="1075">
        <v>1</v>
      </c>
      <c r="B37" s="1063" t="s">
        <v>833</v>
      </c>
      <c r="C37" s="1064">
        <v>0</v>
      </c>
      <c r="D37" s="1064">
        <v>0</v>
      </c>
      <c r="E37" s="1064">
        <v>0</v>
      </c>
      <c r="F37" s="1065"/>
      <c r="G37" s="1064">
        <v>0</v>
      </c>
      <c r="H37" s="1064">
        <v>0</v>
      </c>
    </row>
    <row r="38" spans="1:8" x14ac:dyDescent="0.3">
      <c r="A38" s="1074" t="s">
        <v>564</v>
      </c>
      <c r="B38" s="1073" t="s">
        <v>834</v>
      </c>
      <c r="C38" s="1068">
        <v>0</v>
      </c>
      <c r="D38" s="1068">
        <v>0</v>
      </c>
      <c r="E38" s="1068"/>
      <c r="F38" s="1069"/>
      <c r="G38" s="1068"/>
      <c r="H38" s="1068"/>
    </row>
    <row r="39" spans="1:8" x14ac:dyDescent="0.3">
      <c r="A39" s="1074" t="s">
        <v>564</v>
      </c>
      <c r="B39" s="1073" t="s">
        <v>835</v>
      </c>
      <c r="C39" s="1068">
        <v>0</v>
      </c>
      <c r="D39" s="1068">
        <v>0</v>
      </c>
      <c r="E39" s="1068"/>
      <c r="F39" s="1069"/>
      <c r="G39" s="1068"/>
      <c r="H39" s="1068"/>
    </row>
    <row r="40" spans="1:8" s="496" customFormat="1" x14ac:dyDescent="0.3">
      <c r="A40" s="1075">
        <v>2</v>
      </c>
      <c r="B40" s="1063" t="s">
        <v>836</v>
      </c>
      <c r="C40" s="1064">
        <v>30900</v>
      </c>
      <c r="D40" s="1064">
        <v>24690</v>
      </c>
      <c r="E40" s="1064">
        <v>61200</v>
      </c>
      <c r="F40" s="1065"/>
      <c r="G40" s="1064">
        <v>45810</v>
      </c>
      <c r="H40" s="1064">
        <v>35791</v>
      </c>
    </row>
    <row r="41" spans="1:8" x14ac:dyDescent="0.3">
      <c r="A41" s="1074" t="s">
        <v>564</v>
      </c>
      <c r="B41" s="1067" t="s">
        <v>837</v>
      </c>
      <c r="C41" s="1068">
        <v>0</v>
      </c>
      <c r="D41" s="1068">
        <v>0</v>
      </c>
      <c r="E41" s="1068"/>
      <c r="F41" s="1069"/>
      <c r="G41" s="1068"/>
      <c r="H41" s="1068"/>
    </row>
    <row r="42" spans="1:8" x14ac:dyDescent="0.3">
      <c r="A42" s="1074" t="s">
        <v>564</v>
      </c>
      <c r="B42" s="1067" t="s">
        <v>818</v>
      </c>
      <c r="C42" s="1068">
        <v>0</v>
      </c>
      <c r="D42" s="1068">
        <v>0</v>
      </c>
      <c r="E42" s="1068">
        <v>0</v>
      </c>
      <c r="F42" s="1069"/>
      <c r="G42" s="1068">
        <v>0</v>
      </c>
      <c r="H42" s="1068">
        <v>0</v>
      </c>
    </row>
    <row r="43" spans="1:8" x14ac:dyDescent="0.3">
      <c r="A43" s="1074" t="s">
        <v>564</v>
      </c>
      <c r="B43" s="1073" t="s">
        <v>819</v>
      </c>
      <c r="C43" s="1068">
        <v>0</v>
      </c>
      <c r="D43" s="1068">
        <v>0</v>
      </c>
      <c r="E43" s="1068">
        <v>0</v>
      </c>
      <c r="F43" s="1069"/>
      <c r="G43" s="1068">
        <v>0</v>
      </c>
      <c r="H43" s="1068">
        <v>0</v>
      </c>
    </row>
    <row r="44" spans="1:8" x14ac:dyDescent="0.3">
      <c r="A44" s="1074" t="s">
        <v>564</v>
      </c>
      <c r="B44" s="1073" t="s">
        <v>820</v>
      </c>
      <c r="C44" s="1068">
        <v>30900</v>
      </c>
      <c r="D44" s="1068">
        <v>24690</v>
      </c>
      <c r="E44" s="1068">
        <v>61200</v>
      </c>
      <c r="F44" s="1069"/>
      <c r="G44" s="1068">
        <v>45810</v>
      </c>
      <c r="H44" s="1068">
        <v>35791</v>
      </c>
    </row>
    <row r="45" spans="1:8" x14ac:dyDescent="0.3">
      <c r="A45" s="1074" t="s">
        <v>564</v>
      </c>
      <c r="B45" s="1073" t="s">
        <v>821</v>
      </c>
      <c r="C45" s="1068">
        <v>0</v>
      </c>
      <c r="D45" s="1068">
        <v>0</v>
      </c>
      <c r="E45" s="1068">
        <v>0</v>
      </c>
      <c r="F45" s="1069"/>
      <c r="G45" s="1068">
        <v>0</v>
      </c>
      <c r="H45" s="1068">
        <v>0</v>
      </c>
    </row>
    <row r="46" spans="1:8" s="496" customFormat="1" x14ac:dyDescent="0.3">
      <c r="A46" s="1075" t="s">
        <v>450</v>
      </c>
      <c r="B46" s="1063" t="s">
        <v>838</v>
      </c>
      <c r="C46" s="1064">
        <v>223392.32823394</v>
      </c>
      <c r="D46" s="1064">
        <v>217182.32823394</v>
      </c>
      <c r="E46" s="1064">
        <v>205721.32823394</v>
      </c>
      <c r="F46" s="1065"/>
      <c r="G46" s="1064">
        <v>185119.99490193999</v>
      </c>
      <c r="H46" s="1064">
        <v>171226.81303008</v>
      </c>
    </row>
    <row r="47" spans="1:8" x14ac:dyDescent="0.3">
      <c r="A47" s="1052"/>
      <c r="B47" s="1053" t="s">
        <v>839</v>
      </c>
      <c r="C47" s="1068">
        <v>16.624669075411912</v>
      </c>
      <c r="D47" s="1068">
        <v>16.728981408209577</v>
      </c>
      <c r="E47" s="1068">
        <v>16.129642239281996</v>
      </c>
      <c r="F47" s="1069"/>
      <c r="G47" s="1068">
        <v>13.823858919416578</v>
      </c>
      <c r="H47" s="1068">
        <v>11.70741602202181</v>
      </c>
    </row>
    <row r="48" spans="1:8" s="496" customFormat="1" x14ac:dyDescent="0.3">
      <c r="A48" s="1056">
        <v>1</v>
      </c>
      <c r="B48" s="1057" t="s">
        <v>837</v>
      </c>
      <c r="C48" s="1064">
        <v>186484.33600000001</v>
      </c>
      <c r="D48" s="1064">
        <v>186484.33600000001</v>
      </c>
      <c r="E48" s="1064">
        <v>113823.33600000001</v>
      </c>
      <c r="F48" s="1065"/>
      <c r="G48" s="1064">
        <v>47412.002668000016</v>
      </c>
      <c r="H48" s="1064">
        <v>2.6680000155465677E-3</v>
      </c>
    </row>
    <row r="49" spans="1:8" s="497" customFormat="1" x14ac:dyDescent="0.3">
      <c r="A49" s="1058"/>
      <c r="B49" s="1059" t="s">
        <v>815</v>
      </c>
      <c r="C49" s="1071">
        <v>6250</v>
      </c>
      <c r="D49" s="1071">
        <v>6250</v>
      </c>
      <c r="E49" s="1071">
        <v>0</v>
      </c>
      <c r="F49" s="1072"/>
      <c r="G49" s="1071">
        <v>0</v>
      </c>
      <c r="H49" s="1071">
        <v>0</v>
      </c>
    </row>
    <row r="50" spans="1:8" s="497" customFormat="1" x14ac:dyDescent="0.3">
      <c r="A50" s="1058"/>
      <c r="B50" s="1062" t="s">
        <v>816</v>
      </c>
      <c r="C50" s="1071">
        <v>0</v>
      </c>
      <c r="D50" s="1071">
        <v>0</v>
      </c>
      <c r="E50" s="1071">
        <v>0</v>
      </c>
      <c r="F50" s="1072"/>
      <c r="G50" s="1071">
        <v>0</v>
      </c>
      <c r="H50" s="1071">
        <v>0</v>
      </c>
    </row>
    <row r="51" spans="1:8" s="497" customFormat="1" x14ac:dyDescent="0.3">
      <c r="A51" s="1058"/>
      <c r="B51" s="1062" t="s">
        <v>817</v>
      </c>
      <c r="C51" s="1071">
        <v>180234.33600000001</v>
      </c>
      <c r="D51" s="1071">
        <v>180234.33600000001</v>
      </c>
      <c r="E51" s="1071">
        <v>113823.33600000001</v>
      </c>
      <c r="F51" s="1072"/>
      <c r="G51" s="1071">
        <v>47412.002668000016</v>
      </c>
      <c r="H51" s="1071">
        <v>2.6680000155465677E-3</v>
      </c>
    </row>
    <row r="52" spans="1:8" s="496" customFormat="1" x14ac:dyDescent="0.3">
      <c r="A52" s="1056">
        <v>2</v>
      </c>
      <c r="B52" s="1057" t="s">
        <v>818</v>
      </c>
      <c r="C52" s="1064">
        <v>0</v>
      </c>
      <c r="D52" s="1064">
        <v>0</v>
      </c>
      <c r="E52" s="1064">
        <v>0</v>
      </c>
      <c r="F52" s="1065"/>
      <c r="G52" s="1064">
        <v>0</v>
      </c>
      <c r="H52" s="1064">
        <v>0</v>
      </c>
    </row>
    <row r="53" spans="1:8" s="496" customFormat="1" x14ac:dyDescent="0.3">
      <c r="A53" s="1056">
        <v>3</v>
      </c>
      <c r="B53" s="1063" t="s">
        <v>819</v>
      </c>
      <c r="C53" s="1064">
        <v>0</v>
      </c>
      <c r="D53" s="1064">
        <v>0</v>
      </c>
      <c r="E53" s="1064">
        <v>0</v>
      </c>
      <c r="F53" s="1065"/>
      <c r="G53" s="1064">
        <v>0</v>
      </c>
      <c r="H53" s="1064">
        <v>0</v>
      </c>
    </row>
    <row r="54" spans="1:8" s="496" customFormat="1" x14ac:dyDescent="0.3">
      <c r="A54" s="1056">
        <v>4</v>
      </c>
      <c r="B54" s="1063" t="s">
        <v>820</v>
      </c>
      <c r="C54" s="1064">
        <v>36907.99223394</v>
      </c>
      <c r="D54" s="1064">
        <v>30697.99223394</v>
      </c>
      <c r="E54" s="1064">
        <v>91897.992233939993</v>
      </c>
      <c r="F54" s="1065"/>
      <c r="G54" s="1064">
        <v>137707.99223393999</v>
      </c>
      <c r="H54" s="1064">
        <v>171226.81036208</v>
      </c>
    </row>
    <row r="55" spans="1:8" s="496" customFormat="1" x14ac:dyDescent="0.3">
      <c r="A55" s="1056">
        <v>5</v>
      </c>
      <c r="B55" s="1063" t="s">
        <v>821</v>
      </c>
      <c r="C55" s="1064">
        <v>0</v>
      </c>
      <c r="D55" s="1064">
        <v>0</v>
      </c>
      <c r="E55" s="1064">
        <v>0</v>
      </c>
      <c r="F55" s="1065"/>
      <c r="G55" s="1064">
        <v>0</v>
      </c>
      <c r="H55" s="1064">
        <v>0</v>
      </c>
    </row>
    <row r="56" spans="1:8" s="496" customFormat="1" x14ac:dyDescent="0.3">
      <c r="A56" s="1076" t="s">
        <v>464</v>
      </c>
      <c r="B56" s="1077" t="s">
        <v>840</v>
      </c>
      <c r="C56" s="1079">
        <v>3849.53</v>
      </c>
      <c r="D56" s="1079">
        <v>690.70482526364992</v>
      </c>
      <c r="E56" s="1079">
        <v>2067.7048252636496</v>
      </c>
      <c r="F56" s="1080"/>
      <c r="G56" s="1079">
        <v>3098.4298252636499</v>
      </c>
      <c r="H56" s="1079">
        <v>3852.6032331467995</v>
      </c>
    </row>
  </sheetData>
  <customSheetViews>
    <customSheetView guid="{88621519-296E-4458-B04E-813E881018FE}" fitToPage="1" hiddenRows="1" state="hidden" topLeftCell="A28">
      <selection activeCell="B9" sqref="B9"/>
      <pageMargins left="0" right="0" top="0.74803149606299213" bottom="0.74803149606299213" header="0.31496062992125984" footer="0.31496062992125984"/>
      <printOptions horizontalCentered="1"/>
      <pageSetup paperSize="9" scale="65" orientation="portrait" r:id="rId1"/>
    </customSheetView>
  </customSheetViews>
  <mergeCells count="10">
    <mergeCell ref="A1:H1"/>
    <mergeCell ref="B4:C4"/>
    <mergeCell ref="D4:E4"/>
    <mergeCell ref="A5:A6"/>
    <mergeCell ref="B5:B6"/>
    <mergeCell ref="C5:D5"/>
    <mergeCell ref="E5:E6"/>
    <mergeCell ref="F5:F6"/>
    <mergeCell ref="G5:G6"/>
    <mergeCell ref="H5:H6"/>
  </mergeCells>
  <printOptions horizontalCentered="1"/>
  <pageMargins left="0" right="0" top="0.74803149606299213" bottom="0.74803149606299213" header="0.31496062992125984" footer="0.31496062992125984"/>
  <pageSetup paperSize="9" scale="64" orientation="portrait"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126"/>
  <sheetViews>
    <sheetView topLeftCell="A2" workbookViewId="0">
      <selection activeCell="D51" sqref="D51"/>
    </sheetView>
  </sheetViews>
  <sheetFormatPr defaultRowHeight="15.75" x14ac:dyDescent="0.25"/>
  <cols>
    <col min="1" max="1" width="5.75" style="913" bestFit="1" customWidth="1"/>
    <col min="2" max="2" width="32.875" style="910" customWidth="1"/>
    <col min="3" max="3" width="9.875" style="910" customWidth="1"/>
    <col min="4" max="4" width="8.5" style="910" customWidth="1"/>
    <col min="5" max="5" width="8.625" style="910" customWidth="1"/>
    <col min="6" max="6" width="9" style="910" customWidth="1"/>
    <col min="7" max="7" width="8.625" style="910" customWidth="1"/>
    <col min="8" max="8" width="7.5" style="910" customWidth="1"/>
    <col min="9" max="9" width="7.75" style="910" customWidth="1"/>
    <col min="10" max="10" width="7.125" style="891" customWidth="1"/>
    <col min="11" max="13" width="8.625" style="891" hidden="1" customWidth="1"/>
    <col min="14" max="256" width="9" style="891"/>
    <col min="257" max="257" width="5.75" style="891" bestFit="1" customWidth="1"/>
    <col min="258" max="258" width="38.125" style="891" customWidth="1"/>
    <col min="259" max="259" width="9.625" style="891" customWidth="1"/>
    <col min="260" max="260" width="11.25" style="891" customWidth="1"/>
    <col min="261" max="261" width="10.625" style="891" customWidth="1"/>
    <col min="262" max="262" width="14.375" style="891" customWidth="1"/>
    <col min="263" max="263" width="11.125" style="891" customWidth="1"/>
    <col min="264" max="264" width="10.75" style="891" customWidth="1"/>
    <col min="265" max="265" width="11" style="891" customWidth="1"/>
    <col min="266" max="512" width="9" style="891"/>
    <col min="513" max="513" width="5.75" style="891" bestFit="1" customWidth="1"/>
    <col min="514" max="514" width="38.125" style="891" customWidth="1"/>
    <col min="515" max="515" width="9.625" style="891" customWidth="1"/>
    <col min="516" max="516" width="11.25" style="891" customWidth="1"/>
    <col min="517" max="517" width="10.625" style="891" customWidth="1"/>
    <col min="518" max="518" width="14.375" style="891" customWidth="1"/>
    <col min="519" max="519" width="11.125" style="891" customWidth="1"/>
    <col min="520" max="520" width="10.75" style="891" customWidth="1"/>
    <col min="521" max="521" width="11" style="891" customWidth="1"/>
    <col min="522" max="768" width="9" style="891"/>
    <col min="769" max="769" width="5.75" style="891" bestFit="1" customWidth="1"/>
    <col min="770" max="770" width="38.125" style="891" customWidth="1"/>
    <col min="771" max="771" width="9.625" style="891" customWidth="1"/>
    <col min="772" max="772" width="11.25" style="891" customWidth="1"/>
    <col min="773" max="773" width="10.625" style="891" customWidth="1"/>
    <col min="774" max="774" width="14.375" style="891" customWidth="1"/>
    <col min="775" max="775" width="11.125" style="891" customWidth="1"/>
    <col min="776" max="776" width="10.75" style="891" customWidth="1"/>
    <col min="777" max="777" width="11" style="891" customWidth="1"/>
    <col min="778" max="1024" width="9" style="891"/>
    <col min="1025" max="1025" width="5.75" style="891" bestFit="1" customWidth="1"/>
    <col min="1026" max="1026" width="38.125" style="891" customWidth="1"/>
    <col min="1027" max="1027" width="9.625" style="891" customWidth="1"/>
    <col min="1028" max="1028" width="11.25" style="891" customWidth="1"/>
    <col min="1029" max="1029" width="10.625" style="891" customWidth="1"/>
    <col min="1030" max="1030" width="14.375" style="891" customWidth="1"/>
    <col min="1031" max="1031" width="11.125" style="891" customWidth="1"/>
    <col min="1032" max="1032" width="10.75" style="891" customWidth="1"/>
    <col min="1033" max="1033" width="11" style="891" customWidth="1"/>
    <col min="1034" max="1280" width="9" style="891"/>
    <col min="1281" max="1281" width="5.75" style="891" bestFit="1" customWidth="1"/>
    <col min="1282" max="1282" width="38.125" style="891" customWidth="1"/>
    <col min="1283" max="1283" width="9.625" style="891" customWidth="1"/>
    <col min="1284" max="1284" width="11.25" style="891" customWidth="1"/>
    <col min="1285" max="1285" width="10.625" style="891" customWidth="1"/>
    <col min="1286" max="1286" width="14.375" style="891" customWidth="1"/>
    <col min="1287" max="1287" width="11.125" style="891" customWidth="1"/>
    <col min="1288" max="1288" width="10.75" style="891" customWidth="1"/>
    <col min="1289" max="1289" width="11" style="891" customWidth="1"/>
    <col min="1290" max="1536" width="9" style="891"/>
    <col min="1537" max="1537" width="5.75" style="891" bestFit="1" customWidth="1"/>
    <col min="1538" max="1538" width="38.125" style="891" customWidth="1"/>
    <col min="1539" max="1539" width="9.625" style="891" customWidth="1"/>
    <col min="1540" max="1540" width="11.25" style="891" customWidth="1"/>
    <col min="1541" max="1541" width="10.625" style="891" customWidth="1"/>
    <col min="1542" max="1542" width="14.375" style="891" customWidth="1"/>
    <col min="1543" max="1543" width="11.125" style="891" customWidth="1"/>
    <col min="1544" max="1544" width="10.75" style="891" customWidth="1"/>
    <col min="1545" max="1545" width="11" style="891" customWidth="1"/>
    <col min="1546" max="1792" width="9" style="891"/>
    <col min="1793" max="1793" width="5.75" style="891" bestFit="1" customWidth="1"/>
    <col min="1794" max="1794" width="38.125" style="891" customWidth="1"/>
    <col min="1795" max="1795" width="9.625" style="891" customWidth="1"/>
    <col min="1796" max="1796" width="11.25" style="891" customWidth="1"/>
    <col min="1797" max="1797" width="10.625" style="891" customWidth="1"/>
    <col min="1798" max="1798" width="14.375" style="891" customWidth="1"/>
    <col min="1799" max="1799" width="11.125" style="891" customWidth="1"/>
    <col min="1800" max="1800" width="10.75" style="891" customWidth="1"/>
    <col min="1801" max="1801" width="11" style="891" customWidth="1"/>
    <col min="1802" max="2048" width="9" style="891"/>
    <col min="2049" max="2049" width="5.75" style="891" bestFit="1" customWidth="1"/>
    <col min="2050" max="2050" width="38.125" style="891" customWidth="1"/>
    <col min="2051" max="2051" width="9.625" style="891" customWidth="1"/>
    <col min="2052" max="2052" width="11.25" style="891" customWidth="1"/>
    <col min="2053" max="2053" width="10.625" style="891" customWidth="1"/>
    <col min="2054" max="2054" width="14.375" style="891" customWidth="1"/>
    <col min="2055" max="2055" width="11.125" style="891" customWidth="1"/>
    <col min="2056" max="2056" width="10.75" style="891" customWidth="1"/>
    <col min="2057" max="2057" width="11" style="891" customWidth="1"/>
    <col min="2058" max="2304" width="9" style="891"/>
    <col min="2305" max="2305" width="5.75" style="891" bestFit="1" customWidth="1"/>
    <col min="2306" max="2306" width="38.125" style="891" customWidth="1"/>
    <col min="2307" max="2307" width="9.625" style="891" customWidth="1"/>
    <col min="2308" max="2308" width="11.25" style="891" customWidth="1"/>
    <col min="2309" max="2309" width="10.625" style="891" customWidth="1"/>
    <col min="2310" max="2310" width="14.375" style="891" customWidth="1"/>
    <col min="2311" max="2311" width="11.125" style="891" customWidth="1"/>
    <col min="2312" max="2312" width="10.75" style="891" customWidth="1"/>
    <col min="2313" max="2313" width="11" style="891" customWidth="1"/>
    <col min="2314" max="2560" width="9" style="891"/>
    <col min="2561" max="2561" width="5.75" style="891" bestFit="1" customWidth="1"/>
    <col min="2562" max="2562" width="38.125" style="891" customWidth="1"/>
    <col min="2563" max="2563" width="9.625" style="891" customWidth="1"/>
    <col min="2564" max="2564" width="11.25" style="891" customWidth="1"/>
    <col min="2565" max="2565" width="10.625" style="891" customWidth="1"/>
    <col min="2566" max="2566" width="14.375" style="891" customWidth="1"/>
    <col min="2567" max="2567" width="11.125" style="891" customWidth="1"/>
    <col min="2568" max="2568" width="10.75" style="891" customWidth="1"/>
    <col min="2569" max="2569" width="11" style="891" customWidth="1"/>
    <col min="2570" max="2816" width="9" style="891"/>
    <col min="2817" max="2817" width="5.75" style="891" bestFit="1" customWidth="1"/>
    <col min="2818" max="2818" width="38.125" style="891" customWidth="1"/>
    <col min="2819" max="2819" width="9.625" style="891" customWidth="1"/>
    <col min="2820" max="2820" width="11.25" style="891" customWidth="1"/>
    <col min="2821" max="2821" width="10.625" style="891" customWidth="1"/>
    <col min="2822" max="2822" width="14.375" style="891" customWidth="1"/>
    <col min="2823" max="2823" width="11.125" style="891" customWidth="1"/>
    <col min="2824" max="2824" width="10.75" style="891" customWidth="1"/>
    <col min="2825" max="2825" width="11" style="891" customWidth="1"/>
    <col min="2826" max="3072" width="9" style="891"/>
    <col min="3073" max="3073" width="5.75" style="891" bestFit="1" customWidth="1"/>
    <col min="3074" max="3074" width="38.125" style="891" customWidth="1"/>
    <col min="3075" max="3075" width="9.625" style="891" customWidth="1"/>
    <col min="3076" max="3076" width="11.25" style="891" customWidth="1"/>
    <col min="3077" max="3077" width="10.625" style="891" customWidth="1"/>
    <col min="3078" max="3078" width="14.375" style="891" customWidth="1"/>
    <col min="3079" max="3079" width="11.125" style="891" customWidth="1"/>
    <col min="3080" max="3080" width="10.75" style="891" customWidth="1"/>
    <col min="3081" max="3081" width="11" style="891" customWidth="1"/>
    <col min="3082" max="3328" width="9" style="891"/>
    <col min="3329" max="3329" width="5.75" style="891" bestFit="1" customWidth="1"/>
    <col min="3330" max="3330" width="38.125" style="891" customWidth="1"/>
    <col min="3331" max="3331" width="9.625" style="891" customWidth="1"/>
    <col min="3332" max="3332" width="11.25" style="891" customWidth="1"/>
    <col min="3333" max="3333" width="10.625" style="891" customWidth="1"/>
    <col min="3334" max="3334" width="14.375" style="891" customWidth="1"/>
    <col min="3335" max="3335" width="11.125" style="891" customWidth="1"/>
    <col min="3336" max="3336" width="10.75" style="891" customWidth="1"/>
    <col min="3337" max="3337" width="11" style="891" customWidth="1"/>
    <col min="3338" max="3584" width="9" style="891"/>
    <col min="3585" max="3585" width="5.75" style="891" bestFit="1" customWidth="1"/>
    <col min="3586" max="3586" width="38.125" style="891" customWidth="1"/>
    <col min="3587" max="3587" width="9.625" style="891" customWidth="1"/>
    <col min="3588" max="3588" width="11.25" style="891" customWidth="1"/>
    <col min="3589" max="3589" width="10.625" style="891" customWidth="1"/>
    <col min="3590" max="3590" width="14.375" style="891" customWidth="1"/>
    <col min="3591" max="3591" width="11.125" style="891" customWidth="1"/>
    <col min="3592" max="3592" width="10.75" style="891" customWidth="1"/>
    <col min="3593" max="3593" width="11" style="891" customWidth="1"/>
    <col min="3594" max="3840" width="9" style="891"/>
    <col min="3841" max="3841" width="5.75" style="891" bestFit="1" customWidth="1"/>
    <col min="3842" max="3842" width="38.125" style="891" customWidth="1"/>
    <col min="3843" max="3843" width="9.625" style="891" customWidth="1"/>
    <col min="3844" max="3844" width="11.25" style="891" customWidth="1"/>
    <col min="3845" max="3845" width="10.625" style="891" customWidth="1"/>
    <col min="3846" max="3846" width="14.375" style="891" customWidth="1"/>
    <col min="3847" max="3847" width="11.125" style="891" customWidth="1"/>
    <col min="3848" max="3848" width="10.75" style="891" customWidth="1"/>
    <col min="3849" max="3849" width="11" style="891" customWidth="1"/>
    <col min="3850" max="4096" width="9" style="891"/>
    <col min="4097" max="4097" width="5.75" style="891" bestFit="1" customWidth="1"/>
    <col min="4098" max="4098" width="38.125" style="891" customWidth="1"/>
    <col min="4099" max="4099" width="9.625" style="891" customWidth="1"/>
    <col min="4100" max="4100" width="11.25" style="891" customWidth="1"/>
    <col min="4101" max="4101" width="10.625" style="891" customWidth="1"/>
    <col min="4102" max="4102" width="14.375" style="891" customWidth="1"/>
    <col min="4103" max="4103" width="11.125" style="891" customWidth="1"/>
    <col min="4104" max="4104" width="10.75" style="891" customWidth="1"/>
    <col min="4105" max="4105" width="11" style="891" customWidth="1"/>
    <col min="4106" max="4352" width="9" style="891"/>
    <col min="4353" max="4353" width="5.75" style="891" bestFit="1" customWidth="1"/>
    <col min="4354" max="4354" width="38.125" style="891" customWidth="1"/>
    <col min="4355" max="4355" width="9.625" style="891" customWidth="1"/>
    <col min="4356" max="4356" width="11.25" style="891" customWidth="1"/>
    <col min="4357" max="4357" width="10.625" style="891" customWidth="1"/>
    <col min="4358" max="4358" width="14.375" style="891" customWidth="1"/>
    <col min="4359" max="4359" width="11.125" style="891" customWidth="1"/>
    <col min="4360" max="4360" width="10.75" style="891" customWidth="1"/>
    <col min="4361" max="4361" width="11" style="891" customWidth="1"/>
    <col min="4362" max="4608" width="9" style="891"/>
    <col min="4609" max="4609" width="5.75" style="891" bestFit="1" customWidth="1"/>
    <col min="4610" max="4610" width="38.125" style="891" customWidth="1"/>
    <col min="4611" max="4611" width="9.625" style="891" customWidth="1"/>
    <col min="4612" max="4612" width="11.25" style="891" customWidth="1"/>
    <col min="4613" max="4613" width="10.625" style="891" customWidth="1"/>
    <col min="4614" max="4614" width="14.375" style="891" customWidth="1"/>
    <col min="4615" max="4615" width="11.125" style="891" customWidth="1"/>
    <col min="4616" max="4616" width="10.75" style="891" customWidth="1"/>
    <col min="4617" max="4617" width="11" style="891" customWidth="1"/>
    <col min="4618" max="4864" width="9" style="891"/>
    <col min="4865" max="4865" width="5.75" style="891" bestFit="1" customWidth="1"/>
    <col min="4866" max="4866" width="38.125" style="891" customWidth="1"/>
    <col min="4867" max="4867" width="9.625" style="891" customWidth="1"/>
    <col min="4868" max="4868" width="11.25" style="891" customWidth="1"/>
    <col min="4869" max="4869" width="10.625" style="891" customWidth="1"/>
    <col min="4870" max="4870" width="14.375" style="891" customWidth="1"/>
    <col min="4871" max="4871" width="11.125" style="891" customWidth="1"/>
    <col min="4872" max="4872" width="10.75" style="891" customWidth="1"/>
    <col min="4873" max="4873" width="11" style="891" customWidth="1"/>
    <col min="4874" max="5120" width="9" style="891"/>
    <col min="5121" max="5121" width="5.75" style="891" bestFit="1" customWidth="1"/>
    <col min="5122" max="5122" width="38.125" style="891" customWidth="1"/>
    <col min="5123" max="5123" width="9.625" style="891" customWidth="1"/>
    <col min="5124" max="5124" width="11.25" style="891" customWidth="1"/>
    <col min="5125" max="5125" width="10.625" style="891" customWidth="1"/>
    <col min="5126" max="5126" width="14.375" style="891" customWidth="1"/>
    <col min="5127" max="5127" width="11.125" style="891" customWidth="1"/>
    <col min="5128" max="5128" width="10.75" style="891" customWidth="1"/>
    <col min="5129" max="5129" width="11" style="891" customWidth="1"/>
    <col min="5130" max="5376" width="9" style="891"/>
    <col min="5377" max="5377" width="5.75" style="891" bestFit="1" customWidth="1"/>
    <col min="5378" max="5378" width="38.125" style="891" customWidth="1"/>
    <col min="5379" max="5379" width="9.625" style="891" customWidth="1"/>
    <col min="5380" max="5380" width="11.25" style="891" customWidth="1"/>
    <col min="5381" max="5381" width="10.625" style="891" customWidth="1"/>
    <col min="5382" max="5382" width="14.375" style="891" customWidth="1"/>
    <col min="5383" max="5383" width="11.125" style="891" customWidth="1"/>
    <col min="5384" max="5384" width="10.75" style="891" customWidth="1"/>
    <col min="5385" max="5385" width="11" style="891" customWidth="1"/>
    <col min="5386" max="5632" width="9" style="891"/>
    <col min="5633" max="5633" width="5.75" style="891" bestFit="1" customWidth="1"/>
    <col min="5634" max="5634" width="38.125" style="891" customWidth="1"/>
    <col min="5635" max="5635" width="9.625" style="891" customWidth="1"/>
    <col min="5636" max="5636" width="11.25" style="891" customWidth="1"/>
    <col min="5637" max="5637" width="10.625" style="891" customWidth="1"/>
    <col min="5638" max="5638" width="14.375" style="891" customWidth="1"/>
    <col min="5639" max="5639" width="11.125" style="891" customWidth="1"/>
    <col min="5640" max="5640" width="10.75" style="891" customWidth="1"/>
    <col min="5641" max="5641" width="11" style="891" customWidth="1"/>
    <col min="5642" max="5888" width="9" style="891"/>
    <col min="5889" max="5889" width="5.75" style="891" bestFit="1" customWidth="1"/>
    <col min="5890" max="5890" width="38.125" style="891" customWidth="1"/>
    <col min="5891" max="5891" width="9.625" style="891" customWidth="1"/>
    <col min="5892" max="5892" width="11.25" style="891" customWidth="1"/>
    <col min="5893" max="5893" width="10.625" style="891" customWidth="1"/>
    <col min="5894" max="5894" width="14.375" style="891" customWidth="1"/>
    <col min="5895" max="5895" width="11.125" style="891" customWidth="1"/>
    <col min="5896" max="5896" width="10.75" style="891" customWidth="1"/>
    <col min="5897" max="5897" width="11" style="891" customWidth="1"/>
    <col min="5898" max="6144" width="9" style="891"/>
    <col min="6145" max="6145" width="5.75" style="891" bestFit="1" customWidth="1"/>
    <col min="6146" max="6146" width="38.125" style="891" customWidth="1"/>
    <col min="6147" max="6147" width="9.625" style="891" customWidth="1"/>
    <col min="6148" max="6148" width="11.25" style="891" customWidth="1"/>
    <col min="6149" max="6149" width="10.625" style="891" customWidth="1"/>
    <col min="6150" max="6150" width="14.375" style="891" customWidth="1"/>
    <col min="6151" max="6151" width="11.125" style="891" customWidth="1"/>
    <col min="6152" max="6152" width="10.75" style="891" customWidth="1"/>
    <col min="6153" max="6153" width="11" style="891" customWidth="1"/>
    <col min="6154" max="6400" width="9" style="891"/>
    <col min="6401" max="6401" width="5.75" style="891" bestFit="1" customWidth="1"/>
    <col min="6402" max="6402" width="38.125" style="891" customWidth="1"/>
    <col min="6403" max="6403" width="9.625" style="891" customWidth="1"/>
    <col min="6404" max="6404" width="11.25" style="891" customWidth="1"/>
    <col min="6405" max="6405" width="10.625" style="891" customWidth="1"/>
    <col min="6406" max="6406" width="14.375" style="891" customWidth="1"/>
    <col min="6407" max="6407" width="11.125" style="891" customWidth="1"/>
    <col min="6408" max="6408" width="10.75" style="891" customWidth="1"/>
    <col min="6409" max="6409" width="11" style="891" customWidth="1"/>
    <col min="6410" max="6656" width="9" style="891"/>
    <col min="6657" max="6657" width="5.75" style="891" bestFit="1" customWidth="1"/>
    <col min="6658" max="6658" width="38.125" style="891" customWidth="1"/>
    <col min="6659" max="6659" width="9.625" style="891" customWidth="1"/>
    <col min="6660" max="6660" width="11.25" style="891" customWidth="1"/>
    <col min="6661" max="6661" width="10.625" style="891" customWidth="1"/>
    <col min="6662" max="6662" width="14.375" style="891" customWidth="1"/>
    <col min="6663" max="6663" width="11.125" style="891" customWidth="1"/>
    <col min="6664" max="6664" width="10.75" style="891" customWidth="1"/>
    <col min="6665" max="6665" width="11" style="891" customWidth="1"/>
    <col min="6666" max="6912" width="9" style="891"/>
    <col min="6913" max="6913" width="5.75" style="891" bestFit="1" customWidth="1"/>
    <col min="6914" max="6914" width="38.125" style="891" customWidth="1"/>
    <col min="6915" max="6915" width="9.625" style="891" customWidth="1"/>
    <col min="6916" max="6916" width="11.25" style="891" customWidth="1"/>
    <col min="6917" max="6917" width="10.625" style="891" customWidth="1"/>
    <col min="6918" max="6918" width="14.375" style="891" customWidth="1"/>
    <col min="6919" max="6919" width="11.125" style="891" customWidth="1"/>
    <col min="6920" max="6920" width="10.75" style="891" customWidth="1"/>
    <col min="6921" max="6921" width="11" style="891" customWidth="1"/>
    <col min="6922" max="7168" width="9" style="891"/>
    <col min="7169" max="7169" width="5.75" style="891" bestFit="1" customWidth="1"/>
    <col min="7170" max="7170" width="38.125" style="891" customWidth="1"/>
    <col min="7171" max="7171" width="9.625" style="891" customWidth="1"/>
    <col min="7172" max="7172" width="11.25" style="891" customWidth="1"/>
    <col min="7173" max="7173" width="10.625" style="891" customWidth="1"/>
    <col min="7174" max="7174" width="14.375" style="891" customWidth="1"/>
    <col min="7175" max="7175" width="11.125" style="891" customWidth="1"/>
    <col min="7176" max="7176" width="10.75" style="891" customWidth="1"/>
    <col min="7177" max="7177" width="11" style="891" customWidth="1"/>
    <col min="7178" max="7424" width="9" style="891"/>
    <col min="7425" max="7425" width="5.75" style="891" bestFit="1" customWidth="1"/>
    <col min="7426" max="7426" width="38.125" style="891" customWidth="1"/>
    <col min="7427" max="7427" width="9.625" style="891" customWidth="1"/>
    <col min="7428" max="7428" width="11.25" style="891" customWidth="1"/>
    <col min="7429" max="7429" width="10.625" style="891" customWidth="1"/>
    <col min="7430" max="7430" width="14.375" style="891" customWidth="1"/>
    <col min="7431" max="7431" width="11.125" style="891" customWidth="1"/>
    <col min="7432" max="7432" width="10.75" style="891" customWidth="1"/>
    <col min="7433" max="7433" width="11" style="891" customWidth="1"/>
    <col min="7434" max="7680" width="9" style="891"/>
    <col min="7681" max="7681" width="5.75" style="891" bestFit="1" customWidth="1"/>
    <col min="7682" max="7682" width="38.125" style="891" customWidth="1"/>
    <col min="7683" max="7683" width="9.625" style="891" customWidth="1"/>
    <col min="7684" max="7684" width="11.25" style="891" customWidth="1"/>
    <col min="7685" max="7685" width="10.625" style="891" customWidth="1"/>
    <col min="7686" max="7686" width="14.375" style="891" customWidth="1"/>
    <col min="7687" max="7687" width="11.125" style="891" customWidth="1"/>
    <col min="7688" max="7688" width="10.75" style="891" customWidth="1"/>
    <col min="7689" max="7689" width="11" style="891" customWidth="1"/>
    <col min="7690" max="7936" width="9" style="891"/>
    <col min="7937" max="7937" width="5.75" style="891" bestFit="1" customWidth="1"/>
    <col min="7938" max="7938" width="38.125" style="891" customWidth="1"/>
    <col min="7939" max="7939" width="9.625" style="891" customWidth="1"/>
    <col min="7940" max="7940" width="11.25" style="891" customWidth="1"/>
    <col min="7941" max="7941" width="10.625" style="891" customWidth="1"/>
    <col min="7942" max="7942" width="14.375" style="891" customWidth="1"/>
    <col min="7943" max="7943" width="11.125" style="891" customWidth="1"/>
    <col min="7944" max="7944" width="10.75" style="891" customWidth="1"/>
    <col min="7945" max="7945" width="11" style="891" customWidth="1"/>
    <col min="7946" max="8192" width="9" style="891"/>
    <col min="8193" max="8193" width="5.75" style="891" bestFit="1" customWidth="1"/>
    <col min="8194" max="8194" width="38.125" style="891" customWidth="1"/>
    <col min="8195" max="8195" width="9.625" style="891" customWidth="1"/>
    <col min="8196" max="8196" width="11.25" style="891" customWidth="1"/>
    <col min="8197" max="8197" width="10.625" style="891" customWidth="1"/>
    <col min="8198" max="8198" width="14.375" style="891" customWidth="1"/>
    <col min="8199" max="8199" width="11.125" style="891" customWidth="1"/>
    <col min="8200" max="8200" width="10.75" style="891" customWidth="1"/>
    <col min="8201" max="8201" width="11" style="891" customWidth="1"/>
    <col min="8202" max="8448" width="9" style="891"/>
    <col min="8449" max="8449" width="5.75" style="891" bestFit="1" customWidth="1"/>
    <col min="8450" max="8450" width="38.125" style="891" customWidth="1"/>
    <col min="8451" max="8451" width="9.625" style="891" customWidth="1"/>
    <col min="8452" max="8452" width="11.25" style="891" customWidth="1"/>
    <col min="8453" max="8453" width="10.625" style="891" customWidth="1"/>
    <col min="8454" max="8454" width="14.375" style="891" customWidth="1"/>
    <col min="8455" max="8455" width="11.125" style="891" customWidth="1"/>
    <col min="8456" max="8456" width="10.75" style="891" customWidth="1"/>
    <col min="8457" max="8457" width="11" style="891" customWidth="1"/>
    <col min="8458" max="8704" width="9" style="891"/>
    <col min="8705" max="8705" width="5.75" style="891" bestFit="1" customWidth="1"/>
    <col min="8706" max="8706" width="38.125" style="891" customWidth="1"/>
    <col min="8707" max="8707" width="9.625" style="891" customWidth="1"/>
    <col min="8708" max="8708" width="11.25" style="891" customWidth="1"/>
    <col min="8709" max="8709" width="10.625" style="891" customWidth="1"/>
    <col min="8710" max="8710" width="14.375" style="891" customWidth="1"/>
    <col min="8711" max="8711" width="11.125" style="891" customWidth="1"/>
    <col min="8712" max="8712" width="10.75" style="891" customWidth="1"/>
    <col min="8713" max="8713" width="11" style="891" customWidth="1"/>
    <col min="8714" max="8960" width="9" style="891"/>
    <col min="8961" max="8961" width="5.75" style="891" bestFit="1" customWidth="1"/>
    <col min="8962" max="8962" width="38.125" style="891" customWidth="1"/>
    <col min="8963" max="8963" width="9.625" style="891" customWidth="1"/>
    <col min="8964" max="8964" width="11.25" style="891" customWidth="1"/>
    <col min="8965" max="8965" width="10.625" style="891" customWidth="1"/>
    <col min="8966" max="8966" width="14.375" style="891" customWidth="1"/>
    <col min="8967" max="8967" width="11.125" style="891" customWidth="1"/>
    <col min="8968" max="8968" width="10.75" style="891" customWidth="1"/>
    <col min="8969" max="8969" width="11" style="891" customWidth="1"/>
    <col min="8970" max="9216" width="9" style="891"/>
    <col min="9217" max="9217" width="5.75" style="891" bestFit="1" customWidth="1"/>
    <col min="9218" max="9218" width="38.125" style="891" customWidth="1"/>
    <col min="9219" max="9219" width="9.625" style="891" customWidth="1"/>
    <col min="9220" max="9220" width="11.25" style="891" customWidth="1"/>
    <col min="9221" max="9221" width="10.625" style="891" customWidth="1"/>
    <col min="9222" max="9222" width="14.375" style="891" customWidth="1"/>
    <col min="9223" max="9223" width="11.125" style="891" customWidth="1"/>
    <col min="9224" max="9224" width="10.75" style="891" customWidth="1"/>
    <col min="9225" max="9225" width="11" style="891" customWidth="1"/>
    <col min="9226" max="9472" width="9" style="891"/>
    <col min="9473" max="9473" width="5.75" style="891" bestFit="1" customWidth="1"/>
    <col min="9474" max="9474" width="38.125" style="891" customWidth="1"/>
    <col min="9475" max="9475" width="9.625" style="891" customWidth="1"/>
    <col min="9476" max="9476" width="11.25" style="891" customWidth="1"/>
    <col min="9477" max="9477" width="10.625" style="891" customWidth="1"/>
    <col min="9478" max="9478" width="14.375" style="891" customWidth="1"/>
    <col min="9479" max="9479" width="11.125" style="891" customWidth="1"/>
    <col min="9480" max="9480" width="10.75" style="891" customWidth="1"/>
    <col min="9481" max="9481" width="11" style="891" customWidth="1"/>
    <col min="9482" max="9728" width="9" style="891"/>
    <col min="9729" max="9729" width="5.75" style="891" bestFit="1" customWidth="1"/>
    <col min="9730" max="9730" width="38.125" style="891" customWidth="1"/>
    <col min="9731" max="9731" width="9.625" style="891" customWidth="1"/>
    <col min="9732" max="9732" width="11.25" style="891" customWidth="1"/>
    <col min="9733" max="9733" width="10.625" style="891" customWidth="1"/>
    <col min="9734" max="9734" width="14.375" style="891" customWidth="1"/>
    <col min="9735" max="9735" width="11.125" style="891" customWidth="1"/>
    <col min="9736" max="9736" width="10.75" style="891" customWidth="1"/>
    <col min="9737" max="9737" width="11" style="891" customWidth="1"/>
    <col min="9738" max="9984" width="9" style="891"/>
    <col min="9985" max="9985" width="5.75" style="891" bestFit="1" customWidth="1"/>
    <col min="9986" max="9986" width="38.125" style="891" customWidth="1"/>
    <col min="9987" max="9987" width="9.625" style="891" customWidth="1"/>
    <col min="9988" max="9988" width="11.25" style="891" customWidth="1"/>
    <col min="9989" max="9989" width="10.625" style="891" customWidth="1"/>
    <col min="9990" max="9990" width="14.375" style="891" customWidth="1"/>
    <col min="9991" max="9991" width="11.125" style="891" customWidth="1"/>
    <col min="9992" max="9992" width="10.75" style="891" customWidth="1"/>
    <col min="9993" max="9993" width="11" style="891" customWidth="1"/>
    <col min="9994" max="10240" width="9" style="891"/>
    <col min="10241" max="10241" width="5.75" style="891" bestFit="1" customWidth="1"/>
    <col min="10242" max="10242" width="38.125" style="891" customWidth="1"/>
    <col min="10243" max="10243" width="9.625" style="891" customWidth="1"/>
    <col min="10244" max="10244" width="11.25" style="891" customWidth="1"/>
    <col min="10245" max="10245" width="10.625" style="891" customWidth="1"/>
    <col min="10246" max="10246" width="14.375" style="891" customWidth="1"/>
    <col min="10247" max="10247" width="11.125" style="891" customWidth="1"/>
    <col min="10248" max="10248" width="10.75" style="891" customWidth="1"/>
    <col min="10249" max="10249" width="11" style="891" customWidth="1"/>
    <col min="10250" max="10496" width="9" style="891"/>
    <col min="10497" max="10497" width="5.75" style="891" bestFit="1" customWidth="1"/>
    <col min="10498" max="10498" width="38.125" style="891" customWidth="1"/>
    <col min="10499" max="10499" width="9.625" style="891" customWidth="1"/>
    <col min="10500" max="10500" width="11.25" style="891" customWidth="1"/>
    <col min="10501" max="10501" width="10.625" style="891" customWidth="1"/>
    <col min="10502" max="10502" width="14.375" style="891" customWidth="1"/>
    <col min="10503" max="10503" width="11.125" style="891" customWidth="1"/>
    <col min="10504" max="10504" width="10.75" style="891" customWidth="1"/>
    <col min="10505" max="10505" width="11" style="891" customWidth="1"/>
    <col min="10506" max="10752" width="9" style="891"/>
    <col min="10753" max="10753" width="5.75" style="891" bestFit="1" customWidth="1"/>
    <col min="10754" max="10754" width="38.125" style="891" customWidth="1"/>
    <col min="10755" max="10755" width="9.625" style="891" customWidth="1"/>
    <col min="10756" max="10756" width="11.25" style="891" customWidth="1"/>
    <col min="10757" max="10757" width="10.625" style="891" customWidth="1"/>
    <col min="10758" max="10758" width="14.375" style="891" customWidth="1"/>
    <col min="10759" max="10759" width="11.125" style="891" customWidth="1"/>
    <col min="10760" max="10760" width="10.75" style="891" customWidth="1"/>
    <col min="10761" max="10761" width="11" style="891" customWidth="1"/>
    <col min="10762" max="11008" width="9" style="891"/>
    <col min="11009" max="11009" width="5.75" style="891" bestFit="1" customWidth="1"/>
    <col min="11010" max="11010" width="38.125" style="891" customWidth="1"/>
    <col min="11011" max="11011" width="9.625" style="891" customWidth="1"/>
    <col min="11012" max="11012" width="11.25" style="891" customWidth="1"/>
    <col min="11013" max="11013" width="10.625" style="891" customWidth="1"/>
    <col min="11014" max="11014" width="14.375" style="891" customWidth="1"/>
    <col min="11015" max="11015" width="11.125" style="891" customWidth="1"/>
    <col min="11016" max="11016" width="10.75" style="891" customWidth="1"/>
    <col min="11017" max="11017" width="11" style="891" customWidth="1"/>
    <col min="11018" max="11264" width="9" style="891"/>
    <col min="11265" max="11265" width="5.75" style="891" bestFit="1" customWidth="1"/>
    <col min="11266" max="11266" width="38.125" style="891" customWidth="1"/>
    <col min="11267" max="11267" width="9.625" style="891" customWidth="1"/>
    <col min="11268" max="11268" width="11.25" style="891" customWidth="1"/>
    <col min="11269" max="11269" width="10.625" style="891" customWidth="1"/>
    <col min="11270" max="11270" width="14.375" style="891" customWidth="1"/>
    <col min="11271" max="11271" width="11.125" style="891" customWidth="1"/>
    <col min="11272" max="11272" width="10.75" style="891" customWidth="1"/>
    <col min="11273" max="11273" width="11" style="891" customWidth="1"/>
    <col min="11274" max="11520" width="9" style="891"/>
    <col min="11521" max="11521" width="5.75" style="891" bestFit="1" customWidth="1"/>
    <col min="11522" max="11522" width="38.125" style="891" customWidth="1"/>
    <col min="11523" max="11523" width="9.625" style="891" customWidth="1"/>
    <col min="11524" max="11524" width="11.25" style="891" customWidth="1"/>
    <col min="11525" max="11525" width="10.625" style="891" customWidth="1"/>
    <col min="11526" max="11526" width="14.375" style="891" customWidth="1"/>
    <col min="11527" max="11527" width="11.125" style="891" customWidth="1"/>
    <col min="11528" max="11528" width="10.75" style="891" customWidth="1"/>
    <col min="11529" max="11529" width="11" style="891" customWidth="1"/>
    <col min="11530" max="11776" width="9" style="891"/>
    <col min="11777" max="11777" width="5.75" style="891" bestFit="1" customWidth="1"/>
    <col min="11778" max="11778" width="38.125" style="891" customWidth="1"/>
    <col min="11779" max="11779" width="9.625" style="891" customWidth="1"/>
    <col min="11780" max="11780" width="11.25" style="891" customWidth="1"/>
    <col min="11781" max="11781" width="10.625" style="891" customWidth="1"/>
    <col min="11782" max="11782" width="14.375" style="891" customWidth="1"/>
    <col min="11783" max="11783" width="11.125" style="891" customWidth="1"/>
    <col min="11784" max="11784" width="10.75" style="891" customWidth="1"/>
    <col min="11785" max="11785" width="11" style="891" customWidth="1"/>
    <col min="11786" max="12032" width="9" style="891"/>
    <col min="12033" max="12033" width="5.75" style="891" bestFit="1" customWidth="1"/>
    <col min="12034" max="12034" width="38.125" style="891" customWidth="1"/>
    <col min="12035" max="12035" width="9.625" style="891" customWidth="1"/>
    <col min="12036" max="12036" width="11.25" style="891" customWidth="1"/>
    <col min="12037" max="12037" width="10.625" style="891" customWidth="1"/>
    <col min="12038" max="12038" width="14.375" style="891" customWidth="1"/>
    <col min="12039" max="12039" width="11.125" style="891" customWidth="1"/>
    <col min="12040" max="12040" width="10.75" style="891" customWidth="1"/>
    <col min="12041" max="12041" width="11" style="891" customWidth="1"/>
    <col min="12042" max="12288" width="9" style="891"/>
    <col min="12289" max="12289" width="5.75" style="891" bestFit="1" customWidth="1"/>
    <col min="12290" max="12290" width="38.125" style="891" customWidth="1"/>
    <col min="12291" max="12291" width="9.625" style="891" customWidth="1"/>
    <col min="12292" max="12292" width="11.25" style="891" customWidth="1"/>
    <col min="12293" max="12293" width="10.625" style="891" customWidth="1"/>
    <col min="12294" max="12294" width="14.375" style="891" customWidth="1"/>
    <col min="12295" max="12295" width="11.125" style="891" customWidth="1"/>
    <col min="12296" max="12296" width="10.75" style="891" customWidth="1"/>
    <col min="12297" max="12297" width="11" style="891" customWidth="1"/>
    <col min="12298" max="12544" width="9" style="891"/>
    <col min="12545" max="12545" width="5.75" style="891" bestFit="1" customWidth="1"/>
    <col min="12546" max="12546" width="38.125" style="891" customWidth="1"/>
    <col min="12547" max="12547" width="9.625" style="891" customWidth="1"/>
    <col min="12548" max="12548" width="11.25" style="891" customWidth="1"/>
    <col min="12549" max="12549" width="10.625" style="891" customWidth="1"/>
    <col min="12550" max="12550" width="14.375" style="891" customWidth="1"/>
    <col min="12551" max="12551" width="11.125" style="891" customWidth="1"/>
    <col min="12552" max="12552" width="10.75" style="891" customWidth="1"/>
    <col min="12553" max="12553" width="11" style="891" customWidth="1"/>
    <col min="12554" max="12800" width="9" style="891"/>
    <col min="12801" max="12801" width="5.75" style="891" bestFit="1" customWidth="1"/>
    <col min="12802" max="12802" width="38.125" style="891" customWidth="1"/>
    <col min="12803" max="12803" width="9.625" style="891" customWidth="1"/>
    <col min="12804" max="12804" width="11.25" style="891" customWidth="1"/>
    <col min="12805" max="12805" width="10.625" style="891" customWidth="1"/>
    <col min="12806" max="12806" width="14.375" style="891" customWidth="1"/>
    <col min="12807" max="12807" width="11.125" style="891" customWidth="1"/>
    <col min="12808" max="12808" width="10.75" style="891" customWidth="1"/>
    <col min="12809" max="12809" width="11" style="891" customWidth="1"/>
    <col min="12810" max="13056" width="9" style="891"/>
    <col min="13057" max="13057" width="5.75" style="891" bestFit="1" customWidth="1"/>
    <col min="13058" max="13058" width="38.125" style="891" customWidth="1"/>
    <col min="13059" max="13059" width="9.625" style="891" customWidth="1"/>
    <col min="13060" max="13060" width="11.25" style="891" customWidth="1"/>
    <col min="13061" max="13061" width="10.625" style="891" customWidth="1"/>
    <col min="13062" max="13062" width="14.375" style="891" customWidth="1"/>
    <col min="13063" max="13063" width="11.125" style="891" customWidth="1"/>
    <col min="13064" max="13064" width="10.75" style="891" customWidth="1"/>
    <col min="13065" max="13065" width="11" style="891" customWidth="1"/>
    <col min="13066" max="13312" width="9" style="891"/>
    <col min="13313" max="13313" width="5.75" style="891" bestFit="1" customWidth="1"/>
    <col min="13314" max="13314" width="38.125" style="891" customWidth="1"/>
    <col min="13315" max="13315" width="9.625" style="891" customWidth="1"/>
    <col min="13316" max="13316" width="11.25" style="891" customWidth="1"/>
    <col min="13317" max="13317" width="10.625" style="891" customWidth="1"/>
    <col min="13318" max="13318" width="14.375" style="891" customWidth="1"/>
    <col min="13319" max="13319" width="11.125" style="891" customWidth="1"/>
    <col min="13320" max="13320" width="10.75" style="891" customWidth="1"/>
    <col min="13321" max="13321" width="11" style="891" customWidth="1"/>
    <col min="13322" max="13568" width="9" style="891"/>
    <col min="13569" max="13569" width="5.75" style="891" bestFit="1" customWidth="1"/>
    <col min="13570" max="13570" width="38.125" style="891" customWidth="1"/>
    <col min="13571" max="13571" width="9.625" style="891" customWidth="1"/>
    <col min="13572" max="13572" width="11.25" style="891" customWidth="1"/>
    <col min="13573" max="13573" width="10.625" style="891" customWidth="1"/>
    <col min="13574" max="13574" width="14.375" style="891" customWidth="1"/>
    <col min="13575" max="13575" width="11.125" style="891" customWidth="1"/>
    <col min="13576" max="13576" width="10.75" style="891" customWidth="1"/>
    <col min="13577" max="13577" width="11" style="891" customWidth="1"/>
    <col min="13578" max="13824" width="9" style="891"/>
    <col min="13825" max="13825" width="5.75" style="891" bestFit="1" customWidth="1"/>
    <col min="13826" max="13826" width="38.125" style="891" customWidth="1"/>
    <col min="13827" max="13827" width="9.625" style="891" customWidth="1"/>
    <col min="13828" max="13828" width="11.25" style="891" customWidth="1"/>
    <col min="13829" max="13829" width="10.625" style="891" customWidth="1"/>
    <col min="13830" max="13830" width="14.375" style="891" customWidth="1"/>
    <col min="13831" max="13831" width="11.125" style="891" customWidth="1"/>
    <col min="13832" max="13832" width="10.75" style="891" customWidth="1"/>
    <col min="13833" max="13833" width="11" style="891" customWidth="1"/>
    <col min="13834" max="14080" width="9" style="891"/>
    <col min="14081" max="14081" width="5.75" style="891" bestFit="1" customWidth="1"/>
    <col min="14082" max="14082" width="38.125" style="891" customWidth="1"/>
    <col min="14083" max="14083" width="9.625" style="891" customWidth="1"/>
    <col min="14084" max="14084" width="11.25" style="891" customWidth="1"/>
    <col min="14085" max="14085" width="10.625" style="891" customWidth="1"/>
    <col min="14086" max="14086" width="14.375" style="891" customWidth="1"/>
    <col min="14087" max="14087" width="11.125" style="891" customWidth="1"/>
    <col min="14088" max="14088" width="10.75" style="891" customWidth="1"/>
    <col min="14089" max="14089" width="11" style="891" customWidth="1"/>
    <col min="14090" max="14336" width="9" style="891"/>
    <col min="14337" max="14337" width="5.75" style="891" bestFit="1" customWidth="1"/>
    <col min="14338" max="14338" width="38.125" style="891" customWidth="1"/>
    <col min="14339" max="14339" width="9.625" style="891" customWidth="1"/>
    <col min="14340" max="14340" width="11.25" style="891" customWidth="1"/>
    <col min="14341" max="14341" width="10.625" style="891" customWidth="1"/>
    <col min="14342" max="14342" width="14.375" style="891" customWidth="1"/>
    <col min="14343" max="14343" width="11.125" style="891" customWidth="1"/>
    <col min="14344" max="14344" width="10.75" style="891" customWidth="1"/>
    <col min="14345" max="14345" width="11" style="891" customWidth="1"/>
    <col min="14346" max="14592" width="9" style="891"/>
    <col min="14593" max="14593" width="5.75" style="891" bestFit="1" customWidth="1"/>
    <col min="14594" max="14594" width="38.125" style="891" customWidth="1"/>
    <col min="14595" max="14595" width="9.625" style="891" customWidth="1"/>
    <col min="14596" max="14596" width="11.25" style="891" customWidth="1"/>
    <col min="14597" max="14597" width="10.625" style="891" customWidth="1"/>
    <col min="14598" max="14598" width="14.375" style="891" customWidth="1"/>
    <col min="14599" max="14599" width="11.125" style="891" customWidth="1"/>
    <col min="14600" max="14600" width="10.75" style="891" customWidth="1"/>
    <col min="14601" max="14601" width="11" style="891" customWidth="1"/>
    <col min="14602" max="14848" width="9" style="891"/>
    <col min="14849" max="14849" width="5.75" style="891" bestFit="1" customWidth="1"/>
    <col min="14850" max="14850" width="38.125" style="891" customWidth="1"/>
    <col min="14851" max="14851" width="9.625" style="891" customWidth="1"/>
    <col min="14852" max="14852" width="11.25" style="891" customWidth="1"/>
    <col min="14853" max="14853" width="10.625" style="891" customWidth="1"/>
    <col min="14854" max="14854" width="14.375" style="891" customWidth="1"/>
    <col min="14855" max="14855" width="11.125" style="891" customWidth="1"/>
    <col min="14856" max="14856" width="10.75" style="891" customWidth="1"/>
    <col min="14857" max="14857" width="11" style="891" customWidth="1"/>
    <col min="14858" max="15104" width="9" style="891"/>
    <col min="15105" max="15105" width="5.75" style="891" bestFit="1" customWidth="1"/>
    <col min="15106" max="15106" width="38.125" style="891" customWidth="1"/>
    <col min="15107" max="15107" width="9.625" style="891" customWidth="1"/>
    <col min="15108" max="15108" width="11.25" style="891" customWidth="1"/>
    <col min="15109" max="15109" width="10.625" style="891" customWidth="1"/>
    <col min="15110" max="15110" width="14.375" style="891" customWidth="1"/>
    <col min="15111" max="15111" width="11.125" style="891" customWidth="1"/>
    <col min="15112" max="15112" width="10.75" style="891" customWidth="1"/>
    <col min="15113" max="15113" width="11" style="891" customWidth="1"/>
    <col min="15114" max="15360" width="9" style="891"/>
    <col min="15361" max="15361" width="5.75" style="891" bestFit="1" customWidth="1"/>
    <col min="15362" max="15362" width="38.125" style="891" customWidth="1"/>
    <col min="15363" max="15363" width="9.625" style="891" customWidth="1"/>
    <col min="15364" max="15364" width="11.25" style="891" customWidth="1"/>
    <col min="15365" max="15365" width="10.625" style="891" customWidth="1"/>
    <col min="15366" max="15366" width="14.375" style="891" customWidth="1"/>
    <col min="15367" max="15367" width="11.125" style="891" customWidth="1"/>
    <col min="15368" max="15368" width="10.75" style="891" customWidth="1"/>
    <col min="15369" max="15369" width="11" style="891" customWidth="1"/>
    <col min="15370" max="15616" width="9" style="891"/>
    <col min="15617" max="15617" width="5.75" style="891" bestFit="1" customWidth="1"/>
    <col min="15618" max="15618" width="38.125" style="891" customWidth="1"/>
    <col min="15619" max="15619" width="9.625" style="891" customWidth="1"/>
    <col min="15620" max="15620" width="11.25" style="891" customWidth="1"/>
    <col min="15621" max="15621" width="10.625" style="891" customWidth="1"/>
    <col min="15622" max="15622" width="14.375" style="891" customWidth="1"/>
    <col min="15623" max="15623" width="11.125" style="891" customWidth="1"/>
    <col min="15624" max="15624" width="10.75" style="891" customWidth="1"/>
    <col min="15625" max="15625" width="11" style="891" customWidth="1"/>
    <col min="15626" max="15872" width="9" style="891"/>
    <col min="15873" max="15873" width="5.75" style="891" bestFit="1" customWidth="1"/>
    <col min="15874" max="15874" width="38.125" style="891" customWidth="1"/>
    <col min="15875" max="15875" width="9.625" style="891" customWidth="1"/>
    <col min="15876" max="15876" width="11.25" style="891" customWidth="1"/>
    <col min="15877" max="15877" width="10.625" style="891" customWidth="1"/>
    <col min="15878" max="15878" width="14.375" style="891" customWidth="1"/>
    <col min="15879" max="15879" width="11.125" style="891" customWidth="1"/>
    <col min="15880" max="15880" width="10.75" style="891" customWidth="1"/>
    <col min="15881" max="15881" width="11" style="891" customWidth="1"/>
    <col min="15882" max="16128" width="9" style="891"/>
    <col min="16129" max="16129" width="5.75" style="891" bestFit="1" customWidth="1"/>
    <col min="16130" max="16130" width="38.125" style="891" customWidth="1"/>
    <col min="16131" max="16131" width="9.625" style="891" customWidth="1"/>
    <col min="16132" max="16132" width="11.25" style="891" customWidth="1"/>
    <col min="16133" max="16133" width="10.625" style="891" customWidth="1"/>
    <col min="16134" max="16134" width="14.375" style="891" customWidth="1"/>
    <col min="16135" max="16135" width="11.125" style="891" customWidth="1"/>
    <col min="16136" max="16136" width="10.75" style="891" customWidth="1"/>
    <col min="16137" max="16137" width="11" style="891" customWidth="1"/>
    <col min="16138" max="16384" width="9" style="891"/>
  </cols>
  <sheetData>
    <row r="1" spans="1:99" hidden="1" x14ac:dyDescent="0.25">
      <c r="A1" s="909"/>
      <c r="C1" s="910" t="s">
        <v>1541</v>
      </c>
      <c r="E1" s="910" t="s">
        <v>1537</v>
      </c>
      <c r="AD1" s="891" t="s">
        <v>1537</v>
      </c>
      <c r="AI1" s="910" t="s">
        <v>1541</v>
      </c>
      <c r="AQ1" s="910" t="s">
        <v>1541</v>
      </c>
      <c r="AY1" s="910" t="s">
        <v>1541</v>
      </c>
      <c r="BG1" s="910" t="s">
        <v>1541</v>
      </c>
      <c r="BO1" s="910" t="s">
        <v>1541</v>
      </c>
      <c r="BW1" s="910" t="s">
        <v>1541</v>
      </c>
      <c r="CE1" s="910" t="s">
        <v>1541</v>
      </c>
      <c r="CM1" s="910" t="s">
        <v>1541</v>
      </c>
      <c r="CU1" s="910" t="s">
        <v>1541</v>
      </c>
    </row>
    <row r="2" spans="1:99" x14ac:dyDescent="0.25">
      <c r="A2" s="1377" t="s">
        <v>1408</v>
      </c>
      <c r="B2" s="1377"/>
      <c r="C2" s="1377"/>
      <c r="D2" s="1377"/>
      <c r="E2" s="1377"/>
      <c r="F2" s="1377"/>
      <c r="G2" s="1377"/>
      <c r="H2" s="1377"/>
      <c r="I2" s="1377"/>
    </row>
    <row r="3" spans="1:99" x14ac:dyDescent="0.25">
      <c r="A3" s="1376" t="s">
        <v>519</v>
      </c>
      <c r="B3" s="1376" t="s">
        <v>240</v>
      </c>
      <c r="C3" s="1376" t="s">
        <v>857</v>
      </c>
      <c r="D3" s="1376" t="s">
        <v>841</v>
      </c>
      <c r="E3" s="1376"/>
      <c r="F3" s="1376" t="s">
        <v>905</v>
      </c>
      <c r="G3" s="1376"/>
      <c r="H3" s="1376" t="s">
        <v>952</v>
      </c>
      <c r="I3" s="1376" t="s">
        <v>969</v>
      </c>
      <c r="J3" s="1376" t="s">
        <v>1253</v>
      </c>
      <c r="K3" s="1376" t="s">
        <v>1252</v>
      </c>
      <c r="L3" s="1376" t="s">
        <v>1251</v>
      </c>
      <c r="M3" s="1376" t="s">
        <v>1456</v>
      </c>
    </row>
    <row r="4" spans="1:99" ht="27" customHeight="1" x14ac:dyDescent="0.25">
      <c r="A4" s="1376"/>
      <c r="B4" s="1376"/>
      <c r="C4" s="1376"/>
      <c r="D4" s="911" t="s">
        <v>858</v>
      </c>
      <c r="E4" s="911" t="s">
        <v>859</v>
      </c>
      <c r="F4" s="911" t="s">
        <v>858</v>
      </c>
      <c r="G4" s="911" t="s">
        <v>859</v>
      </c>
      <c r="H4" s="1376"/>
      <c r="I4" s="1376"/>
      <c r="J4" s="1376"/>
      <c r="K4" s="1376"/>
      <c r="L4" s="1376"/>
      <c r="M4" s="1376"/>
    </row>
    <row r="5" spans="1:99" ht="31.5" x14ac:dyDescent="0.25">
      <c r="A5" s="881">
        <v>1</v>
      </c>
      <c r="B5" s="882" t="s">
        <v>860</v>
      </c>
      <c r="C5" s="883" t="s">
        <v>861</v>
      </c>
      <c r="D5" s="898">
        <v>66316</v>
      </c>
      <c r="E5" s="898">
        <f>'KTXH 2021-2025'!H6/1000</f>
        <v>75875.88</v>
      </c>
      <c r="F5" s="898">
        <v>80614</v>
      </c>
      <c r="G5" s="898">
        <f>'KTXH 2021-2025'!I6/1000</f>
        <v>82283</v>
      </c>
      <c r="H5" s="899">
        <f>'KTXH 2021-2025'!J6/1000</f>
        <v>86575</v>
      </c>
      <c r="I5" s="899">
        <f>'KTXH 2021-2025'!L6/1000</f>
        <v>92635.25</v>
      </c>
      <c r="J5" s="899">
        <f>'KTXH 2021-2025'!M6/1000</f>
        <v>99119.717499999999</v>
      </c>
      <c r="K5" s="899">
        <f>'KTXH 2021-2025'!N6/1000</f>
        <v>106058.09772500001</v>
      </c>
      <c r="L5" s="899">
        <f>'KTXH 2021-2025'!O6/1000</f>
        <v>113482.16456575002</v>
      </c>
      <c r="M5" s="899">
        <f>'KTXH 2021-2025'!P6/1000</f>
        <v>121425.91608535252</v>
      </c>
    </row>
    <row r="6" spans="1:99" ht="31.5" x14ac:dyDescent="0.25">
      <c r="A6" s="884">
        <v>2</v>
      </c>
      <c r="B6" s="885" t="s">
        <v>862</v>
      </c>
      <c r="C6" s="886" t="s">
        <v>854</v>
      </c>
      <c r="D6" s="889">
        <v>8.1199999999999992</v>
      </c>
      <c r="E6" s="889">
        <f>E5/D5*100-100</f>
        <v>14.415646299535553</v>
      </c>
      <c r="F6" s="900">
        <f>F5/E5*100-100</f>
        <v>6.2445667845961026</v>
      </c>
      <c r="G6" s="889">
        <f>G5/E5*100-100</f>
        <v>8.4442117837710668</v>
      </c>
      <c r="H6" s="901">
        <f t="shared" ref="H6:M6" si="0">H5/G5*100-100</f>
        <v>5.2161442825371012</v>
      </c>
      <c r="I6" s="901">
        <f t="shared" si="0"/>
        <v>7</v>
      </c>
      <c r="J6" s="901">
        <f t="shared" si="0"/>
        <v>7</v>
      </c>
      <c r="K6" s="901">
        <f t="shared" si="0"/>
        <v>7</v>
      </c>
      <c r="L6" s="901">
        <f t="shared" si="0"/>
        <v>7</v>
      </c>
      <c r="M6" s="901">
        <f t="shared" si="0"/>
        <v>7</v>
      </c>
    </row>
    <row r="7" spans="1:99" x14ac:dyDescent="0.25">
      <c r="A7" s="884">
        <v>3</v>
      </c>
      <c r="B7" s="885" t="s">
        <v>863</v>
      </c>
      <c r="C7" s="886"/>
      <c r="D7" s="888">
        <f>SUM(D8:D10)</f>
        <v>100</v>
      </c>
      <c r="E7" s="888">
        <f t="shared" ref="E7:M7" si="1">SUM(E8:E10)</f>
        <v>100</v>
      </c>
      <c r="F7" s="888">
        <f>SUM(F8:F10)</f>
        <v>100</v>
      </c>
      <c r="G7" s="888">
        <f>SUM(G8:G10)</f>
        <v>100</v>
      </c>
      <c r="H7" s="888">
        <f t="shared" si="1"/>
        <v>100</v>
      </c>
      <c r="I7" s="888">
        <f t="shared" si="1"/>
        <v>100</v>
      </c>
      <c r="J7" s="888">
        <f t="shared" si="1"/>
        <v>100</v>
      </c>
      <c r="K7" s="888">
        <f t="shared" si="1"/>
        <v>100</v>
      </c>
      <c r="L7" s="888">
        <f t="shared" si="1"/>
        <v>100</v>
      </c>
      <c r="M7" s="888">
        <f t="shared" si="1"/>
        <v>100</v>
      </c>
    </row>
    <row r="8" spans="1:99" x14ac:dyDescent="0.25">
      <c r="A8" s="884" t="s">
        <v>564</v>
      </c>
      <c r="B8" s="887" t="s">
        <v>864</v>
      </c>
      <c r="C8" s="886" t="s">
        <v>854</v>
      </c>
      <c r="D8" s="889">
        <v>34.39</v>
      </c>
      <c r="E8" s="889">
        <v>33.54</v>
      </c>
      <c r="F8" s="900">
        <v>31.34</v>
      </c>
      <c r="G8" s="889">
        <v>32.340000000000003</v>
      </c>
      <c r="H8" s="902">
        <v>31.58</v>
      </c>
      <c r="I8" s="902">
        <v>30.49</v>
      </c>
      <c r="J8" s="903">
        <v>29.44</v>
      </c>
      <c r="K8" s="903">
        <v>28.39</v>
      </c>
      <c r="L8" s="903">
        <v>27.36</v>
      </c>
      <c r="M8" s="903">
        <v>26.15</v>
      </c>
    </row>
    <row r="9" spans="1:99" x14ac:dyDescent="0.25">
      <c r="A9" s="884" t="s">
        <v>564</v>
      </c>
      <c r="B9" s="887" t="s">
        <v>865</v>
      </c>
      <c r="C9" s="886" t="s">
        <v>854</v>
      </c>
      <c r="D9" s="889">
        <v>23.65</v>
      </c>
      <c r="E9" s="889">
        <v>21.98</v>
      </c>
      <c r="F9" s="900">
        <v>23.91</v>
      </c>
      <c r="G9" s="889">
        <v>22.79</v>
      </c>
      <c r="H9" s="902">
        <v>23.19</v>
      </c>
      <c r="I9" s="902">
        <v>25.38</v>
      </c>
      <c r="J9" s="903">
        <v>26.03</v>
      </c>
      <c r="K9" s="903">
        <v>26.62</v>
      </c>
      <c r="L9" s="903">
        <v>27.27</v>
      </c>
      <c r="M9" s="903">
        <v>28.59</v>
      </c>
    </row>
    <row r="10" spans="1:99" x14ac:dyDescent="0.25">
      <c r="A10" s="884" t="s">
        <v>564</v>
      </c>
      <c r="B10" s="887" t="s">
        <v>866</v>
      </c>
      <c r="C10" s="886" t="s">
        <v>854</v>
      </c>
      <c r="D10" s="889">
        <v>41.96</v>
      </c>
      <c r="E10" s="889">
        <v>44.48</v>
      </c>
      <c r="F10" s="900">
        <v>44.75</v>
      </c>
      <c r="G10" s="889">
        <v>44.87</v>
      </c>
      <c r="H10" s="904">
        <v>45.23</v>
      </c>
      <c r="I10" s="904">
        <v>44.13</v>
      </c>
      <c r="J10" s="905">
        <v>44.53</v>
      </c>
      <c r="K10" s="905">
        <v>44.99</v>
      </c>
      <c r="L10" s="905">
        <v>45.37</v>
      </c>
      <c r="M10" s="905">
        <v>45.26</v>
      </c>
    </row>
    <row r="11" spans="1:99" x14ac:dyDescent="0.25">
      <c r="A11" s="884">
        <v>4</v>
      </c>
      <c r="B11" s="885" t="s">
        <v>867</v>
      </c>
      <c r="C11" s="886" t="s">
        <v>854</v>
      </c>
      <c r="D11" s="888"/>
      <c r="E11" s="888"/>
      <c r="F11" s="888"/>
      <c r="G11" s="888"/>
      <c r="H11" s="888"/>
      <c r="I11" s="888"/>
      <c r="J11" s="888"/>
      <c r="K11" s="888"/>
      <c r="L11" s="888"/>
      <c r="M11" s="888"/>
    </row>
    <row r="12" spans="1:99" ht="31.5" x14ac:dyDescent="0.25">
      <c r="A12" s="884">
        <v>5</v>
      </c>
      <c r="B12" s="885" t="s">
        <v>868</v>
      </c>
      <c r="C12" s="886" t="s">
        <v>861</v>
      </c>
      <c r="D12" s="888">
        <v>17573</v>
      </c>
      <c r="E12" s="888">
        <v>16190</v>
      </c>
      <c r="F12" s="906">
        <v>19347</v>
      </c>
      <c r="G12" s="888">
        <v>17145</v>
      </c>
      <c r="H12" s="888">
        <v>18910</v>
      </c>
      <c r="I12" s="888">
        <v>23377</v>
      </c>
      <c r="J12" s="888">
        <v>26067</v>
      </c>
      <c r="K12" s="888">
        <v>28716</v>
      </c>
      <c r="L12" s="888">
        <v>31640</v>
      </c>
      <c r="M12" s="888">
        <v>38599</v>
      </c>
    </row>
    <row r="13" spans="1:99" x14ac:dyDescent="0.25">
      <c r="A13" s="884"/>
      <c r="B13" s="887" t="s">
        <v>869</v>
      </c>
      <c r="C13" s="886" t="s">
        <v>854</v>
      </c>
      <c r="D13" s="901">
        <v>26.5</v>
      </c>
      <c r="E13" s="889">
        <v>22.22</v>
      </c>
      <c r="F13" s="907">
        <v>24</v>
      </c>
      <c r="G13" s="889">
        <v>21.36</v>
      </c>
      <c r="H13" s="889">
        <v>21.67</v>
      </c>
      <c r="I13" s="889">
        <v>24.33</v>
      </c>
      <c r="J13" s="889">
        <v>24.62</v>
      </c>
      <c r="K13" s="889">
        <v>24.61</v>
      </c>
      <c r="L13" s="889">
        <v>24.6</v>
      </c>
      <c r="M13" s="889">
        <v>26.99</v>
      </c>
    </row>
    <row r="14" spans="1:99" x14ac:dyDescent="0.25">
      <c r="A14" s="884">
        <v>6</v>
      </c>
      <c r="B14" s="885" t="s">
        <v>870</v>
      </c>
      <c r="C14" s="886" t="s">
        <v>871</v>
      </c>
      <c r="D14" s="888">
        <v>1030</v>
      </c>
      <c r="E14" s="888">
        <v>1324</v>
      </c>
      <c r="F14" s="888">
        <v>1350</v>
      </c>
      <c r="G14" s="888">
        <v>1270</v>
      </c>
      <c r="H14" s="888">
        <v>1300</v>
      </c>
      <c r="I14" s="906">
        <v>1360</v>
      </c>
      <c r="J14" s="906">
        <v>1420</v>
      </c>
      <c r="K14" s="906">
        <v>1482</v>
      </c>
      <c r="L14" s="906">
        <v>1545</v>
      </c>
      <c r="M14" s="906">
        <v>1660</v>
      </c>
    </row>
    <row r="15" spans="1:99" x14ac:dyDescent="0.25">
      <c r="A15" s="884"/>
      <c r="B15" s="887" t="s">
        <v>872</v>
      </c>
      <c r="C15" s="886" t="s">
        <v>854</v>
      </c>
      <c r="D15" s="889">
        <v>3.01</v>
      </c>
      <c r="E15" s="889">
        <v>29.8</v>
      </c>
      <c r="F15" s="889">
        <v>3.9</v>
      </c>
      <c r="G15" s="889">
        <v>-4.0999999999999996</v>
      </c>
      <c r="H15" s="901">
        <f t="shared" ref="H15:M15" si="2">H14/G14*100-100</f>
        <v>2.3622047244094517</v>
      </c>
      <c r="I15" s="901">
        <f t="shared" si="2"/>
        <v>4.6153846153846274</v>
      </c>
      <c r="J15" s="901">
        <f t="shared" si="2"/>
        <v>4.4117647058823621</v>
      </c>
      <c r="K15" s="901">
        <f t="shared" si="2"/>
        <v>4.3661971830985919</v>
      </c>
      <c r="L15" s="901">
        <f t="shared" si="2"/>
        <v>4.2510121457489873</v>
      </c>
      <c r="M15" s="901">
        <f t="shared" si="2"/>
        <v>7.4433656957928633</v>
      </c>
    </row>
    <row r="16" spans="1:99" x14ac:dyDescent="0.25">
      <c r="A16" s="884">
        <v>7</v>
      </c>
      <c r="B16" s="885" t="s">
        <v>873</v>
      </c>
      <c r="C16" s="886" t="s">
        <v>871</v>
      </c>
      <c r="D16" s="888">
        <v>390</v>
      </c>
      <c r="E16" s="888">
        <v>401</v>
      </c>
      <c r="F16" s="888">
        <v>420</v>
      </c>
      <c r="G16" s="888">
        <v>420</v>
      </c>
      <c r="H16" s="888">
        <v>425</v>
      </c>
      <c r="I16" s="906">
        <v>440</v>
      </c>
      <c r="J16" s="906">
        <v>455</v>
      </c>
      <c r="K16" s="906">
        <v>470</v>
      </c>
      <c r="L16" s="906">
        <v>485</v>
      </c>
      <c r="M16" s="906">
        <v>500</v>
      </c>
    </row>
    <row r="17" spans="1:13" x14ac:dyDescent="0.25">
      <c r="A17" s="884"/>
      <c r="B17" s="887" t="s">
        <v>872</v>
      </c>
      <c r="C17" s="886" t="s">
        <v>854</v>
      </c>
      <c r="D17" s="889">
        <v>1.32</v>
      </c>
      <c r="E17" s="889">
        <v>3.62</v>
      </c>
      <c r="F17" s="889">
        <v>1.1100000000000001</v>
      </c>
      <c r="G17" s="889">
        <f>G16/E16*100-100</f>
        <v>4.7381546134663353</v>
      </c>
      <c r="H17" s="889">
        <f t="shared" ref="H17:M17" si="3">H16/F16*100-100</f>
        <v>1.1904761904761898</v>
      </c>
      <c r="I17" s="889">
        <f t="shared" si="3"/>
        <v>4.7619047619047734</v>
      </c>
      <c r="J17" s="889">
        <f t="shared" si="3"/>
        <v>7.058823529411768</v>
      </c>
      <c r="K17" s="889">
        <f t="shared" si="3"/>
        <v>6.818181818181813</v>
      </c>
      <c r="L17" s="889">
        <f t="shared" si="3"/>
        <v>6.5934065934065984</v>
      </c>
      <c r="M17" s="889">
        <f t="shared" si="3"/>
        <v>6.3829787234042499</v>
      </c>
    </row>
    <row r="18" spans="1:13" x14ac:dyDescent="0.25">
      <c r="A18" s="884">
        <v>8</v>
      </c>
      <c r="B18" s="885" t="s">
        <v>874</v>
      </c>
      <c r="C18" s="886" t="s">
        <v>875</v>
      </c>
      <c r="D18" s="888">
        <v>1694</v>
      </c>
      <c r="E18" s="888">
        <v>1693</v>
      </c>
      <c r="F18" s="888">
        <v>1599</v>
      </c>
      <c r="G18" s="888">
        <v>1599</v>
      </c>
      <c r="H18" s="888">
        <v>1600</v>
      </c>
      <c r="I18" s="888">
        <v>1601</v>
      </c>
      <c r="J18" s="888">
        <v>1602</v>
      </c>
      <c r="K18" s="888">
        <v>1603</v>
      </c>
      <c r="L18" s="888">
        <v>1604</v>
      </c>
      <c r="M18" s="888">
        <v>1605</v>
      </c>
    </row>
    <row r="19" spans="1:13" x14ac:dyDescent="0.25">
      <c r="A19" s="884">
        <v>9</v>
      </c>
      <c r="B19" s="885" t="s">
        <v>876</v>
      </c>
      <c r="C19" s="886" t="s">
        <v>239</v>
      </c>
      <c r="D19" s="889"/>
      <c r="E19" s="889">
        <v>39.28</v>
      </c>
      <c r="F19" s="889"/>
      <c r="G19" s="889">
        <v>43.8</v>
      </c>
      <c r="H19" s="889">
        <v>47.98</v>
      </c>
      <c r="I19" s="889"/>
      <c r="J19" s="889"/>
      <c r="K19" s="889"/>
      <c r="L19" s="889"/>
      <c r="M19" s="889"/>
    </row>
    <row r="20" spans="1:13" x14ac:dyDescent="0.25">
      <c r="A20" s="884"/>
      <c r="B20" s="885" t="s">
        <v>1570</v>
      </c>
      <c r="C20" s="886" t="s">
        <v>239</v>
      </c>
      <c r="D20" s="889">
        <v>37.799999999999997</v>
      </c>
      <c r="E20" s="889">
        <v>45.37</v>
      </c>
      <c r="F20" s="889">
        <v>50.4</v>
      </c>
      <c r="G20" s="889">
        <v>50.19</v>
      </c>
      <c r="H20" s="889">
        <v>54.539000000000001</v>
      </c>
      <c r="I20" s="889">
        <v>60.01</v>
      </c>
      <c r="J20" s="889">
        <v>66.09</v>
      </c>
      <c r="K20" s="889">
        <v>72.8</v>
      </c>
      <c r="L20" s="889">
        <v>80.180000000000007</v>
      </c>
      <c r="M20" s="889">
        <v>89.1</v>
      </c>
    </row>
    <row r="21" spans="1:13" x14ac:dyDescent="0.25">
      <c r="A21" s="884">
        <v>10</v>
      </c>
      <c r="B21" s="885" t="s">
        <v>877</v>
      </c>
      <c r="C21" s="886" t="s">
        <v>854</v>
      </c>
      <c r="D21" s="901">
        <v>1.5</v>
      </c>
      <c r="E21" s="889">
        <v>1.83</v>
      </c>
      <c r="F21" s="901">
        <v>1.5</v>
      </c>
      <c r="G21" s="901">
        <v>1.5</v>
      </c>
      <c r="H21" s="901">
        <v>1.5</v>
      </c>
      <c r="I21" s="908">
        <v>1</v>
      </c>
      <c r="J21" s="908">
        <v>1</v>
      </c>
      <c r="K21" s="908">
        <v>1</v>
      </c>
      <c r="L21" s="908">
        <v>1</v>
      </c>
      <c r="M21" s="908">
        <v>1</v>
      </c>
    </row>
    <row r="22" spans="1:13" x14ac:dyDescent="0.25">
      <c r="A22" s="884">
        <v>11</v>
      </c>
      <c r="B22" s="914" t="s">
        <v>878</v>
      </c>
      <c r="C22" s="886" t="s">
        <v>854</v>
      </c>
      <c r="D22" s="889">
        <v>4.28</v>
      </c>
      <c r="E22" s="889">
        <v>4.28</v>
      </c>
      <c r="F22" s="889">
        <v>2.78</v>
      </c>
      <c r="G22" s="889">
        <v>2.78</v>
      </c>
      <c r="H22" s="889">
        <v>1.28</v>
      </c>
      <c r="I22" s="889">
        <v>4.6900000000000004</v>
      </c>
      <c r="J22" s="889">
        <v>3.68</v>
      </c>
      <c r="K22" s="889">
        <v>2.68</v>
      </c>
      <c r="L22" s="889">
        <v>1.64</v>
      </c>
      <c r="M22" s="889">
        <v>1.1399999999999999</v>
      </c>
    </row>
    <row r="23" spans="1:13" x14ac:dyDescent="0.25">
      <c r="A23" s="884">
        <v>12</v>
      </c>
      <c r="B23" s="885" t="s">
        <v>1571</v>
      </c>
      <c r="C23" s="886"/>
      <c r="D23" s="888"/>
      <c r="E23" s="888"/>
      <c r="F23" s="888"/>
      <c r="G23" s="888"/>
      <c r="H23" s="888"/>
      <c r="I23" s="888"/>
      <c r="J23" s="888"/>
      <c r="K23" s="888"/>
      <c r="L23" s="888"/>
      <c r="M23" s="888"/>
    </row>
    <row r="24" spans="1:13" x14ac:dyDescent="0.25">
      <c r="A24" s="884"/>
      <c r="B24" s="890" t="s">
        <v>879</v>
      </c>
      <c r="C24" s="886" t="s">
        <v>880</v>
      </c>
      <c r="D24" s="888">
        <v>18304</v>
      </c>
      <c r="E24" s="888">
        <v>17411</v>
      </c>
      <c r="F24" s="888">
        <v>17820</v>
      </c>
      <c r="G24" s="888"/>
      <c r="H24" s="888"/>
      <c r="I24" s="888"/>
      <c r="J24" s="888"/>
      <c r="K24" s="888"/>
      <c r="L24" s="888"/>
      <c r="M24" s="888"/>
    </row>
    <row r="25" spans="1:13" x14ac:dyDescent="0.25">
      <c r="A25" s="884"/>
      <c r="B25" s="885" t="s">
        <v>881</v>
      </c>
      <c r="C25" s="886" t="s">
        <v>880</v>
      </c>
      <c r="D25" s="888">
        <v>342628</v>
      </c>
      <c r="E25" s="888">
        <v>339010</v>
      </c>
      <c r="F25" s="888">
        <v>340210</v>
      </c>
      <c r="G25" s="888"/>
      <c r="H25" s="888"/>
      <c r="I25" s="888"/>
      <c r="J25" s="888"/>
      <c r="K25" s="888"/>
      <c r="L25" s="888"/>
      <c r="M25" s="888"/>
    </row>
    <row r="26" spans="1:13" x14ac:dyDescent="0.25">
      <c r="A26" s="884"/>
      <c r="B26" s="885" t="s">
        <v>311</v>
      </c>
      <c r="C26" s="886"/>
      <c r="D26" s="888"/>
      <c r="E26" s="888"/>
      <c r="F26" s="888"/>
      <c r="G26" s="888"/>
      <c r="H26" s="888"/>
      <c r="I26" s="888"/>
      <c r="J26" s="888"/>
      <c r="K26" s="888"/>
      <c r="L26" s="888"/>
      <c r="M26" s="888"/>
    </row>
    <row r="27" spans="1:13" x14ac:dyDescent="0.25">
      <c r="A27" s="884"/>
      <c r="B27" s="885" t="s">
        <v>882</v>
      </c>
      <c r="C27" s="886" t="s">
        <v>880</v>
      </c>
      <c r="D27" s="888"/>
      <c r="E27" s="888"/>
      <c r="F27" s="888"/>
      <c r="G27" s="888"/>
      <c r="H27" s="888"/>
      <c r="I27" s="888"/>
      <c r="J27" s="888"/>
      <c r="K27" s="888"/>
      <c r="L27" s="888"/>
      <c r="M27" s="888"/>
    </row>
    <row r="28" spans="1:13" x14ac:dyDescent="0.25">
      <c r="A28" s="884"/>
      <c r="B28" s="885" t="s">
        <v>883</v>
      </c>
      <c r="C28" s="886" t="s">
        <v>880</v>
      </c>
      <c r="D28" s="888"/>
      <c r="E28" s="888"/>
      <c r="F28" s="888"/>
      <c r="G28" s="888"/>
      <c r="H28" s="888"/>
      <c r="I28" s="888"/>
      <c r="J28" s="888"/>
      <c r="K28" s="888"/>
      <c r="L28" s="888"/>
      <c r="M28" s="888"/>
    </row>
    <row r="29" spans="1:13" ht="31.5" x14ac:dyDescent="0.25">
      <c r="A29" s="884"/>
      <c r="B29" s="885" t="s">
        <v>884</v>
      </c>
      <c r="C29" s="886" t="s">
        <v>880</v>
      </c>
      <c r="D29" s="888"/>
      <c r="E29" s="888"/>
      <c r="F29" s="888"/>
      <c r="G29" s="888"/>
      <c r="H29" s="888"/>
      <c r="I29" s="888"/>
      <c r="J29" s="888"/>
      <c r="K29" s="888"/>
      <c r="L29" s="888"/>
      <c r="M29" s="888"/>
    </row>
    <row r="30" spans="1:13" ht="31.5" x14ac:dyDescent="0.25">
      <c r="A30" s="884"/>
      <c r="B30" s="885" t="s">
        <v>1572</v>
      </c>
      <c r="C30" s="886" t="s">
        <v>885</v>
      </c>
      <c r="D30" s="888"/>
      <c r="E30" s="888"/>
      <c r="F30" s="888"/>
      <c r="G30" s="888"/>
      <c r="H30" s="888"/>
      <c r="I30" s="888"/>
      <c r="J30" s="888"/>
      <c r="K30" s="888"/>
      <c r="L30" s="888"/>
      <c r="M30" s="888"/>
    </row>
    <row r="31" spans="1:13" x14ac:dyDescent="0.25">
      <c r="A31" s="884">
        <v>13</v>
      </c>
      <c r="B31" s="885" t="s">
        <v>886</v>
      </c>
      <c r="C31" s="886"/>
      <c r="D31" s="888"/>
      <c r="E31" s="888"/>
      <c r="F31" s="888"/>
      <c r="G31" s="888"/>
      <c r="H31" s="888"/>
      <c r="I31" s="888"/>
      <c r="J31" s="888"/>
      <c r="K31" s="888"/>
      <c r="L31" s="888"/>
      <c r="M31" s="888"/>
    </row>
    <row r="32" spans="1:13" x14ac:dyDescent="0.25">
      <c r="A32" s="884"/>
      <c r="B32" s="885" t="s">
        <v>887</v>
      </c>
      <c r="C32" s="886" t="s">
        <v>888</v>
      </c>
      <c r="D32" s="888">
        <v>395</v>
      </c>
      <c r="E32" s="888">
        <v>395</v>
      </c>
      <c r="F32" s="888">
        <v>396</v>
      </c>
      <c r="G32" s="888">
        <f>'[1]Tong hop'!K220</f>
        <v>173</v>
      </c>
      <c r="H32" s="888">
        <f>'[1]Tong hop'!L220</f>
        <v>173</v>
      </c>
      <c r="I32" s="888">
        <v>173</v>
      </c>
      <c r="J32" s="888">
        <v>173</v>
      </c>
      <c r="K32" s="888">
        <v>173</v>
      </c>
      <c r="L32" s="888">
        <v>173</v>
      </c>
      <c r="M32" s="888">
        <v>173</v>
      </c>
    </row>
    <row r="33" spans="1:13" x14ac:dyDescent="0.25">
      <c r="A33" s="884"/>
      <c r="B33" s="885" t="s">
        <v>889</v>
      </c>
      <c r="C33" s="886" t="s">
        <v>890</v>
      </c>
      <c r="D33" s="888">
        <v>5003</v>
      </c>
      <c r="E33" s="888">
        <v>5023</v>
      </c>
      <c r="F33" s="888">
        <v>5123</v>
      </c>
      <c r="G33" s="888">
        <f>'[1]Tong hop'!K223</f>
        <v>4977</v>
      </c>
      <c r="H33" s="888">
        <f>'[1]Tong hop'!L223</f>
        <v>5027</v>
      </c>
      <c r="I33" s="888">
        <v>5027</v>
      </c>
      <c r="J33" s="888">
        <v>5027</v>
      </c>
      <c r="K33" s="888">
        <v>5027</v>
      </c>
      <c r="L33" s="888">
        <v>5027</v>
      </c>
      <c r="M33" s="888">
        <v>5027</v>
      </c>
    </row>
    <row r="34" spans="1:13" x14ac:dyDescent="0.25">
      <c r="A34" s="884"/>
      <c r="B34" s="885" t="s">
        <v>311</v>
      </c>
      <c r="C34" s="886"/>
      <c r="D34" s="888"/>
      <c r="E34" s="888"/>
      <c r="F34" s="888"/>
      <c r="G34" s="888"/>
      <c r="H34" s="888"/>
      <c r="I34" s="888"/>
      <c r="J34" s="888"/>
      <c r="K34" s="888"/>
      <c r="L34" s="888"/>
      <c r="M34" s="888"/>
    </row>
    <row r="35" spans="1:13" x14ac:dyDescent="0.25">
      <c r="A35" s="884"/>
      <c r="B35" s="885" t="s">
        <v>891</v>
      </c>
      <c r="C35" s="886" t="s">
        <v>890</v>
      </c>
      <c r="D35" s="888">
        <v>2760</v>
      </c>
      <c r="E35" s="888">
        <v>2780</v>
      </c>
      <c r="F35" s="888">
        <v>2860</v>
      </c>
      <c r="G35" s="888">
        <f>'[1]Tong hop'!K225</f>
        <v>2742</v>
      </c>
      <c r="H35" s="888">
        <f>'[1]Tong hop'!L225</f>
        <v>2770</v>
      </c>
      <c r="I35" s="888">
        <v>2770</v>
      </c>
      <c r="J35" s="888">
        <v>2770</v>
      </c>
      <c r="K35" s="888">
        <v>2770</v>
      </c>
      <c r="L35" s="888">
        <v>2770</v>
      </c>
      <c r="M35" s="888">
        <v>2770</v>
      </c>
    </row>
    <row r="36" spans="1:13" x14ac:dyDescent="0.25">
      <c r="A36" s="884"/>
      <c r="B36" s="885" t="s">
        <v>892</v>
      </c>
      <c r="C36" s="886" t="s">
        <v>890</v>
      </c>
      <c r="D36" s="888">
        <v>1120</v>
      </c>
      <c r="E36" s="888">
        <v>1120</v>
      </c>
      <c r="F36" s="888">
        <v>1140</v>
      </c>
      <c r="G36" s="888">
        <f>'[1]Tong hop'!K226</f>
        <v>1313</v>
      </c>
      <c r="H36" s="888">
        <f>'[1]Tong hop'!L226</f>
        <v>1122</v>
      </c>
      <c r="I36" s="888">
        <v>1122</v>
      </c>
      <c r="J36" s="888">
        <v>1122</v>
      </c>
      <c r="K36" s="888">
        <v>1122</v>
      </c>
      <c r="L36" s="888">
        <v>1122</v>
      </c>
      <c r="M36" s="888">
        <v>1122</v>
      </c>
    </row>
    <row r="37" spans="1:13" x14ac:dyDescent="0.25">
      <c r="A37" s="884"/>
      <c r="B37" s="885" t="s">
        <v>893</v>
      </c>
      <c r="C37" s="886" t="s">
        <v>890</v>
      </c>
      <c r="D37" s="888">
        <v>210</v>
      </c>
      <c r="E37" s="888">
        <v>210</v>
      </c>
      <c r="F37" s="888">
        <v>210</v>
      </c>
      <c r="G37" s="888">
        <f>'[1]Tong hop'!K227</f>
        <v>200</v>
      </c>
      <c r="H37" s="888">
        <f>'[1]Tong hop'!L227</f>
        <v>200</v>
      </c>
      <c r="I37" s="888">
        <v>200</v>
      </c>
      <c r="J37" s="888">
        <v>200</v>
      </c>
      <c r="K37" s="888">
        <v>200</v>
      </c>
      <c r="L37" s="888">
        <v>200</v>
      </c>
      <c r="M37" s="888">
        <v>200</v>
      </c>
    </row>
    <row r="38" spans="1:13" x14ac:dyDescent="0.25">
      <c r="A38" s="884"/>
      <c r="B38" s="885" t="s">
        <v>894</v>
      </c>
      <c r="C38" s="886" t="s">
        <v>890</v>
      </c>
      <c r="D38" s="888">
        <v>913</v>
      </c>
      <c r="E38" s="888">
        <v>913</v>
      </c>
      <c r="F38" s="888">
        <v>913</v>
      </c>
      <c r="G38" s="888">
        <f>'[1]Tong hop'!K228</f>
        <v>913</v>
      </c>
      <c r="H38" s="888">
        <f>'[1]Tong hop'!L228</f>
        <v>913</v>
      </c>
      <c r="I38" s="888">
        <v>913</v>
      </c>
      <c r="J38" s="888">
        <v>913</v>
      </c>
      <c r="K38" s="888">
        <v>913</v>
      </c>
      <c r="L38" s="888">
        <v>913</v>
      </c>
      <c r="M38" s="888">
        <v>913</v>
      </c>
    </row>
    <row r="39" spans="1:13" x14ac:dyDescent="0.25">
      <c r="A39" s="884"/>
      <c r="B39" s="885" t="s">
        <v>895</v>
      </c>
      <c r="C39" s="886"/>
      <c r="D39" s="888"/>
      <c r="E39" s="888"/>
      <c r="F39" s="888"/>
      <c r="G39" s="888"/>
      <c r="H39" s="888"/>
      <c r="I39" s="888"/>
      <c r="J39" s="888"/>
      <c r="K39" s="888"/>
      <c r="L39" s="888"/>
      <c r="M39" s="888"/>
    </row>
    <row r="40" spans="1:13" x14ac:dyDescent="0.25">
      <c r="A40" s="884"/>
      <c r="B40" s="885" t="s">
        <v>896</v>
      </c>
      <c r="C40" s="886" t="s">
        <v>880</v>
      </c>
      <c r="D40" s="892">
        <v>165743</v>
      </c>
      <c r="E40" s="892">
        <v>165743</v>
      </c>
      <c r="F40" s="892">
        <v>164078</v>
      </c>
      <c r="G40" s="892">
        <v>164078</v>
      </c>
      <c r="H40" s="888">
        <v>174743</v>
      </c>
      <c r="I40" s="888"/>
      <c r="J40" s="888"/>
      <c r="K40" s="888"/>
      <c r="L40" s="888"/>
      <c r="M40" s="888"/>
    </row>
    <row r="41" spans="1:13" x14ac:dyDescent="0.25">
      <c r="A41" s="884"/>
      <c r="B41" s="885" t="s">
        <v>897</v>
      </c>
      <c r="C41" s="886" t="s">
        <v>880</v>
      </c>
      <c r="D41" s="893">
        <v>46354</v>
      </c>
      <c r="E41" s="893">
        <v>46354</v>
      </c>
      <c r="F41" s="893">
        <v>48633</v>
      </c>
      <c r="G41" s="893">
        <v>48633</v>
      </c>
      <c r="H41" s="893">
        <v>52478</v>
      </c>
      <c r="I41" s="888"/>
      <c r="J41" s="888"/>
      <c r="K41" s="888"/>
      <c r="L41" s="888"/>
      <c r="M41" s="888"/>
    </row>
    <row r="42" spans="1:13" x14ac:dyDescent="0.25">
      <c r="A42" s="884"/>
      <c r="B42" s="885" t="s">
        <v>898</v>
      </c>
      <c r="C42" s="886" t="s">
        <v>880</v>
      </c>
      <c r="D42" s="888">
        <v>112989</v>
      </c>
      <c r="E42" s="888">
        <v>112989</v>
      </c>
      <c r="F42" s="888">
        <v>121304</v>
      </c>
      <c r="G42" s="888">
        <v>121304</v>
      </c>
      <c r="H42" s="888">
        <v>123730</v>
      </c>
      <c r="I42" s="888"/>
      <c r="J42" s="888"/>
      <c r="K42" s="888"/>
      <c r="L42" s="888"/>
      <c r="M42" s="888"/>
    </row>
    <row r="43" spans="1:13" ht="47.25" x14ac:dyDescent="0.25">
      <c r="A43" s="884"/>
      <c r="B43" s="885" t="s">
        <v>899</v>
      </c>
      <c r="C43" s="886" t="s">
        <v>880</v>
      </c>
      <c r="D43" s="888"/>
      <c r="E43" s="888"/>
      <c r="F43" s="888"/>
      <c r="G43" s="888"/>
      <c r="H43" s="888"/>
      <c r="I43" s="888"/>
      <c r="J43" s="888"/>
      <c r="K43" s="888"/>
      <c r="L43" s="888"/>
      <c r="M43" s="888"/>
    </row>
    <row r="44" spans="1:13" x14ac:dyDescent="0.25">
      <c r="A44" s="884"/>
      <c r="B44" s="885" t="s">
        <v>900</v>
      </c>
      <c r="C44" s="886" t="s">
        <v>880</v>
      </c>
      <c r="D44" s="888">
        <v>17</v>
      </c>
      <c r="E44" s="888">
        <v>17</v>
      </c>
      <c r="F44" s="888">
        <v>19</v>
      </c>
      <c r="G44" s="888">
        <v>19</v>
      </c>
      <c r="H44" s="888">
        <v>40</v>
      </c>
      <c r="I44" s="888"/>
      <c r="J44" s="888"/>
      <c r="K44" s="888"/>
      <c r="L44" s="888"/>
      <c r="M44" s="888"/>
    </row>
    <row r="45" spans="1:13" x14ac:dyDescent="0.25">
      <c r="A45" s="884"/>
      <c r="B45" s="885" t="s">
        <v>901</v>
      </c>
      <c r="C45" s="886" t="s">
        <v>880</v>
      </c>
      <c r="D45" s="888">
        <v>229512</v>
      </c>
      <c r="E45" s="888">
        <f>199407+11901+18204</f>
        <v>229512</v>
      </c>
      <c r="F45" s="888">
        <v>230409</v>
      </c>
      <c r="G45" s="888">
        <f>213379+11126+5904</f>
        <v>230409</v>
      </c>
      <c r="H45" s="888">
        <v>253449.9</v>
      </c>
      <c r="I45" s="888"/>
      <c r="J45" s="888"/>
      <c r="K45" s="888"/>
      <c r="L45" s="888"/>
      <c r="M45" s="888"/>
    </row>
    <row r="46" spans="1:13" ht="94.5" x14ac:dyDescent="0.25">
      <c r="A46" s="884"/>
      <c r="B46" s="885" t="s">
        <v>902</v>
      </c>
      <c r="C46" s="886" t="s">
        <v>880</v>
      </c>
      <c r="D46" s="888">
        <v>16063</v>
      </c>
      <c r="E46" s="888">
        <v>16063</v>
      </c>
      <c r="F46" s="888">
        <v>16362</v>
      </c>
      <c r="G46" s="888">
        <v>16362</v>
      </c>
      <c r="H46" s="888">
        <v>16362</v>
      </c>
      <c r="I46" s="888"/>
      <c r="J46" s="888"/>
      <c r="K46" s="888"/>
      <c r="L46" s="888"/>
      <c r="M46" s="888"/>
    </row>
    <row r="47" spans="1:13" x14ac:dyDescent="0.25">
      <c r="A47" s="884"/>
      <c r="B47" s="885" t="s">
        <v>903</v>
      </c>
      <c r="C47" s="886" t="s">
        <v>880</v>
      </c>
      <c r="D47" s="893">
        <f>113422/3</f>
        <v>37807.333333333336</v>
      </c>
      <c r="E47" s="893">
        <f>113422/3</f>
        <v>37807.333333333336</v>
      </c>
      <c r="F47" s="893">
        <v>49959</v>
      </c>
      <c r="G47" s="893">
        <v>49959</v>
      </c>
      <c r="H47" s="893">
        <v>51458</v>
      </c>
      <c r="I47" s="888"/>
      <c r="J47" s="888"/>
      <c r="K47" s="888"/>
      <c r="L47" s="888"/>
      <c r="M47" s="888"/>
    </row>
    <row r="48" spans="1:13" ht="31.5" x14ac:dyDescent="0.25">
      <c r="A48" s="894"/>
      <c r="B48" s="895" t="s">
        <v>904</v>
      </c>
      <c r="C48" s="896" t="s">
        <v>880</v>
      </c>
      <c r="D48" s="897"/>
      <c r="E48" s="897">
        <f>778/3</f>
        <v>259.33333333333331</v>
      </c>
      <c r="F48" s="897"/>
      <c r="G48" s="897">
        <v>494</v>
      </c>
      <c r="H48" s="897">
        <v>544</v>
      </c>
      <c r="I48" s="897"/>
      <c r="J48" s="897"/>
      <c r="K48" s="897"/>
      <c r="L48" s="897"/>
      <c r="M48" s="897"/>
    </row>
    <row r="49" spans="2:10" s="891" customFormat="1" x14ac:dyDescent="0.25">
      <c r="E49" s="912"/>
      <c r="F49" s="912"/>
      <c r="G49" s="912"/>
    </row>
    <row r="50" spans="2:10" x14ac:dyDescent="0.25">
      <c r="F50" s="918">
        <f>85/119</f>
        <v>0.7142857142857143</v>
      </c>
    </row>
    <row r="51" spans="2:10" x14ac:dyDescent="0.25">
      <c r="B51" s="919">
        <v>1000</v>
      </c>
      <c r="F51" s="918">
        <f>66/119</f>
        <v>0.55462184873949583</v>
      </c>
    </row>
    <row r="52" spans="2:10" x14ac:dyDescent="0.25">
      <c r="B52" s="910" t="s">
        <v>1280</v>
      </c>
      <c r="C52" s="910" t="s">
        <v>1281</v>
      </c>
      <c r="D52" s="910" t="s">
        <v>1282</v>
      </c>
      <c r="E52" s="910" t="s">
        <v>1283</v>
      </c>
    </row>
    <row r="53" spans="2:10" x14ac:dyDescent="0.25">
      <c r="B53" s="919">
        <v>449494</v>
      </c>
      <c r="C53" s="922">
        <f>B53/100</f>
        <v>4494.9399999999996</v>
      </c>
      <c r="D53" s="921">
        <f>C53/$C$66</f>
        <v>0.1101258317735028</v>
      </c>
      <c r="E53" s="910" t="s">
        <v>1267</v>
      </c>
      <c r="F53" s="910">
        <f>RANK(C53,$C$53:$C$65,0)</f>
        <v>3</v>
      </c>
    </row>
    <row r="54" spans="2:10" x14ac:dyDescent="0.25">
      <c r="B54" s="919">
        <v>251061</v>
      </c>
      <c r="C54" s="922">
        <f t="shared" ref="C54:C67" si="4">B54/100</f>
        <v>2510.61</v>
      </c>
      <c r="D54" s="921">
        <f t="shared" ref="D54:D65" si="5">C54/$C$66</f>
        <v>6.1509834282298295E-2</v>
      </c>
      <c r="E54" s="910" t="s">
        <v>1268</v>
      </c>
      <c r="F54" s="910">
        <f t="shared" ref="F54:F65" si="6">RANK(C54,$C$53:$C$65,0)</f>
        <v>8</v>
      </c>
    </row>
    <row r="55" spans="2:10" x14ac:dyDescent="0.25">
      <c r="B55" s="919">
        <v>239481</v>
      </c>
      <c r="C55" s="922">
        <f t="shared" si="4"/>
        <v>2394.81</v>
      </c>
      <c r="D55" s="921">
        <f t="shared" si="5"/>
        <v>5.8672739389069098E-2</v>
      </c>
      <c r="E55" s="910" t="s">
        <v>1269</v>
      </c>
      <c r="F55" s="910">
        <f t="shared" si="6"/>
        <v>9</v>
      </c>
      <c r="J55" s="891">
        <v>17800</v>
      </c>
    </row>
    <row r="56" spans="2:10" x14ac:dyDescent="0.25">
      <c r="B56" s="919">
        <v>338385</v>
      </c>
      <c r="C56" s="922">
        <f>B56/100</f>
        <v>3383.85</v>
      </c>
      <c r="D56" s="921">
        <f t="shared" si="5"/>
        <v>8.2904175772483601E-2</v>
      </c>
      <c r="E56" s="910" t="s">
        <v>1270</v>
      </c>
      <c r="F56" s="910">
        <f t="shared" si="6"/>
        <v>5</v>
      </c>
      <c r="J56" s="891">
        <v>213</v>
      </c>
    </row>
    <row r="57" spans="2:10" x14ac:dyDescent="0.25">
      <c r="B57" s="919">
        <v>152573</v>
      </c>
      <c r="C57" s="922">
        <f t="shared" si="4"/>
        <v>1525.73</v>
      </c>
      <c r="D57" s="921">
        <f t="shared" si="5"/>
        <v>3.7380317715428109E-2</v>
      </c>
      <c r="E57" s="910" t="s">
        <v>1271</v>
      </c>
      <c r="F57" s="910">
        <f t="shared" si="6"/>
        <v>12</v>
      </c>
      <c r="J57" s="1012">
        <f>+J55*J56</f>
        <v>3791400</v>
      </c>
    </row>
    <row r="58" spans="2:10" x14ac:dyDescent="0.25">
      <c r="B58" s="919">
        <v>235826</v>
      </c>
      <c r="C58" s="922">
        <f t="shared" si="4"/>
        <v>2358.2600000000002</v>
      </c>
      <c r="D58" s="921">
        <f t="shared" si="5"/>
        <v>5.7777266000921201E-2</v>
      </c>
      <c r="E58" s="910" t="s">
        <v>1272</v>
      </c>
      <c r="F58" s="910">
        <f t="shared" si="6"/>
        <v>10</v>
      </c>
    </row>
    <row r="59" spans="2:10" x14ac:dyDescent="0.25">
      <c r="B59" s="919">
        <v>143896</v>
      </c>
      <c r="C59" s="922">
        <f t="shared" si="4"/>
        <v>1438.96</v>
      </c>
      <c r="D59" s="921">
        <f t="shared" si="5"/>
        <v>3.5254456541978223E-2</v>
      </c>
      <c r="E59" s="910" t="s">
        <v>1273</v>
      </c>
      <c r="F59" s="910">
        <f t="shared" si="6"/>
        <v>13</v>
      </c>
    </row>
    <row r="60" spans="2:10" x14ac:dyDescent="0.25">
      <c r="B60" s="919">
        <v>162170</v>
      </c>
      <c r="C60" s="922">
        <f t="shared" si="4"/>
        <v>1621.7</v>
      </c>
      <c r="D60" s="921">
        <f t="shared" si="5"/>
        <v>3.9731578483158732E-2</v>
      </c>
      <c r="E60" s="910" t="s">
        <v>1274</v>
      </c>
      <c r="F60" s="910">
        <f t="shared" si="6"/>
        <v>11</v>
      </c>
    </row>
    <row r="61" spans="2:10" x14ac:dyDescent="0.25">
      <c r="B61" s="919">
        <v>331188</v>
      </c>
      <c r="C61" s="922">
        <f t="shared" si="4"/>
        <v>3311.88</v>
      </c>
      <c r="D61" s="921">
        <f t="shared" si="5"/>
        <v>8.1140913946354892E-2</v>
      </c>
      <c r="E61" s="910" t="s">
        <v>1275</v>
      </c>
      <c r="F61" s="910">
        <f t="shared" si="6"/>
        <v>6</v>
      </c>
    </row>
    <row r="62" spans="2:10" x14ac:dyDescent="0.25">
      <c r="B62" s="919">
        <v>353668</v>
      </c>
      <c r="C62" s="922">
        <f t="shared" si="4"/>
        <v>3536.68</v>
      </c>
      <c r="D62" s="921">
        <f t="shared" si="5"/>
        <v>8.6648504032692739E-2</v>
      </c>
      <c r="E62" s="910" t="s">
        <v>1276</v>
      </c>
      <c r="F62" s="910">
        <f t="shared" si="6"/>
        <v>4</v>
      </c>
    </row>
    <row r="63" spans="2:10" x14ac:dyDescent="0.25">
      <c r="B63" s="919">
        <v>634878</v>
      </c>
      <c r="C63" s="922">
        <f t="shared" si="4"/>
        <v>6348.78</v>
      </c>
      <c r="D63" s="921">
        <f t="shared" si="5"/>
        <v>0.15554483001930594</v>
      </c>
      <c r="E63" s="910" t="s">
        <v>1277</v>
      </c>
      <c r="F63" s="910">
        <f t="shared" si="6"/>
        <v>1</v>
      </c>
    </row>
    <row r="64" spans="2:10" x14ac:dyDescent="0.25">
      <c r="B64" s="919">
        <v>266901</v>
      </c>
      <c r="C64" s="922">
        <f t="shared" si="4"/>
        <v>2669.01</v>
      </c>
      <c r="D64" s="921">
        <f t="shared" si="5"/>
        <v>6.5390627296870868E-2</v>
      </c>
      <c r="E64" s="910" t="s">
        <v>1278</v>
      </c>
      <c r="F64" s="910">
        <f t="shared" si="6"/>
        <v>7</v>
      </c>
    </row>
    <row r="65" spans="2:6" x14ac:dyDescent="0.25">
      <c r="B65" s="919">
        <v>522119</v>
      </c>
      <c r="C65" s="922">
        <f t="shared" si="4"/>
        <v>5221.1899999999996</v>
      </c>
      <c r="D65" s="921">
        <f t="shared" si="5"/>
        <v>0.12791892474593544</v>
      </c>
      <c r="E65" s="910" t="s">
        <v>1279</v>
      </c>
      <c r="F65" s="910">
        <f t="shared" si="6"/>
        <v>2</v>
      </c>
    </row>
    <row r="66" spans="2:6" x14ac:dyDescent="0.25">
      <c r="B66" s="919"/>
      <c r="C66" s="912">
        <f>SUM(C53:C65)</f>
        <v>40816.400000000001</v>
      </c>
      <c r="D66" s="920">
        <f>SUM(D53:D65)</f>
        <v>1</v>
      </c>
      <c r="E66" s="910">
        <f>COUNTA(E53:E65)</f>
        <v>13</v>
      </c>
    </row>
    <row r="67" spans="2:6" x14ac:dyDescent="0.25">
      <c r="B67" s="919">
        <f>33123597</f>
        <v>33123597</v>
      </c>
      <c r="C67" s="922">
        <f t="shared" si="4"/>
        <v>331235.96999999997</v>
      </c>
    </row>
    <row r="68" spans="2:6" x14ac:dyDescent="0.25">
      <c r="C68" s="923">
        <f>+C56/C67</f>
        <v>1.0215828914957516E-2</v>
      </c>
    </row>
    <row r="108" spans="1:1" x14ac:dyDescent="0.25">
      <c r="A108" s="913" t="s">
        <v>1284</v>
      </c>
    </row>
    <row r="109" spans="1:1" x14ac:dyDescent="0.25">
      <c r="A109" s="913" t="s">
        <v>1285</v>
      </c>
    </row>
    <row r="110" spans="1:1" x14ac:dyDescent="0.25">
      <c r="A110" s="913" t="s">
        <v>1286</v>
      </c>
    </row>
    <row r="111" spans="1:1" x14ac:dyDescent="0.25">
      <c r="A111" s="913" t="s">
        <v>1287</v>
      </c>
    </row>
    <row r="112" spans="1:1" x14ac:dyDescent="0.25">
      <c r="A112" s="913" t="s">
        <v>1288</v>
      </c>
    </row>
    <row r="113" spans="1:1" x14ac:dyDescent="0.25">
      <c r="A113" s="913" t="s">
        <v>1289</v>
      </c>
    </row>
    <row r="114" spans="1:1" x14ac:dyDescent="0.25">
      <c r="A114" s="913" t="s">
        <v>1290</v>
      </c>
    </row>
    <row r="115" spans="1:1" x14ac:dyDescent="0.25">
      <c r="A115" s="913" t="s">
        <v>1291</v>
      </c>
    </row>
    <row r="116" spans="1:1" x14ac:dyDescent="0.25">
      <c r="A116" s="913" t="s">
        <v>1292</v>
      </c>
    </row>
    <row r="117" spans="1:1" x14ac:dyDescent="0.25">
      <c r="A117" s="913" t="s">
        <v>1293</v>
      </c>
    </row>
    <row r="118" spans="1:1" x14ac:dyDescent="0.25">
      <c r="A118" s="913" t="s">
        <v>1294</v>
      </c>
    </row>
    <row r="119" spans="1:1" x14ac:dyDescent="0.25">
      <c r="A119" s="913" t="s">
        <v>1295</v>
      </c>
    </row>
    <row r="120" spans="1:1" x14ac:dyDescent="0.25">
      <c r="A120" s="913" t="s">
        <v>1296</v>
      </c>
    </row>
    <row r="121" spans="1:1" x14ac:dyDescent="0.25">
      <c r="A121" s="913" t="s">
        <v>1297</v>
      </c>
    </row>
    <row r="122" spans="1:1" x14ac:dyDescent="0.25">
      <c r="A122" s="913" t="s">
        <v>1298</v>
      </c>
    </row>
    <row r="123" spans="1:1" x14ac:dyDescent="0.25">
      <c r="A123" s="913" t="s">
        <v>1299</v>
      </c>
    </row>
    <row r="124" spans="1:1" x14ac:dyDescent="0.25">
      <c r="A124" s="913" t="s">
        <v>1300</v>
      </c>
    </row>
    <row r="125" spans="1:1" x14ac:dyDescent="0.25">
      <c r="A125" s="913" t="s">
        <v>1301</v>
      </c>
    </row>
    <row r="126" spans="1:1" x14ac:dyDescent="0.25">
      <c r="A126" s="913" t="s">
        <v>1302</v>
      </c>
    </row>
  </sheetData>
  <customSheetViews>
    <customSheetView guid="{88621519-296E-4458-B04E-813E881018FE}" hiddenRows="1" state="hidden">
      <selection activeCell="B9" sqref="B9"/>
      <pageMargins left="0.7" right="0.7" top="0.75" bottom="0.75" header="0.3" footer="0.3"/>
      <pageSetup orientation="portrait" r:id="rId1"/>
    </customSheetView>
  </customSheetViews>
  <mergeCells count="12">
    <mergeCell ref="K3:K4"/>
    <mergeCell ref="L3:L4"/>
    <mergeCell ref="M3:M4"/>
    <mergeCell ref="J3:J4"/>
    <mergeCell ref="A2:I2"/>
    <mergeCell ref="A3:A4"/>
    <mergeCell ref="B3:B4"/>
    <mergeCell ref="C3:C4"/>
    <mergeCell ref="D3:E3"/>
    <mergeCell ref="F3:G3"/>
    <mergeCell ref="H3:H4"/>
    <mergeCell ref="I3:I4"/>
  </mergeCells>
  <hyperlinks>
    <hyperlink ref="B22" r:id="rId2"/>
  </hyperlinks>
  <pageMargins left="0.70866141732283472" right="0.70866141732283472" top="0.74803149606299213" bottom="0.74803149606299213" header="0.31496062992125984" footer="0.31496062992125984"/>
  <pageSetup paperSize="9" scale="75" orientation="portrait"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U50"/>
  <sheetViews>
    <sheetView topLeftCell="A3" workbookViewId="0">
      <pane xSplit="5" ySplit="4" topLeftCell="F7" activePane="bottomRight" state="frozen"/>
      <selection activeCell="D51" sqref="D51"/>
      <selection pane="topRight" activeCell="D51" sqref="D51"/>
      <selection pane="bottomLeft" activeCell="D51" sqref="D51"/>
      <selection pane="bottomRight" activeCell="D51" sqref="D51"/>
    </sheetView>
  </sheetViews>
  <sheetFormatPr defaultRowHeight="17.25" x14ac:dyDescent="0.3"/>
  <cols>
    <col min="1" max="1" width="5.75" style="517" bestFit="1" customWidth="1"/>
    <col min="2" max="2" width="36.875" style="513" customWidth="1"/>
    <col min="3" max="3" width="8.25" style="513" customWidth="1"/>
    <col min="4" max="4" width="9.25" style="513" customWidth="1"/>
    <col min="5" max="5" width="9.875" style="513" customWidth="1"/>
    <col min="6" max="7" width="7.875" style="513" customWidth="1"/>
    <col min="8" max="8" width="9.125" style="513" customWidth="1"/>
    <col min="9" max="9" width="8.625" style="513" customWidth="1"/>
    <col min="10" max="10" width="8.125" style="513" customWidth="1"/>
    <col min="11" max="11" width="8.25" style="518" customWidth="1"/>
    <col min="12" max="12" width="9" style="518"/>
    <col min="13" max="13" width="8.375" style="518" customWidth="1"/>
    <col min="14" max="257" width="9" style="518"/>
    <col min="258" max="258" width="5.75" style="518" bestFit="1" customWidth="1"/>
    <col min="259" max="259" width="38.125" style="518" customWidth="1"/>
    <col min="260" max="260" width="9.625" style="518" customWidth="1"/>
    <col min="261" max="261" width="11.25" style="518" customWidth="1"/>
    <col min="262" max="262" width="10.625" style="518" customWidth="1"/>
    <col min="263" max="263" width="14.375" style="518" customWidth="1"/>
    <col min="264" max="264" width="11.125" style="518" customWidth="1"/>
    <col min="265" max="265" width="10.75" style="518" customWidth="1"/>
    <col min="266" max="266" width="11" style="518" customWidth="1"/>
    <col min="267" max="513" width="9" style="518"/>
    <col min="514" max="514" width="5.75" style="518" bestFit="1" customWidth="1"/>
    <col min="515" max="515" width="38.125" style="518" customWidth="1"/>
    <col min="516" max="516" width="9.625" style="518" customWidth="1"/>
    <col min="517" max="517" width="11.25" style="518" customWidth="1"/>
    <col min="518" max="518" width="10.625" style="518" customWidth="1"/>
    <col min="519" max="519" width="14.375" style="518" customWidth="1"/>
    <col min="520" max="520" width="11.125" style="518" customWidth="1"/>
    <col min="521" max="521" width="10.75" style="518" customWidth="1"/>
    <col min="522" max="522" width="11" style="518" customWidth="1"/>
    <col min="523" max="769" width="9" style="518"/>
    <col min="770" max="770" width="5.75" style="518" bestFit="1" customWidth="1"/>
    <col min="771" max="771" width="38.125" style="518" customWidth="1"/>
    <col min="772" max="772" width="9.625" style="518" customWidth="1"/>
    <col min="773" max="773" width="11.25" style="518" customWidth="1"/>
    <col min="774" max="774" width="10.625" style="518" customWidth="1"/>
    <col min="775" max="775" width="14.375" style="518" customWidth="1"/>
    <col min="776" max="776" width="11.125" style="518" customWidth="1"/>
    <col min="777" max="777" width="10.75" style="518" customWidth="1"/>
    <col min="778" max="778" width="11" style="518" customWidth="1"/>
    <col min="779" max="1025" width="9" style="518"/>
    <col min="1026" max="1026" width="5.75" style="518" bestFit="1" customWidth="1"/>
    <col min="1027" max="1027" width="38.125" style="518" customWidth="1"/>
    <col min="1028" max="1028" width="9.625" style="518" customWidth="1"/>
    <col min="1029" max="1029" width="11.25" style="518" customWidth="1"/>
    <col min="1030" max="1030" width="10.625" style="518" customWidth="1"/>
    <col min="1031" max="1031" width="14.375" style="518" customWidth="1"/>
    <col min="1032" max="1032" width="11.125" style="518" customWidth="1"/>
    <col min="1033" max="1033" width="10.75" style="518" customWidth="1"/>
    <col min="1034" max="1034" width="11" style="518" customWidth="1"/>
    <col min="1035" max="1281" width="9" style="518"/>
    <col min="1282" max="1282" width="5.75" style="518" bestFit="1" customWidth="1"/>
    <col min="1283" max="1283" width="38.125" style="518" customWidth="1"/>
    <col min="1284" max="1284" width="9.625" style="518" customWidth="1"/>
    <col min="1285" max="1285" width="11.25" style="518" customWidth="1"/>
    <col min="1286" max="1286" width="10.625" style="518" customWidth="1"/>
    <col min="1287" max="1287" width="14.375" style="518" customWidth="1"/>
    <col min="1288" max="1288" width="11.125" style="518" customWidth="1"/>
    <col min="1289" max="1289" width="10.75" style="518" customWidth="1"/>
    <col min="1290" max="1290" width="11" style="518" customWidth="1"/>
    <col min="1291" max="1537" width="9" style="518"/>
    <col min="1538" max="1538" width="5.75" style="518" bestFit="1" customWidth="1"/>
    <col min="1539" max="1539" width="38.125" style="518" customWidth="1"/>
    <col min="1540" max="1540" width="9.625" style="518" customWidth="1"/>
    <col min="1541" max="1541" width="11.25" style="518" customWidth="1"/>
    <col min="1542" max="1542" width="10.625" style="518" customWidth="1"/>
    <col min="1543" max="1543" width="14.375" style="518" customWidth="1"/>
    <col min="1544" max="1544" width="11.125" style="518" customWidth="1"/>
    <col min="1545" max="1545" width="10.75" style="518" customWidth="1"/>
    <col min="1546" max="1546" width="11" style="518" customWidth="1"/>
    <col min="1547" max="1793" width="9" style="518"/>
    <col min="1794" max="1794" width="5.75" style="518" bestFit="1" customWidth="1"/>
    <col min="1795" max="1795" width="38.125" style="518" customWidth="1"/>
    <col min="1796" max="1796" width="9.625" style="518" customWidth="1"/>
    <col min="1797" max="1797" width="11.25" style="518" customWidth="1"/>
    <col min="1798" max="1798" width="10.625" style="518" customWidth="1"/>
    <col min="1799" max="1799" width="14.375" style="518" customWidth="1"/>
    <col min="1800" max="1800" width="11.125" style="518" customWidth="1"/>
    <col min="1801" max="1801" width="10.75" style="518" customWidth="1"/>
    <col min="1802" max="1802" width="11" style="518" customWidth="1"/>
    <col min="1803" max="2049" width="9" style="518"/>
    <col min="2050" max="2050" width="5.75" style="518" bestFit="1" customWidth="1"/>
    <col min="2051" max="2051" width="38.125" style="518" customWidth="1"/>
    <col min="2052" max="2052" width="9.625" style="518" customWidth="1"/>
    <col min="2053" max="2053" width="11.25" style="518" customWidth="1"/>
    <col min="2054" max="2054" width="10.625" style="518" customWidth="1"/>
    <col min="2055" max="2055" width="14.375" style="518" customWidth="1"/>
    <col min="2056" max="2056" width="11.125" style="518" customWidth="1"/>
    <col min="2057" max="2057" width="10.75" style="518" customWidth="1"/>
    <col min="2058" max="2058" width="11" style="518" customWidth="1"/>
    <col min="2059" max="2305" width="9" style="518"/>
    <col min="2306" max="2306" width="5.75" style="518" bestFit="1" customWidth="1"/>
    <col min="2307" max="2307" width="38.125" style="518" customWidth="1"/>
    <col min="2308" max="2308" width="9.625" style="518" customWidth="1"/>
    <col min="2309" max="2309" width="11.25" style="518" customWidth="1"/>
    <col min="2310" max="2310" width="10.625" style="518" customWidth="1"/>
    <col min="2311" max="2311" width="14.375" style="518" customWidth="1"/>
    <col min="2312" max="2312" width="11.125" style="518" customWidth="1"/>
    <col min="2313" max="2313" width="10.75" style="518" customWidth="1"/>
    <col min="2314" max="2314" width="11" style="518" customWidth="1"/>
    <col min="2315" max="2561" width="9" style="518"/>
    <col min="2562" max="2562" width="5.75" style="518" bestFit="1" customWidth="1"/>
    <col min="2563" max="2563" width="38.125" style="518" customWidth="1"/>
    <col min="2564" max="2564" width="9.625" style="518" customWidth="1"/>
    <col min="2565" max="2565" width="11.25" style="518" customWidth="1"/>
    <col min="2566" max="2566" width="10.625" style="518" customWidth="1"/>
    <col min="2567" max="2567" width="14.375" style="518" customWidth="1"/>
    <col min="2568" max="2568" width="11.125" style="518" customWidth="1"/>
    <col min="2569" max="2569" width="10.75" style="518" customWidth="1"/>
    <col min="2570" max="2570" width="11" style="518" customWidth="1"/>
    <col min="2571" max="2817" width="9" style="518"/>
    <col min="2818" max="2818" width="5.75" style="518" bestFit="1" customWidth="1"/>
    <col min="2819" max="2819" width="38.125" style="518" customWidth="1"/>
    <col min="2820" max="2820" width="9.625" style="518" customWidth="1"/>
    <col min="2821" max="2821" width="11.25" style="518" customWidth="1"/>
    <col min="2822" max="2822" width="10.625" style="518" customWidth="1"/>
    <col min="2823" max="2823" width="14.375" style="518" customWidth="1"/>
    <col min="2824" max="2824" width="11.125" style="518" customWidth="1"/>
    <col min="2825" max="2825" width="10.75" style="518" customWidth="1"/>
    <col min="2826" max="2826" width="11" style="518" customWidth="1"/>
    <col min="2827" max="3073" width="9" style="518"/>
    <col min="3074" max="3074" width="5.75" style="518" bestFit="1" customWidth="1"/>
    <col min="3075" max="3075" width="38.125" style="518" customWidth="1"/>
    <col min="3076" max="3076" width="9.625" style="518" customWidth="1"/>
    <col min="3077" max="3077" width="11.25" style="518" customWidth="1"/>
    <col min="3078" max="3078" width="10.625" style="518" customWidth="1"/>
    <col min="3079" max="3079" width="14.375" style="518" customWidth="1"/>
    <col min="3080" max="3080" width="11.125" style="518" customWidth="1"/>
    <col min="3081" max="3081" width="10.75" style="518" customWidth="1"/>
    <col min="3082" max="3082" width="11" style="518" customWidth="1"/>
    <col min="3083" max="3329" width="9" style="518"/>
    <col min="3330" max="3330" width="5.75" style="518" bestFit="1" customWidth="1"/>
    <col min="3331" max="3331" width="38.125" style="518" customWidth="1"/>
    <col min="3332" max="3332" width="9.625" style="518" customWidth="1"/>
    <col min="3333" max="3333" width="11.25" style="518" customWidth="1"/>
    <col min="3334" max="3334" width="10.625" style="518" customWidth="1"/>
    <col min="3335" max="3335" width="14.375" style="518" customWidth="1"/>
    <col min="3336" max="3336" width="11.125" style="518" customWidth="1"/>
    <col min="3337" max="3337" width="10.75" style="518" customWidth="1"/>
    <col min="3338" max="3338" width="11" style="518" customWidth="1"/>
    <col min="3339" max="3585" width="9" style="518"/>
    <col min="3586" max="3586" width="5.75" style="518" bestFit="1" customWidth="1"/>
    <col min="3587" max="3587" width="38.125" style="518" customWidth="1"/>
    <col min="3588" max="3588" width="9.625" style="518" customWidth="1"/>
    <col min="3589" max="3589" width="11.25" style="518" customWidth="1"/>
    <col min="3590" max="3590" width="10.625" style="518" customWidth="1"/>
    <col min="3591" max="3591" width="14.375" style="518" customWidth="1"/>
    <col min="3592" max="3592" width="11.125" style="518" customWidth="1"/>
    <col min="3593" max="3593" width="10.75" style="518" customWidth="1"/>
    <col min="3594" max="3594" width="11" style="518" customWidth="1"/>
    <col min="3595" max="3841" width="9" style="518"/>
    <col min="3842" max="3842" width="5.75" style="518" bestFit="1" customWidth="1"/>
    <col min="3843" max="3843" width="38.125" style="518" customWidth="1"/>
    <col min="3844" max="3844" width="9.625" style="518" customWidth="1"/>
    <col min="3845" max="3845" width="11.25" style="518" customWidth="1"/>
    <col min="3846" max="3846" width="10.625" style="518" customWidth="1"/>
    <col min="3847" max="3847" width="14.375" style="518" customWidth="1"/>
    <col min="3848" max="3848" width="11.125" style="518" customWidth="1"/>
    <col min="3849" max="3849" width="10.75" style="518" customWidth="1"/>
    <col min="3850" max="3850" width="11" style="518" customWidth="1"/>
    <col min="3851" max="4097" width="9" style="518"/>
    <col min="4098" max="4098" width="5.75" style="518" bestFit="1" customWidth="1"/>
    <col min="4099" max="4099" width="38.125" style="518" customWidth="1"/>
    <col min="4100" max="4100" width="9.625" style="518" customWidth="1"/>
    <col min="4101" max="4101" width="11.25" style="518" customWidth="1"/>
    <col min="4102" max="4102" width="10.625" style="518" customWidth="1"/>
    <col min="4103" max="4103" width="14.375" style="518" customWidth="1"/>
    <col min="4104" max="4104" width="11.125" style="518" customWidth="1"/>
    <col min="4105" max="4105" width="10.75" style="518" customWidth="1"/>
    <col min="4106" max="4106" width="11" style="518" customWidth="1"/>
    <col min="4107" max="4353" width="9" style="518"/>
    <col min="4354" max="4354" width="5.75" style="518" bestFit="1" customWidth="1"/>
    <col min="4355" max="4355" width="38.125" style="518" customWidth="1"/>
    <col min="4356" max="4356" width="9.625" style="518" customWidth="1"/>
    <col min="4357" max="4357" width="11.25" style="518" customWidth="1"/>
    <col min="4358" max="4358" width="10.625" style="518" customWidth="1"/>
    <col min="4359" max="4359" width="14.375" style="518" customWidth="1"/>
    <col min="4360" max="4360" width="11.125" style="518" customWidth="1"/>
    <col min="4361" max="4361" width="10.75" style="518" customWidth="1"/>
    <col min="4362" max="4362" width="11" style="518" customWidth="1"/>
    <col min="4363" max="4609" width="9" style="518"/>
    <col min="4610" max="4610" width="5.75" style="518" bestFit="1" customWidth="1"/>
    <col min="4611" max="4611" width="38.125" style="518" customWidth="1"/>
    <col min="4612" max="4612" width="9.625" style="518" customWidth="1"/>
    <col min="4613" max="4613" width="11.25" style="518" customWidth="1"/>
    <col min="4614" max="4614" width="10.625" style="518" customWidth="1"/>
    <col min="4615" max="4615" width="14.375" style="518" customWidth="1"/>
    <col min="4616" max="4616" width="11.125" style="518" customWidth="1"/>
    <col min="4617" max="4617" width="10.75" style="518" customWidth="1"/>
    <col min="4618" max="4618" width="11" style="518" customWidth="1"/>
    <col min="4619" max="4865" width="9" style="518"/>
    <col min="4866" max="4866" width="5.75" style="518" bestFit="1" customWidth="1"/>
    <col min="4867" max="4867" width="38.125" style="518" customWidth="1"/>
    <col min="4868" max="4868" width="9.625" style="518" customWidth="1"/>
    <col min="4869" max="4869" width="11.25" style="518" customWidth="1"/>
    <col min="4870" max="4870" width="10.625" style="518" customWidth="1"/>
    <col min="4871" max="4871" width="14.375" style="518" customWidth="1"/>
    <col min="4872" max="4872" width="11.125" style="518" customWidth="1"/>
    <col min="4873" max="4873" width="10.75" style="518" customWidth="1"/>
    <col min="4874" max="4874" width="11" style="518" customWidth="1"/>
    <col min="4875" max="5121" width="9" style="518"/>
    <col min="5122" max="5122" width="5.75" style="518" bestFit="1" customWidth="1"/>
    <col min="5123" max="5123" width="38.125" style="518" customWidth="1"/>
    <col min="5124" max="5124" width="9.625" style="518" customWidth="1"/>
    <col min="5125" max="5125" width="11.25" style="518" customWidth="1"/>
    <col min="5126" max="5126" width="10.625" style="518" customWidth="1"/>
    <col min="5127" max="5127" width="14.375" style="518" customWidth="1"/>
    <col min="5128" max="5128" width="11.125" style="518" customWidth="1"/>
    <col min="5129" max="5129" width="10.75" style="518" customWidth="1"/>
    <col min="5130" max="5130" width="11" style="518" customWidth="1"/>
    <col min="5131" max="5377" width="9" style="518"/>
    <col min="5378" max="5378" width="5.75" style="518" bestFit="1" customWidth="1"/>
    <col min="5379" max="5379" width="38.125" style="518" customWidth="1"/>
    <col min="5380" max="5380" width="9.625" style="518" customWidth="1"/>
    <col min="5381" max="5381" width="11.25" style="518" customWidth="1"/>
    <col min="5382" max="5382" width="10.625" style="518" customWidth="1"/>
    <col min="5383" max="5383" width="14.375" style="518" customWidth="1"/>
    <col min="5384" max="5384" width="11.125" style="518" customWidth="1"/>
    <col min="5385" max="5385" width="10.75" style="518" customWidth="1"/>
    <col min="5386" max="5386" width="11" style="518" customWidth="1"/>
    <col min="5387" max="5633" width="9" style="518"/>
    <col min="5634" max="5634" width="5.75" style="518" bestFit="1" customWidth="1"/>
    <col min="5635" max="5635" width="38.125" style="518" customWidth="1"/>
    <col min="5636" max="5636" width="9.625" style="518" customWidth="1"/>
    <col min="5637" max="5637" width="11.25" style="518" customWidth="1"/>
    <col min="5638" max="5638" width="10.625" style="518" customWidth="1"/>
    <col min="5639" max="5639" width="14.375" style="518" customWidth="1"/>
    <col min="5640" max="5640" width="11.125" style="518" customWidth="1"/>
    <col min="5641" max="5641" width="10.75" style="518" customWidth="1"/>
    <col min="5642" max="5642" width="11" style="518" customWidth="1"/>
    <col min="5643" max="5889" width="9" style="518"/>
    <col min="5890" max="5890" width="5.75" style="518" bestFit="1" customWidth="1"/>
    <col min="5891" max="5891" width="38.125" style="518" customWidth="1"/>
    <col min="5892" max="5892" width="9.625" style="518" customWidth="1"/>
    <col min="5893" max="5893" width="11.25" style="518" customWidth="1"/>
    <col min="5894" max="5894" width="10.625" style="518" customWidth="1"/>
    <col min="5895" max="5895" width="14.375" style="518" customWidth="1"/>
    <col min="5896" max="5896" width="11.125" style="518" customWidth="1"/>
    <col min="5897" max="5897" width="10.75" style="518" customWidth="1"/>
    <col min="5898" max="5898" width="11" style="518" customWidth="1"/>
    <col min="5899" max="6145" width="9" style="518"/>
    <col min="6146" max="6146" width="5.75" style="518" bestFit="1" customWidth="1"/>
    <col min="6147" max="6147" width="38.125" style="518" customWidth="1"/>
    <col min="6148" max="6148" width="9.625" style="518" customWidth="1"/>
    <col min="6149" max="6149" width="11.25" style="518" customWidth="1"/>
    <col min="6150" max="6150" width="10.625" style="518" customWidth="1"/>
    <col min="6151" max="6151" width="14.375" style="518" customWidth="1"/>
    <col min="6152" max="6152" width="11.125" style="518" customWidth="1"/>
    <col min="6153" max="6153" width="10.75" style="518" customWidth="1"/>
    <col min="6154" max="6154" width="11" style="518" customWidth="1"/>
    <col min="6155" max="6401" width="9" style="518"/>
    <col min="6402" max="6402" width="5.75" style="518" bestFit="1" customWidth="1"/>
    <col min="6403" max="6403" width="38.125" style="518" customWidth="1"/>
    <col min="6404" max="6404" width="9.625" style="518" customWidth="1"/>
    <col min="6405" max="6405" width="11.25" style="518" customWidth="1"/>
    <col min="6406" max="6406" width="10.625" style="518" customWidth="1"/>
    <col min="6407" max="6407" width="14.375" style="518" customWidth="1"/>
    <col min="6408" max="6408" width="11.125" style="518" customWidth="1"/>
    <col min="6409" max="6409" width="10.75" style="518" customWidth="1"/>
    <col min="6410" max="6410" width="11" style="518" customWidth="1"/>
    <col min="6411" max="6657" width="9" style="518"/>
    <col min="6658" max="6658" width="5.75" style="518" bestFit="1" customWidth="1"/>
    <col min="6659" max="6659" width="38.125" style="518" customWidth="1"/>
    <col min="6660" max="6660" width="9.625" style="518" customWidth="1"/>
    <col min="6661" max="6661" width="11.25" style="518" customWidth="1"/>
    <col min="6662" max="6662" width="10.625" style="518" customWidth="1"/>
    <col min="6663" max="6663" width="14.375" style="518" customWidth="1"/>
    <col min="6664" max="6664" width="11.125" style="518" customWidth="1"/>
    <col min="6665" max="6665" width="10.75" style="518" customWidth="1"/>
    <col min="6666" max="6666" width="11" style="518" customWidth="1"/>
    <col min="6667" max="6913" width="9" style="518"/>
    <col min="6914" max="6914" width="5.75" style="518" bestFit="1" customWidth="1"/>
    <col min="6915" max="6915" width="38.125" style="518" customWidth="1"/>
    <col min="6916" max="6916" width="9.625" style="518" customWidth="1"/>
    <col min="6917" max="6917" width="11.25" style="518" customWidth="1"/>
    <col min="6918" max="6918" width="10.625" style="518" customWidth="1"/>
    <col min="6919" max="6919" width="14.375" style="518" customWidth="1"/>
    <col min="6920" max="6920" width="11.125" style="518" customWidth="1"/>
    <col min="6921" max="6921" width="10.75" style="518" customWidth="1"/>
    <col min="6922" max="6922" width="11" style="518" customWidth="1"/>
    <col min="6923" max="7169" width="9" style="518"/>
    <col min="7170" max="7170" width="5.75" style="518" bestFit="1" customWidth="1"/>
    <col min="7171" max="7171" width="38.125" style="518" customWidth="1"/>
    <col min="7172" max="7172" width="9.625" style="518" customWidth="1"/>
    <col min="7173" max="7173" width="11.25" style="518" customWidth="1"/>
    <col min="7174" max="7174" width="10.625" style="518" customWidth="1"/>
    <col min="7175" max="7175" width="14.375" style="518" customWidth="1"/>
    <col min="7176" max="7176" width="11.125" style="518" customWidth="1"/>
    <col min="7177" max="7177" width="10.75" style="518" customWidth="1"/>
    <col min="7178" max="7178" width="11" style="518" customWidth="1"/>
    <col min="7179" max="7425" width="9" style="518"/>
    <col min="7426" max="7426" width="5.75" style="518" bestFit="1" customWidth="1"/>
    <col min="7427" max="7427" width="38.125" style="518" customWidth="1"/>
    <col min="7428" max="7428" width="9.625" style="518" customWidth="1"/>
    <col min="7429" max="7429" width="11.25" style="518" customWidth="1"/>
    <col min="7430" max="7430" width="10.625" style="518" customWidth="1"/>
    <col min="7431" max="7431" width="14.375" style="518" customWidth="1"/>
    <col min="7432" max="7432" width="11.125" style="518" customWidth="1"/>
    <col min="7433" max="7433" width="10.75" style="518" customWidth="1"/>
    <col min="7434" max="7434" width="11" style="518" customWidth="1"/>
    <col min="7435" max="7681" width="9" style="518"/>
    <col min="7682" max="7682" width="5.75" style="518" bestFit="1" customWidth="1"/>
    <col min="7683" max="7683" width="38.125" style="518" customWidth="1"/>
    <col min="7684" max="7684" width="9.625" style="518" customWidth="1"/>
    <col min="7685" max="7685" width="11.25" style="518" customWidth="1"/>
    <col min="7686" max="7686" width="10.625" style="518" customWidth="1"/>
    <col min="7687" max="7687" width="14.375" style="518" customWidth="1"/>
    <col min="7688" max="7688" width="11.125" style="518" customWidth="1"/>
    <col min="7689" max="7689" width="10.75" style="518" customWidth="1"/>
    <col min="7690" max="7690" width="11" style="518" customWidth="1"/>
    <col min="7691" max="7937" width="9" style="518"/>
    <col min="7938" max="7938" width="5.75" style="518" bestFit="1" customWidth="1"/>
    <col min="7939" max="7939" width="38.125" style="518" customWidth="1"/>
    <col min="7940" max="7940" width="9.625" style="518" customWidth="1"/>
    <col min="7941" max="7941" width="11.25" style="518" customWidth="1"/>
    <col min="7942" max="7942" width="10.625" style="518" customWidth="1"/>
    <col min="7943" max="7943" width="14.375" style="518" customWidth="1"/>
    <col min="7944" max="7944" width="11.125" style="518" customWidth="1"/>
    <col min="7945" max="7945" width="10.75" style="518" customWidth="1"/>
    <col min="7946" max="7946" width="11" style="518" customWidth="1"/>
    <col min="7947" max="8193" width="9" style="518"/>
    <col min="8194" max="8194" width="5.75" style="518" bestFit="1" customWidth="1"/>
    <col min="8195" max="8195" width="38.125" style="518" customWidth="1"/>
    <col min="8196" max="8196" width="9.625" style="518" customWidth="1"/>
    <col min="8197" max="8197" width="11.25" style="518" customWidth="1"/>
    <col min="8198" max="8198" width="10.625" style="518" customWidth="1"/>
    <col min="8199" max="8199" width="14.375" style="518" customWidth="1"/>
    <col min="8200" max="8200" width="11.125" style="518" customWidth="1"/>
    <col min="8201" max="8201" width="10.75" style="518" customWidth="1"/>
    <col min="8202" max="8202" width="11" style="518" customWidth="1"/>
    <col min="8203" max="8449" width="9" style="518"/>
    <col min="8450" max="8450" width="5.75" style="518" bestFit="1" customWidth="1"/>
    <col min="8451" max="8451" width="38.125" style="518" customWidth="1"/>
    <col min="8452" max="8452" width="9.625" style="518" customWidth="1"/>
    <col min="8453" max="8453" width="11.25" style="518" customWidth="1"/>
    <col min="8454" max="8454" width="10.625" style="518" customWidth="1"/>
    <col min="8455" max="8455" width="14.375" style="518" customWidth="1"/>
    <col min="8456" max="8456" width="11.125" style="518" customWidth="1"/>
    <col min="8457" max="8457" width="10.75" style="518" customWidth="1"/>
    <col min="8458" max="8458" width="11" style="518" customWidth="1"/>
    <col min="8459" max="8705" width="9" style="518"/>
    <col min="8706" max="8706" width="5.75" style="518" bestFit="1" customWidth="1"/>
    <col min="8707" max="8707" width="38.125" style="518" customWidth="1"/>
    <col min="8708" max="8708" width="9.625" style="518" customWidth="1"/>
    <col min="8709" max="8709" width="11.25" style="518" customWidth="1"/>
    <col min="8710" max="8710" width="10.625" style="518" customWidth="1"/>
    <col min="8711" max="8711" width="14.375" style="518" customWidth="1"/>
    <col min="8712" max="8712" width="11.125" style="518" customWidth="1"/>
    <col min="8713" max="8713" width="10.75" style="518" customWidth="1"/>
    <col min="8714" max="8714" width="11" style="518" customWidth="1"/>
    <col min="8715" max="8961" width="9" style="518"/>
    <col min="8962" max="8962" width="5.75" style="518" bestFit="1" customWidth="1"/>
    <col min="8963" max="8963" width="38.125" style="518" customWidth="1"/>
    <col min="8964" max="8964" width="9.625" style="518" customWidth="1"/>
    <col min="8965" max="8965" width="11.25" style="518" customWidth="1"/>
    <col min="8966" max="8966" width="10.625" style="518" customWidth="1"/>
    <col min="8967" max="8967" width="14.375" style="518" customWidth="1"/>
    <col min="8968" max="8968" width="11.125" style="518" customWidth="1"/>
    <col min="8969" max="8969" width="10.75" style="518" customWidth="1"/>
    <col min="8970" max="8970" width="11" style="518" customWidth="1"/>
    <col min="8971" max="9217" width="9" style="518"/>
    <col min="9218" max="9218" width="5.75" style="518" bestFit="1" customWidth="1"/>
    <col min="9219" max="9219" width="38.125" style="518" customWidth="1"/>
    <col min="9220" max="9220" width="9.625" style="518" customWidth="1"/>
    <col min="9221" max="9221" width="11.25" style="518" customWidth="1"/>
    <col min="9222" max="9222" width="10.625" style="518" customWidth="1"/>
    <col min="9223" max="9223" width="14.375" style="518" customWidth="1"/>
    <col min="9224" max="9224" width="11.125" style="518" customWidth="1"/>
    <col min="9225" max="9225" width="10.75" style="518" customWidth="1"/>
    <col min="9226" max="9226" width="11" style="518" customWidth="1"/>
    <col min="9227" max="9473" width="9" style="518"/>
    <col min="9474" max="9474" width="5.75" style="518" bestFit="1" customWidth="1"/>
    <col min="9475" max="9475" width="38.125" style="518" customWidth="1"/>
    <col min="9476" max="9476" width="9.625" style="518" customWidth="1"/>
    <col min="9477" max="9477" width="11.25" style="518" customWidth="1"/>
    <col min="9478" max="9478" width="10.625" style="518" customWidth="1"/>
    <col min="9479" max="9479" width="14.375" style="518" customWidth="1"/>
    <col min="9480" max="9480" width="11.125" style="518" customWidth="1"/>
    <col min="9481" max="9481" width="10.75" style="518" customWidth="1"/>
    <col min="9482" max="9482" width="11" style="518" customWidth="1"/>
    <col min="9483" max="9729" width="9" style="518"/>
    <col min="9730" max="9730" width="5.75" style="518" bestFit="1" customWidth="1"/>
    <col min="9731" max="9731" width="38.125" style="518" customWidth="1"/>
    <col min="9732" max="9732" width="9.625" style="518" customWidth="1"/>
    <col min="9733" max="9733" width="11.25" style="518" customWidth="1"/>
    <col min="9734" max="9734" width="10.625" style="518" customWidth="1"/>
    <col min="9735" max="9735" width="14.375" style="518" customWidth="1"/>
    <col min="9736" max="9736" width="11.125" style="518" customWidth="1"/>
    <col min="9737" max="9737" width="10.75" style="518" customWidth="1"/>
    <col min="9738" max="9738" width="11" style="518" customWidth="1"/>
    <col min="9739" max="9985" width="9" style="518"/>
    <col min="9986" max="9986" width="5.75" style="518" bestFit="1" customWidth="1"/>
    <col min="9987" max="9987" width="38.125" style="518" customWidth="1"/>
    <col min="9988" max="9988" width="9.625" style="518" customWidth="1"/>
    <col min="9989" max="9989" width="11.25" style="518" customWidth="1"/>
    <col min="9990" max="9990" width="10.625" style="518" customWidth="1"/>
    <col min="9991" max="9991" width="14.375" style="518" customWidth="1"/>
    <col min="9992" max="9992" width="11.125" style="518" customWidth="1"/>
    <col min="9993" max="9993" width="10.75" style="518" customWidth="1"/>
    <col min="9994" max="9994" width="11" style="518" customWidth="1"/>
    <col min="9995" max="10241" width="9" style="518"/>
    <col min="10242" max="10242" width="5.75" style="518" bestFit="1" customWidth="1"/>
    <col min="10243" max="10243" width="38.125" style="518" customWidth="1"/>
    <col min="10244" max="10244" width="9.625" style="518" customWidth="1"/>
    <col min="10245" max="10245" width="11.25" style="518" customWidth="1"/>
    <col min="10246" max="10246" width="10.625" style="518" customWidth="1"/>
    <col min="10247" max="10247" width="14.375" style="518" customWidth="1"/>
    <col min="10248" max="10248" width="11.125" style="518" customWidth="1"/>
    <col min="10249" max="10249" width="10.75" style="518" customWidth="1"/>
    <col min="10250" max="10250" width="11" style="518" customWidth="1"/>
    <col min="10251" max="10497" width="9" style="518"/>
    <col min="10498" max="10498" width="5.75" style="518" bestFit="1" customWidth="1"/>
    <col min="10499" max="10499" width="38.125" style="518" customWidth="1"/>
    <col min="10500" max="10500" width="9.625" style="518" customWidth="1"/>
    <col min="10501" max="10501" width="11.25" style="518" customWidth="1"/>
    <col min="10502" max="10502" width="10.625" style="518" customWidth="1"/>
    <col min="10503" max="10503" width="14.375" style="518" customWidth="1"/>
    <col min="10504" max="10504" width="11.125" style="518" customWidth="1"/>
    <col min="10505" max="10505" width="10.75" style="518" customWidth="1"/>
    <col min="10506" max="10506" width="11" style="518" customWidth="1"/>
    <col min="10507" max="10753" width="9" style="518"/>
    <col min="10754" max="10754" width="5.75" style="518" bestFit="1" customWidth="1"/>
    <col min="10755" max="10755" width="38.125" style="518" customWidth="1"/>
    <col min="10756" max="10756" width="9.625" style="518" customWidth="1"/>
    <col min="10757" max="10757" width="11.25" style="518" customWidth="1"/>
    <col min="10758" max="10758" width="10.625" style="518" customWidth="1"/>
    <col min="10759" max="10759" width="14.375" style="518" customWidth="1"/>
    <col min="10760" max="10760" width="11.125" style="518" customWidth="1"/>
    <col min="10761" max="10761" width="10.75" style="518" customWidth="1"/>
    <col min="10762" max="10762" width="11" style="518" customWidth="1"/>
    <col min="10763" max="11009" width="9" style="518"/>
    <col min="11010" max="11010" width="5.75" style="518" bestFit="1" customWidth="1"/>
    <col min="11011" max="11011" width="38.125" style="518" customWidth="1"/>
    <col min="11012" max="11012" width="9.625" style="518" customWidth="1"/>
    <col min="11013" max="11013" width="11.25" style="518" customWidth="1"/>
    <col min="11014" max="11014" width="10.625" style="518" customWidth="1"/>
    <col min="11015" max="11015" width="14.375" style="518" customWidth="1"/>
    <col min="11016" max="11016" width="11.125" style="518" customWidth="1"/>
    <col min="11017" max="11017" width="10.75" style="518" customWidth="1"/>
    <col min="11018" max="11018" width="11" style="518" customWidth="1"/>
    <col min="11019" max="11265" width="9" style="518"/>
    <col min="11266" max="11266" width="5.75" style="518" bestFit="1" customWidth="1"/>
    <col min="11267" max="11267" width="38.125" style="518" customWidth="1"/>
    <col min="11268" max="11268" width="9.625" style="518" customWidth="1"/>
    <col min="11269" max="11269" width="11.25" style="518" customWidth="1"/>
    <col min="11270" max="11270" width="10.625" style="518" customWidth="1"/>
    <col min="11271" max="11271" width="14.375" style="518" customWidth="1"/>
    <col min="11272" max="11272" width="11.125" style="518" customWidth="1"/>
    <col min="11273" max="11273" width="10.75" style="518" customWidth="1"/>
    <col min="11274" max="11274" width="11" style="518" customWidth="1"/>
    <col min="11275" max="11521" width="9" style="518"/>
    <col min="11522" max="11522" width="5.75" style="518" bestFit="1" customWidth="1"/>
    <col min="11523" max="11523" width="38.125" style="518" customWidth="1"/>
    <col min="11524" max="11524" width="9.625" style="518" customWidth="1"/>
    <col min="11525" max="11525" width="11.25" style="518" customWidth="1"/>
    <col min="11526" max="11526" width="10.625" style="518" customWidth="1"/>
    <col min="11527" max="11527" width="14.375" style="518" customWidth="1"/>
    <col min="11528" max="11528" width="11.125" style="518" customWidth="1"/>
    <col min="11529" max="11529" width="10.75" style="518" customWidth="1"/>
    <col min="11530" max="11530" width="11" style="518" customWidth="1"/>
    <col min="11531" max="11777" width="9" style="518"/>
    <col min="11778" max="11778" width="5.75" style="518" bestFit="1" customWidth="1"/>
    <col min="11779" max="11779" width="38.125" style="518" customWidth="1"/>
    <col min="11780" max="11780" width="9.625" style="518" customWidth="1"/>
    <col min="11781" max="11781" width="11.25" style="518" customWidth="1"/>
    <col min="11782" max="11782" width="10.625" style="518" customWidth="1"/>
    <col min="11783" max="11783" width="14.375" style="518" customWidth="1"/>
    <col min="11784" max="11784" width="11.125" style="518" customWidth="1"/>
    <col min="11785" max="11785" width="10.75" style="518" customWidth="1"/>
    <col min="11786" max="11786" width="11" style="518" customWidth="1"/>
    <col min="11787" max="12033" width="9" style="518"/>
    <col min="12034" max="12034" width="5.75" style="518" bestFit="1" customWidth="1"/>
    <col min="12035" max="12035" width="38.125" style="518" customWidth="1"/>
    <col min="12036" max="12036" width="9.625" style="518" customWidth="1"/>
    <col min="12037" max="12037" width="11.25" style="518" customWidth="1"/>
    <col min="12038" max="12038" width="10.625" style="518" customWidth="1"/>
    <col min="12039" max="12039" width="14.375" style="518" customWidth="1"/>
    <col min="12040" max="12040" width="11.125" style="518" customWidth="1"/>
    <col min="12041" max="12041" width="10.75" style="518" customWidth="1"/>
    <col min="12042" max="12042" width="11" style="518" customWidth="1"/>
    <col min="12043" max="12289" width="9" style="518"/>
    <col min="12290" max="12290" width="5.75" style="518" bestFit="1" customWidth="1"/>
    <col min="12291" max="12291" width="38.125" style="518" customWidth="1"/>
    <col min="12292" max="12292" width="9.625" style="518" customWidth="1"/>
    <col min="12293" max="12293" width="11.25" style="518" customWidth="1"/>
    <col min="12294" max="12294" width="10.625" style="518" customWidth="1"/>
    <col min="12295" max="12295" width="14.375" style="518" customWidth="1"/>
    <col min="12296" max="12296" width="11.125" style="518" customWidth="1"/>
    <col min="12297" max="12297" width="10.75" style="518" customWidth="1"/>
    <col min="12298" max="12298" width="11" style="518" customWidth="1"/>
    <col min="12299" max="12545" width="9" style="518"/>
    <col min="12546" max="12546" width="5.75" style="518" bestFit="1" customWidth="1"/>
    <col min="12547" max="12547" width="38.125" style="518" customWidth="1"/>
    <col min="12548" max="12548" width="9.625" style="518" customWidth="1"/>
    <col min="12549" max="12549" width="11.25" style="518" customWidth="1"/>
    <col min="12550" max="12550" width="10.625" style="518" customWidth="1"/>
    <col min="12551" max="12551" width="14.375" style="518" customWidth="1"/>
    <col min="12552" max="12552" width="11.125" style="518" customWidth="1"/>
    <col min="12553" max="12553" width="10.75" style="518" customWidth="1"/>
    <col min="12554" max="12554" width="11" style="518" customWidth="1"/>
    <col min="12555" max="12801" width="9" style="518"/>
    <col min="12802" max="12802" width="5.75" style="518" bestFit="1" customWidth="1"/>
    <col min="12803" max="12803" width="38.125" style="518" customWidth="1"/>
    <col min="12804" max="12804" width="9.625" style="518" customWidth="1"/>
    <col min="12805" max="12805" width="11.25" style="518" customWidth="1"/>
    <col min="12806" max="12806" width="10.625" style="518" customWidth="1"/>
    <col min="12807" max="12807" width="14.375" style="518" customWidth="1"/>
    <col min="12808" max="12808" width="11.125" style="518" customWidth="1"/>
    <col min="12809" max="12809" width="10.75" style="518" customWidth="1"/>
    <col min="12810" max="12810" width="11" style="518" customWidth="1"/>
    <col min="12811" max="13057" width="9" style="518"/>
    <col min="13058" max="13058" width="5.75" style="518" bestFit="1" customWidth="1"/>
    <col min="13059" max="13059" width="38.125" style="518" customWidth="1"/>
    <col min="13060" max="13060" width="9.625" style="518" customWidth="1"/>
    <col min="13061" max="13061" width="11.25" style="518" customWidth="1"/>
    <col min="13062" max="13062" width="10.625" style="518" customWidth="1"/>
    <col min="13063" max="13063" width="14.375" style="518" customWidth="1"/>
    <col min="13064" max="13064" width="11.125" style="518" customWidth="1"/>
    <col min="13065" max="13065" width="10.75" style="518" customWidth="1"/>
    <col min="13066" max="13066" width="11" style="518" customWidth="1"/>
    <col min="13067" max="13313" width="9" style="518"/>
    <col min="13314" max="13314" width="5.75" style="518" bestFit="1" customWidth="1"/>
    <col min="13315" max="13315" width="38.125" style="518" customWidth="1"/>
    <col min="13316" max="13316" width="9.625" style="518" customWidth="1"/>
    <col min="13317" max="13317" width="11.25" style="518" customWidth="1"/>
    <col min="13318" max="13318" width="10.625" style="518" customWidth="1"/>
    <col min="13319" max="13319" width="14.375" style="518" customWidth="1"/>
    <col min="13320" max="13320" width="11.125" style="518" customWidth="1"/>
    <col min="13321" max="13321" width="10.75" style="518" customWidth="1"/>
    <col min="13322" max="13322" width="11" style="518" customWidth="1"/>
    <col min="13323" max="13569" width="9" style="518"/>
    <col min="13570" max="13570" width="5.75" style="518" bestFit="1" customWidth="1"/>
    <col min="13571" max="13571" width="38.125" style="518" customWidth="1"/>
    <col min="13572" max="13572" width="9.625" style="518" customWidth="1"/>
    <col min="13573" max="13573" width="11.25" style="518" customWidth="1"/>
    <col min="13574" max="13574" width="10.625" style="518" customWidth="1"/>
    <col min="13575" max="13575" width="14.375" style="518" customWidth="1"/>
    <col min="13576" max="13576" width="11.125" style="518" customWidth="1"/>
    <col min="13577" max="13577" width="10.75" style="518" customWidth="1"/>
    <col min="13578" max="13578" width="11" style="518" customWidth="1"/>
    <col min="13579" max="13825" width="9" style="518"/>
    <col min="13826" max="13826" width="5.75" style="518" bestFit="1" customWidth="1"/>
    <col min="13827" max="13827" width="38.125" style="518" customWidth="1"/>
    <col min="13828" max="13828" width="9.625" style="518" customWidth="1"/>
    <col min="13829" max="13829" width="11.25" style="518" customWidth="1"/>
    <col min="13830" max="13830" width="10.625" style="518" customWidth="1"/>
    <col min="13831" max="13831" width="14.375" style="518" customWidth="1"/>
    <col min="13832" max="13832" width="11.125" style="518" customWidth="1"/>
    <col min="13833" max="13833" width="10.75" style="518" customWidth="1"/>
    <col min="13834" max="13834" width="11" style="518" customWidth="1"/>
    <col min="13835" max="14081" width="9" style="518"/>
    <col min="14082" max="14082" width="5.75" style="518" bestFit="1" customWidth="1"/>
    <col min="14083" max="14083" width="38.125" style="518" customWidth="1"/>
    <col min="14084" max="14084" width="9.625" style="518" customWidth="1"/>
    <col min="14085" max="14085" width="11.25" style="518" customWidth="1"/>
    <col min="14086" max="14086" width="10.625" style="518" customWidth="1"/>
    <col min="14087" max="14087" width="14.375" style="518" customWidth="1"/>
    <col min="14088" max="14088" width="11.125" style="518" customWidth="1"/>
    <col min="14089" max="14089" width="10.75" style="518" customWidth="1"/>
    <col min="14090" max="14090" width="11" style="518" customWidth="1"/>
    <col min="14091" max="14337" width="9" style="518"/>
    <col min="14338" max="14338" width="5.75" style="518" bestFit="1" customWidth="1"/>
    <col min="14339" max="14339" width="38.125" style="518" customWidth="1"/>
    <col min="14340" max="14340" width="9.625" style="518" customWidth="1"/>
    <col min="14341" max="14341" width="11.25" style="518" customWidth="1"/>
    <col min="14342" max="14342" width="10.625" style="518" customWidth="1"/>
    <col min="14343" max="14343" width="14.375" style="518" customWidth="1"/>
    <col min="14344" max="14344" width="11.125" style="518" customWidth="1"/>
    <col min="14345" max="14345" width="10.75" style="518" customWidth="1"/>
    <col min="14346" max="14346" width="11" style="518" customWidth="1"/>
    <col min="14347" max="14593" width="9" style="518"/>
    <col min="14594" max="14594" width="5.75" style="518" bestFit="1" customWidth="1"/>
    <col min="14595" max="14595" width="38.125" style="518" customWidth="1"/>
    <col min="14596" max="14596" width="9.625" style="518" customWidth="1"/>
    <col min="14597" max="14597" width="11.25" style="518" customWidth="1"/>
    <col min="14598" max="14598" width="10.625" style="518" customWidth="1"/>
    <col min="14599" max="14599" width="14.375" style="518" customWidth="1"/>
    <col min="14600" max="14600" width="11.125" style="518" customWidth="1"/>
    <col min="14601" max="14601" width="10.75" style="518" customWidth="1"/>
    <col min="14602" max="14602" width="11" style="518" customWidth="1"/>
    <col min="14603" max="14849" width="9" style="518"/>
    <col min="14850" max="14850" width="5.75" style="518" bestFit="1" customWidth="1"/>
    <col min="14851" max="14851" width="38.125" style="518" customWidth="1"/>
    <col min="14852" max="14852" width="9.625" style="518" customWidth="1"/>
    <col min="14853" max="14853" width="11.25" style="518" customWidth="1"/>
    <col min="14854" max="14854" width="10.625" style="518" customWidth="1"/>
    <col min="14855" max="14855" width="14.375" style="518" customWidth="1"/>
    <col min="14856" max="14856" width="11.125" style="518" customWidth="1"/>
    <col min="14857" max="14857" width="10.75" style="518" customWidth="1"/>
    <col min="14858" max="14858" width="11" style="518" customWidth="1"/>
    <col min="14859" max="15105" width="9" style="518"/>
    <col min="15106" max="15106" width="5.75" style="518" bestFit="1" customWidth="1"/>
    <col min="15107" max="15107" width="38.125" style="518" customWidth="1"/>
    <col min="15108" max="15108" width="9.625" style="518" customWidth="1"/>
    <col min="15109" max="15109" width="11.25" style="518" customWidth="1"/>
    <col min="15110" max="15110" width="10.625" style="518" customWidth="1"/>
    <col min="15111" max="15111" width="14.375" style="518" customWidth="1"/>
    <col min="15112" max="15112" width="11.125" style="518" customWidth="1"/>
    <col min="15113" max="15113" width="10.75" style="518" customWidth="1"/>
    <col min="15114" max="15114" width="11" style="518" customWidth="1"/>
    <col min="15115" max="15361" width="9" style="518"/>
    <col min="15362" max="15362" width="5.75" style="518" bestFit="1" customWidth="1"/>
    <col min="15363" max="15363" width="38.125" style="518" customWidth="1"/>
    <col min="15364" max="15364" width="9.625" style="518" customWidth="1"/>
    <col min="15365" max="15365" width="11.25" style="518" customWidth="1"/>
    <col min="15366" max="15366" width="10.625" style="518" customWidth="1"/>
    <col min="15367" max="15367" width="14.375" style="518" customWidth="1"/>
    <col min="15368" max="15368" width="11.125" style="518" customWidth="1"/>
    <col min="15369" max="15369" width="10.75" style="518" customWidth="1"/>
    <col min="15370" max="15370" width="11" style="518" customWidth="1"/>
    <col min="15371" max="15617" width="9" style="518"/>
    <col min="15618" max="15618" width="5.75" style="518" bestFit="1" customWidth="1"/>
    <col min="15619" max="15619" width="38.125" style="518" customWidth="1"/>
    <col min="15620" max="15620" width="9.625" style="518" customWidth="1"/>
    <col min="15621" max="15621" width="11.25" style="518" customWidth="1"/>
    <col min="15622" max="15622" width="10.625" style="518" customWidth="1"/>
    <col min="15623" max="15623" width="14.375" style="518" customWidth="1"/>
    <col min="15624" max="15624" width="11.125" style="518" customWidth="1"/>
    <col min="15625" max="15625" width="10.75" style="518" customWidth="1"/>
    <col min="15626" max="15626" width="11" style="518" customWidth="1"/>
    <col min="15627" max="15873" width="9" style="518"/>
    <col min="15874" max="15874" width="5.75" style="518" bestFit="1" customWidth="1"/>
    <col min="15875" max="15875" width="38.125" style="518" customWidth="1"/>
    <col min="15876" max="15876" width="9.625" style="518" customWidth="1"/>
    <col min="15877" max="15877" width="11.25" style="518" customWidth="1"/>
    <col min="15878" max="15878" width="10.625" style="518" customWidth="1"/>
    <col min="15879" max="15879" width="14.375" style="518" customWidth="1"/>
    <col min="15880" max="15880" width="11.125" style="518" customWidth="1"/>
    <col min="15881" max="15881" width="10.75" style="518" customWidth="1"/>
    <col min="15882" max="15882" width="11" style="518" customWidth="1"/>
    <col min="15883" max="16129" width="9" style="518"/>
    <col min="16130" max="16130" width="5.75" style="518" bestFit="1" customWidth="1"/>
    <col min="16131" max="16131" width="38.125" style="518" customWidth="1"/>
    <col min="16132" max="16132" width="9.625" style="518" customWidth="1"/>
    <col min="16133" max="16133" width="11.25" style="518" customWidth="1"/>
    <col min="16134" max="16134" width="10.625" style="518" customWidth="1"/>
    <col min="16135" max="16135" width="14.375" style="518" customWidth="1"/>
    <col min="16136" max="16136" width="11.125" style="518" customWidth="1"/>
    <col min="16137" max="16137" width="10.75" style="518" customWidth="1"/>
    <col min="16138" max="16138" width="11" style="518" customWidth="1"/>
    <col min="16139" max="16384" width="9" style="518"/>
  </cols>
  <sheetData>
    <row r="1" spans="1:99" ht="27" customHeight="1" x14ac:dyDescent="0.3">
      <c r="A1" s="512"/>
      <c r="C1" s="513" t="s">
        <v>1541</v>
      </c>
      <c r="E1" s="513" t="s">
        <v>1537</v>
      </c>
      <c r="AD1" s="518" t="s">
        <v>1537</v>
      </c>
      <c r="AI1" s="513" t="s">
        <v>1541</v>
      </c>
      <c r="AQ1" s="513" t="s">
        <v>1541</v>
      </c>
      <c r="AY1" s="513" t="s">
        <v>1541</v>
      </c>
      <c r="BG1" s="513" t="s">
        <v>1541</v>
      </c>
      <c r="BO1" s="513" t="s">
        <v>1541</v>
      </c>
      <c r="BW1" s="513" t="s">
        <v>1541</v>
      </c>
      <c r="CE1" s="513" t="s">
        <v>1541</v>
      </c>
      <c r="CM1" s="513" t="s">
        <v>1541</v>
      </c>
      <c r="CU1" s="513" t="s">
        <v>1541</v>
      </c>
    </row>
    <row r="2" spans="1:99" ht="27" customHeight="1" x14ac:dyDescent="0.3">
      <c r="A2" s="1383" t="s">
        <v>1097</v>
      </c>
      <c r="B2" s="1383"/>
      <c r="C2" s="1383"/>
      <c r="D2" s="1383"/>
      <c r="E2" s="1383"/>
      <c r="F2" s="1383"/>
      <c r="G2" s="1383"/>
      <c r="H2" s="1383"/>
      <c r="I2" s="1383"/>
      <c r="J2" s="1383"/>
      <c r="K2" s="1383"/>
    </row>
    <row r="3" spans="1:99" ht="27" customHeight="1" x14ac:dyDescent="0.3">
      <c r="A3" s="1384" t="s">
        <v>519</v>
      </c>
      <c r="B3" s="1384" t="s">
        <v>240</v>
      </c>
      <c r="C3" s="1384" t="s">
        <v>857</v>
      </c>
      <c r="D3" s="1378" t="s">
        <v>1098</v>
      </c>
      <c r="E3" s="1380" t="s">
        <v>1099</v>
      </c>
      <c r="F3" s="1381"/>
      <c r="G3" s="1381"/>
      <c r="H3" s="1381"/>
      <c r="I3" s="1381"/>
      <c r="J3" s="1382"/>
      <c r="K3" s="1385" t="s">
        <v>1102</v>
      </c>
      <c r="L3" s="1386"/>
      <c r="M3" s="1386"/>
      <c r="N3" s="1386"/>
      <c r="O3" s="1386"/>
      <c r="P3" s="1386"/>
    </row>
    <row r="4" spans="1:99" ht="52.5" customHeight="1" x14ac:dyDescent="0.3">
      <c r="A4" s="1384"/>
      <c r="B4" s="1384"/>
      <c r="C4" s="1384"/>
      <c r="D4" s="1379"/>
      <c r="E4" s="972" t="s">
        <v>1100</v>
      </c>
      <c r="F4" s="972" t="s">
        <v>1101</v>
      </c>
      <c r="G4" s="972" t="s">
        <v>1103</v>
      </c>
      <c r="H4" s="972" t="s">
        <v>1104</v>
      </c>
      <c r="I4" s="973" t="s">
        <v>1105</v>
      </c>
      <c r="J4" s="973" t="s">
        <v>1106</v>
      </c>
      <c r="K4" s="979" t="s">
        <v>1380</v>
      </c>
      <c r="L4" s="979" t="s">
        <v>1375</v>
      </c>
      <c r="M4" s="979" t="s">
        <v>1376</v>
      </c>
      <c r="N4" s="979" t="s">
        <v>1377</v>
      </c>
      <c r="O4" s="979" t="s">
        <v>1378</v>
      </c>
      <c r="P4" s="979" t="s">
        <v>1379</v>
      </c>
    </row>
    <row r="5" spans="1:99" s="719" customFormat="1" x14ac:dyDescent="0.3">
      <c r="A5" s="974" t="s">
        <v>407</v>
      </c>
      <c r="B5" s="974" t="s">
        <v>422</v>
      </c>
      <c r="C5" s="974">
        <v>1</v>
      </c>
      <c r="D5" s="975">
        <v>2</v>
      </c>
      <c r="E5" s="974" t="s">
        <v>1120</v>
      </c>
      <c r="F5" s="975">
        <v>4</v>
      </c>
      <c r="G5" s="974">
        <v>5</v>
      </c>
      <c r="H5" s="975">
        <v>6</v>
      </c>
      <c r="I5" s="974">
        <v>7</v>
      </c>
      <c r="J5" s="975">
        <v>8</v>
      </c>
      <c r="K5" s="974">
        <v>9</v>
      </c>
      <c r="L5" s="974"/>
      <c r="M5" s="974"/>
      <c r="N5" s="974"/>
      <c r="O5" s="974"/>
      <c r="P5" s="974"/>
    </row>
    <row r="6" spans="1:99" s="719" customFormat="1" ht="45.75" customHeight="1" x14ac:dyDescent="0.3">
      <c r="A6" s="520">
        <v>1</v>
      </c>
      <c r="B6" s="730" t="s">
        <v>1329</v>
      </c>
      <c r="C6" s="766" t="s">
        <v>861</v>
      </c>
      <c r="D6" s="766"/>
      <c r="E6" s="731">
        <f>SUM(F6:J6)</f>
        <v>375243533</v>
      </c>
      <c r="F6" s="731">
        <f>'Thu NSNN 2010-2025'!P31</f>
        <v>62221079</v>
      </c>
      <c r="G6" s="731">
        <f>'Thu NSNN 2010-2025'!Q31</f>
        <v>68288574</v>
      </c>
      <c r="H6" s="731">
        <f>'Thu NSNN 2010-2025'!R31</f>
        <v>75875880</v>
      </c>
      <c r="I6" s="731">
        <f>'Thu NSNN 2010-2025'!S31</f>
        <v>82283000</v>
      </c>
      <c r="J6" s="731">
        <f>'Thu NSNN 2010-2025'!V31</f>
        <v>86575000</v>
      </c>
      <c r="K6" s="731">
        <f>SUM(L6:P6)</f>
        <v>532721145.87610257</v>
      </c>
      <c r="L6" s="731">
        <f>'Thu NSNN 2010-2025'!AA31</f>
        <v>92635250</v>
      </c>
      <c r="M6" s="731">
        <f>'Thu NSNN 2010-2025'!AB31</f>
        <v>99119717.5</v>
      </c>
      <c r="N6" s="731">
        <f>'Thu NSNN 2010-2025'!AC31</f>
        <v>106058097.72500001</v>
      </c>
      <c r="O6" s="731">
        <f>'Thu NSNN 2010-2025'!AD31</f>
        <v>113482164.56575002</v>
      </c>
      <c r="P6" s="731">
        <f>'Thu NSNN 2010-2025'!AE31</f>
        <v>121425916.08535253</v>
      </c>
    </row>
    <row r="7" spans="1:99" s="719" customFormat="1" ht="42" customHeight="1" x14ac:dyDescent="0.3">
      <c r="A7" s="514">
        <v>2</v>
      </c>
      <c r="B7" s="767" t="s">
        <v>1328</v>
      </c>
      <c r="C7" s="768" t="s">
        <v>854</v>
      </c>
      <c r="D7" s="929"/>
      <c r="E7" s="1131">
        <f>(F7*G7*H7*I7*J7)^(1/5)</f>
        <v>6.4167648934388257</v>
      </c>
      <c r="F7" s="1131">
        <v>5.5871481311685898</v>
      </c>
      <c r="G7" s="1131">
        <v>6.0392535938883043</v>
      </c>
      <c r="H7" s="1131">
        <v>7.1204112769112555</v>
      </c>
      <c r="I7" s="1131">
        <v>6.465819143076132</v>
      </c>
      <c r="J7" s="1131">
        <v>7.0029101154791391</v>
      </c>
      <c r="K7" s="1131">
        <f>(L7*M7*N7*O7*P7)^(1/5)</f>
        <v>6.9986765369527779</v>
      </c>
      <c r="L7" s="1132">
        <v>6.7586106658622498</v>
      </c>
      <c r="M7" s="1132">
        <v>6.9954576485247628</v>
      </c>
      <c r="N7" s="1132">
        <v>7.1222909946990995</v>
      </c>
      <c r="O7" s="1132">
        <v>7.1549970127325651</v>
      </c>
      <c r="P7" s="1132">
        <v>6.9691029148298611</v>
      </c>
    </row>
    <row r="8" spans="1:99" x14ac:dyDescent="0.3">
      <c r="A8" s="931" t="s">
        <v>434</v>
      </c>
      <c r="B8" s="976" t="s">
        <v>1367</v>
      </c>
      <c r="C8" s="516"/>
      <c r="D8" s="930"/>
      <c r="E8" s="1133">
        <f t="shared" ref="E8:E14" si="0">(F8*G8*H8*I8*J8)^(1/5)</f>
        <v>3.3621390406134641</v>
      </c>
      <c r="F8" s="1133">
        <v>1.9613794098373205</v>
      </c>
      <c r="G8" s="1133">
        <v>3.327872781271509</v>
      </c>
      <c r="H8" s="1133">
        <v>5.9699671380703165</v>
      </c>
      <c r="I8" s="1134">
        <v>3.1499994098758748</v>
      </c>
      <c r="J8" s="1134">
        <v>3.4999964814330013</v>
      </c>
      <c r="K8" s="1134">
        <f t="shared" ref="K8:K14" si="1">(L8*M8*N8*O8*P8)^(1/5)</f>
        <v>3.4919717807420256</v>
      </c>
      <c r="L8" s="1135">
        <v>3.6</v>
      </c>
      <c r="M8" s="1135">
        <v>3.65</v>
      </c>
      <c r="N8" s="1135">
        <v>3.7</v>
      </c>
      <c r="O8" s="1135">
        <v>3.5</v>
      </c>
      <c r="P8" s="1135">
        <v>3.0513251843828471</v>
      </c>
    </row>
    <row r="9" spans="1:99" x14ac:dyDescent="0.3">
      <c r="A9" s="931" t="s">
        <v>435</v>
      </c>
      <c r="B9" s="976" t="s">
        <v>1368</v>
      </c>
      <c r="C9" s="516"/>
      <c r="D9" s="930"/>
      <c r="E9" s="1133">
        <f t="shared" si="0"/>
        <v>8.3110352783804391</v>
      </c>
      <c r="F9" s="1133">
        <v>7.8496804436427823</v>
      </c>
      <c r="G9" s="1133">
        <v>6.5759376345640277</v>
      </c>
      <c r="H9" s="1133">
        <v>8.7969572190112615</v>
      </c>
      <c r="I9" s="1134">
        <v>9.7962960946962596</v>
      </c>
      <c r="J9" s="1134">
        <v>8.9139785109596517</v>
      </c>
      <c r="K9" s="1134">
        <f t="shared" si="1"/>
        <v>8.9410890362521585</v>
      </c>
      <c r="L9" s="1135">
        <v>8.591635863712682</v>
      </c>
      <c r="M9" s="1135">
        <v>9.0007042777250774</v>
      </c>
      <c r="N9" s="1135">
        <v>9.0902376005363266</v>
      </c>
      <c r="O9" s="1135">
        <v>9.1096761563278505</v>
      </c>
      <c r="P9" s="1135">
        <v>8.9232193676335783</v>
      </c>
    </row>
    <row r="10" spans="1:99" s="726" customFormat="1" x14ac:dyDescent="0.3">
      <c r="A10" s="926"/>
      <c r="B10" s="977" t="s">
        <v>1369</v>
      </c>
      <c r="C10" s="722"/>
      <c r="D10" s="927"/>
      <c r="E10" s="1136">
        <f t="shared" si="0"/>
        <v>8.08887475794719</v>
      </c>
      <c r="F10" s="1136">
        <v>7.0974277713198148</v>
      </c>
      <c r="G10" s="1136">
        <v>6.1592270213242699</v>
      </c>
      <c r="H10" s="1136">
        <v>8.6113827021276421</v>
      </c>
      <c r="I10" s="1137">
        <v>10.394338134259229</v>
      </c>
      <c r="J10" s="1137">
        <v>8.8500073531131136</v>
      </c>
      <c r="K10" s="1137">
        <f t="shared" si="1"/>
        <v>8.6984676378126622</v>
      </c>
      <c r="L10" s="1138">
        <v>8.5</v>
      </c>
      <c r="M10" s="1138">
        <v>8.5500000000000007</v>
      </c>
      <c r="N10" s="1138">
        <v>8.65</v>
      </c>
      <c r="O10" s="1138">
        <v>8.9</v>
      </c>
      <c r="P10" s="1139">
        <v>8.9006680764043011</v>
      </c>
    </row>
    <row r="11" spans="1:99" s="726" customFormat="1" x14ac:dyDescent="0.3">
      <c r="A11" s="926"/>
      <c r="B11" s="977" t="s">
        <v>1364</v>
      </c>
      <c r="C11" s="722"/>
      <c r="D11" s="927"/>
      <c r="E11" s="1136">
        <f t="shared" si="0"/>
        <v>9.0582593246448369</v>
      </c>
      <c r="F11" s="1136">
        <v>11.350006051333935</v>
      </c>
      <c r="G11" s="1136">
        <v>8.4408345632990063</v>
      </c>
      <c r="H11" s="1136">
        <v>9.6100073810448947</v>
      </c>
      <c r="I11" s="1137">
        <v>7.1999902461395919</v>
      </c>
      <c r="J11" s="1137">
        <v>9.1999748034582183</v>
      </c>
      <c r="K11" s="1137">
        <f t="shared" si="1"/>
        <v>9.9638642703182896</v>
      </c>
      <c r="L11" s="1138">
        <v>9</v>
      </c>
      <c r="M11" s="1138">
        <v>11</v>
      </c>
      <c r="N11" s="1138">
        <v>11</v>
      </c>
      <c r="O11" s="1138">
        <v>10</v>
      </c>
      <c r="P11" s="1139">
        <v>9.0180187626257577</v>
      </c>
    </row>
    <row r="12" spans="1:99" x14ac:dyDescent="0.3">
      <c r="A12" s="931" t="s">
        <v>436</v>
      </c>
      <c r="B12" s="976" t="s">
        <v>1370</v>
      </c>
      <c r="C12" s="516"/>
      <c r="D12" s="930"/>
      <c r="E12" s="1133">
        <f t="shared" si="0"/>
        <v>7.9215466972168471</v>
      </c>
      <c r="F12" s="1133">
        <v>7.8745099313851199</v>
      </c>
      <c r="G12" s="1133">
        <v>8.238602441379868</v>
      </c>
      <c r="H12" s="1133">
        <v>7.2255725927104351</v>
      </c>
      <c r="I12" s="1134">
        <v>7.5189570547782125</v>
      </c>
      <c r="J12" s="1134">
        <v>8.8499940619191477</v>
      </c>
      <c r="K12" s="1134">
        <f t="shared" si="1"/>
        <v>8.4280330518611652</v>
      </c>
      <c r="L12" s="1135">
        <v>8.232917800309508</v>
      </c>
      <c r="M12" s="1135">
        <v>8.4042252920701515</v>
      </c>
      <c r="N12" s="1135">
        <v>8.4904212135764823</v>
      </c>
      <c r="O12" s="1135">
        <v>8.5761771140616503</v>
      </c>
      <c r="P12" s="1135">
        <v>8.4402771453324874</v>
      </c>
    </row>
    <row r="13" spans="1:99" x14ac:dyDescent="0.3">
      <c r="A13" s="931"/>
      <c r="B13" s="978" t="s">
        <v>1371</v>
      </c>
      <c r="C13" s="516"/>
      <c r="D13" s="930"/>
      <c r="E13" s="1140">
        <f t="shared" si="0"/>
        <v>7.6342661746031828</v>
      </c>
      <c r="F13" s="1140">
        <v>8.3410668142485775</v>
      </c>
      <c r="G13" s="1140">
        <v>7.2086797593442782</v>
      </c>
      <c r="H13" s="1140">
        <v>6.7599226366745739</v>
      </c>
      <c r="I13" s="1141">
        <v>7.1213993098626389</v>
      </c>
      <c r="J13" s="1141">
        <v>8.9588464453149044</v>
      </c>
      <c r="K13" s="1141">
        <f t="shared" si="1"/>
        <v>8.2261553891288646</v>
      </c>
      <c r="L13" s="1139">
        <v>8</v>
      </c>
      <c r="M13" s="1139">
        <v>8.1999999999999993</v>
      </c>
      <c r="N13" s="1139">
        <v>8.3000000000000007</v>
      </c>
      <c r="O13" s="1139">
        <v>8.4</v>
      </c>
      <c r="P13" s="1139">
        <v>8.23613253786624</v>
      </c>
    </row>
    <row r="14" spans="1:99" x14ac:dyDescent="0.3">
      <c r="A14" s="931"/>
      <c r="B14" s="978" t="s">
        <v>1372</v>
      </c>
      <c r="C14" s="516"/>
      <c r="D14" s="930"/>
      <c r="E14" s="1140">
        <f t="shared" si="0"/>
        <v>8.9959429485502618</v>
      </c>
      <c r="F14" s="1140">
        <v>5.1194866922522664</v>
      </c>
      <c r="G14" s="1140">
        <v>14.506691591356869</v>
      </c>
      <c r="H14" s="1140">
        <v>9.8788898959816862</v>
      </c>
      <c r="I14" s="1141">
        <v>9.7199762430748393</v>
      </c>
      <c r="J14" s="1141">
        <v>8.2616219423967863</v>
      </c>
      <c r="K14" s="1141">
        <f t="shared" si="1"/>
        <v>9.5000000000000053</v>
      </c>
      <c r="L14" s="1139">
        <v>9.5</v>
      </c>
      <c r="M14" s="1139">
        <v>9.5</v>
      </c>
      <c r="N14" s="1139">
        <v>9.5</v>
      </c>
      <c r="O14" s="1139">
        <v>9.5</v>
      </c>
      <c r="P14" s="1139">
        <v>9.5000000000000142</v>
      </c>
    </row>
    <row r="15" spans="1:99" s="719" customFormat="1" ht="27" customHeight="1" x14ac:dyDescent="0.3">
      <c r="A15" s="514">
        <v>3</v>
      </c>
      <c r="B15" s="767" t="s">
        <v>1327</v>
      </c>
      <c r="C15" s="768" t="s">
        <v>854</v>
      </c>
      <c r="D15" s="928"/>
      <c r="E15" s="929"/>
      <c r="F15" s="1142">
        <v>99.999999999999986</v>
      </c>
      <c r="G15" s="1142">
        <v>100.00000146437382</v>
      </c>
      <c r="H15" s="1142">
        <v>99.99999868205812</v>
      </c>
      <c r="I15" s="1142">
        <v>100</v>
      </c>
      <c r="J15" s="1142">
        <v>100</v>
      </c>
      <c r="K15" s="1142">
        <v>100</v>
      </c>
      <c r="L15" s="1142">
        <v>100</v>
      </c>
      <c r="M15" s="1142">
        <v>100</v>
      </c>
      <c r="N15" s="1142">
        <v>100</v>
      </c>
      <c r="O15" s="1142">
        <v>100</v>
      </c>
      <c r="P15" s="1142">
        <v>100</v>
      </c>
    </row>
    <row r="16" spans="1:99" ht="27" customHeight="1" x14ac:dyDescent="0.3">
      <c r="A16" s="931" t="s">
        <v>434</v>
      </c>
      <c r="B16" s="976" t="s">
        <v>1367</v>
      </c>
      <c r="C16" s="516" t="s">
        <v>854</v>
      </c>
      <c r="D16" s="930"/>
      <c r="E16" s="930"/>
      <c r="F16" s="1133">
        <v>38.650478883530766</v>
      </c>
      <c r="G16" s="1133">
        <v>36.687714404462454</v>
      </c>
      <c r="H16" s="1133">
        <v>36.423559107321061</v>
      </c>
      <c r="I16" s="1133">
        <v>35.323240064457814</v>
      </c>
      <c r="J16" s="1133">
        <v>33.905032247947283</v>
      </c>
      <c r="K16" s="1133">
        <v>27.746470793178201</v>
      </c>
      <c r="L16" s="1133">
        <v>32.691788541886538</v>
      </c>
      <c r="M16" s="1133">
        <v>31.460122999398926</v>
      </c>
      <c r="N16" s="1133">
        <v>30.246961556249442</v>
      </c>
      <c r="O16" s="1133">
        <v>29.010044361680571</v>
      </c>
      <c r="P16" s="1133">
        <v>27.746470793178201</v>
      </c>
    </row>
    <row r="17" spans="1:16" ht="27" customHeight="1" x14ac:dyDescent="0.3">
      <c r="A17" s="931" t="s">
        <v>435</v>
      </c>
      <c r="B17" s="976" t="s">
        <v>1368</v>
      </c>
      <c r="C17" s="516" t="s">
        <v>854</v>
      </c>
      <c r="D17" s="930"/>
      <c r="E17" s="930"/>
      <c r="F17" s="1133">
        <v>17.54766097836394</v>
      </c>
      <c r="G17" s="1133">
        <v>18.455370000843772</v>
      </c>
      <c r="H17" s="1133">
        <v>18.76933354842145</v>
      </c>
      <c r="I17" s="1133">
        <v>19.378605384246992</v>
      </c>
      <c r="J17" s="1133">
        <v>19.707347676580905</v>
      </c>
      <c r="K17" s="1133">
        <v>21.810963962517064</v>
      </c>
      <c r="L17" s="1133">
        <v>20.095428037745798</v>
      </c>
      <c r="M17" s="1133">
        <v>20.528079396831139</v>
      </c>
      <c r="N17" s="1133">
        <v>20.958286894966157</v>
      </c>
      <c r="O17" s="1133">
        <v>21.384576892957885</v>
      </c>
      <c r="P17" s="1133">
        <v>21.810963962517064</v>
      </c>
    </row>
    <row r="18" spans="1:16" s="726" customFormat="1" ht="27" customHeight="1" x14ac:dyDescent="0.3">
      <c r="A18" s="926"/>
      <c r="B18" s="977" t="s">
        <v>1369</v>
      </c>
      <c r="C18" s="722"/>
      <c r="D18" s="927"/>
      <c r="E18" s="927"/>
      <c r="F18" s="1136">
        <v>13.95494282572631</v>
      </c>
      <c r="G18" s="1136">
        <v>14.614131494384406</v>
      </c>
      <c r="H18" s="1136">
        <v>14.796256728752272</v>
      </c>
      <c r="I18" s="1136">
        <v>15.374268545715545</v>
      </c>
      <c r="J18" s="1136">
        <v>15.604237990744263</v>
      </c>
      <c r="K18" s="1136">
        <v>16.962179589118502</v>
      </c>
      <c r="L18" s="1136"/>
      <c r="M18" s="1136"/>
      <c r="N18" s="1136"/>
      <c r="O18" s="1136"/>
      <c r="P18" s="1136"/>
    </row>
    <row r="19" spans="1:16" s="726" customFormat="1" ht="27" customHeight="1" x14ac:dyDescent="0.3">
      <c r="A19" s="926"/>
      <c r="B19" s="977" t="s">
        <v>1364</v>
      </c>
      <c r="C19" s="722"/>
      <c r="D19" s="927"/>
      <c r="E19" s="927"/>
      <c r="F19" s="1136">
        <v>3.5927181526376293</v>
      </c>
      <c r="G19" s="1136">
        <v>3.8544178708432248</v>
      </c>
      <c r="H19" s="1136">
        <v>3.9730781376110564</v>
      </c>
      <c r="I19" s="1136">
        <v>4.0043368385314473</v>
      </c>
      <c r="J19" s="1136">
        <v>4.1031096858366416</v>
      </c>
      <c r="K19" s="1136">
        <v>4.8487843733985647</v>
      </c>
      <c r="L19" s="1136"/>
      <c r="M19" s="1136"/>
      <c r="N19" s="1136"/>
      <c r="O19" s="1136"/>
      <c r="P19" s="1136"/>
    </row>
    <row r="20" spans="1:16" ht="27" customHeight="1" x14ac:dyDescent="0.3">
      <c r="A20" s="931" t="s">
        <v>436</v>
      </c>
      <c r="B20" s="976" t="s">
        <v>1370</v>
      </c>
      <c r="C20" s="516" t="s">
        <v>854</v>
      </c>
      <c r="D20" s="930"/>
      <c r="E20" s="930"/>
      <c r="F20" s="1143">
        <v>43.801860138105283</v>
      </c>
      <c r="G20" s="1143">
        <v>44.856917059067598</v>
      </c>
      <c r="H20" s="1143">
        <v>44.807106026315608</v>
      </c>
      <c r="I20" s="1133">
        <v>45.298154551295191</v>
      </c>
      <c r="J20" s="1133">
        <v>46.387620075471808</v>
      </c>
      <c r="K20" s="1133">
        <v>50.442565244304738</v>
      </c>
      <c r="L20" s="1133">
        <v>47.212783420367664</v>
      </c>
      <c r="M20" s="1133">
        <v>48.011797603769942</v>
      </c>
      <c r="N20" s="1133">
        <v>48.794751548784404</v>
      </c>
      <c r="O20" s="1133">
        <v>49.605378745361548</v>
      </c>
      <c r="P20" s="1133">
        <v>50.442565244304738</v>
      </c>
    </row>
    <row r="21" spans="1:16" ht="27" customHeight="1" x14ac:dyDescent="0.3">
      <c r="A21" s="931"/>
      <c r="B21" s="978" t="s">
        <v>1371</v>
      </c>
      <c r="C21" s="516"/>
      <c r="D21" s="930"/>
      <c r="E21" s="930"/>
      <c r="F21" s="1140">
        <v>34.803840447912222</v>
      </c>
      <c r="G21" s="1140">
        <v>35.187665496643881</v>
      </c>
      <c r="H21" s="1140">
        <v>35.069249654725596</v>
      </c>
      <c r="I21" s="1140">
        <v>35.285194121435858</v>
      </c>
      <c r="J21" s="1140">
        <v>35.930182122350423</v>
      </c>
      <c r="K21" s="1140">
        <v>43.585152538013546</v>
      </c>
      <c r="L21" s="1140"/>
      <c r="M21" s="1140"/>
      <c r="N21" s="1140"/>
      <c r="O21" s="1140"/>
      <c r="P21" s="1140"/>
    </row>
    <row r="22" spans="1:16" ht="27" customHeight="1" x14ac:dyDescent="0.3">
      <c r="A22" s="931"/>
      <c r="B22" s="978" t="s">
        <v>1372</v>
      </c>
      <c r="C22" s="516" t="s">
        <v>854</v>
      </c>
      <c r="D22" s="930"/>
      <c r="E22" s="930"/>
      <c r="F22" s="1136">
        <v>5.5308780485790034</v>
      </c>
      <c r="G22" s="1136">
        <v>5.9225632680512552</v>
      </c>
      <c r="H22" s="1136">
        <v>6.2643899484262979</v>
      </c>
      <c r="I22" s="1140">
        <v>6.4620951019126069</v>
      </c>
      <c r="J22" s="1140">
        <v>6.3838216127061891</v>
      </c>
      <c r="K22" s="1140">
        <v>6.8574127062912007</v>
      </c>
      <c r="L22" s="1140"/>
      <c r="M22" s="1140"/>
      <c r="N22" s="1140"/>
      <c r="O22" s="1140"/>
      <c r="P22" s="1140"/>
    </row>
    <row r="23" spans="1:16" s="719" customFormat="1" ht="27" customHeight="1" x14ac:dyDescent="0.3">
      <c r="A23" s="514">
        <v>4</v>
      </c>
      <c r="B23" s="767" t="s">
        <v>867</v>
      </c>
      <c r="C23" s="768" t="s">
        <v>854</v>
      </c>
      <c r="D23" s="768"/>
      <c r="E23" s="769"/>
      <c r="F23" s="769"/>
      <c r="G23" s="769"/>
      <c r="H23" s="769"/>
      <c r="I23" s="769"/>
      <c r="J23" s="769"/>
      <c r="K23" s="769"/>
      <c r="L23" s="769"/>
      <c r="M23" s="769"/>
      <c r="N23" s="769"/>
      <c r="O23" s="769"/>
      <c r="P23" s="769"/>
    </row>
    <row r="24" spans="1:16" s="719" customFormat="1" ht="33" x14ac:dyDescent="0.3">
      <c r="A24" s="514">
        <v>5</v>
      </c>
      <c r="B24" s="767" t="s">
        <v>868</v>
      </c>
      <c r="C24" s="768" t="s">
        <v>861</v>
      </c>
      <c r="D24" s="768"/>
      <c r="E24" s="769"/>
      <c r="F24" s="980">
        <v>14596000</v>
      </c>
      <c r="G24" s="980">
        <v>16671000</v>
      </c>
      <c r="H24" s="980">
        <v>16190000</v>
      </c>
      <c r="I24" s="980">
        <v>17145000</v>
      </c>
      <c r="J24" s="980">
        <v>18914256.588823203</v>
      </c>
      <c r="K24" s="980">
        <f>SUM(L24:P24)</f>
        <v>150668179.54539165</v>
      </c>
      <c r="L24" s="980">
        <v>22917993.627248921</v>
      </c>
      <c r="M24" s="980">
        <v>26013182.245718308</v>
      </c>
      <c r="N24" s="980">
        <v>30580721.373441182</v>
      </c>
      <c r="O24" s="980">
        <v>34065209.753465474</v>
      </c>
      <c r="P24" s="980">
        <v>37091072.54551778</v>
      </c>
    </row>
    <row r="25" spans="1:16" s="726" customFormat="1" ht="27" customHeight="1" x14ac:dyDescent="0.3">
      <c r="A25" s="721"/>
      <c r="B25" s="523" t="s">
        <v>869</v>
      </c>
      <c r="C25" s="722" t="s">
        <v>854</v>
      </c>
      <c r="D25" s="722"/>
      <c r="E25" s="723"/>
      <c r="F25" s="981">
        <v>23.458288147012045</v>
      </c>
      <c r="G25" s="981">
        <v>24.412575960364908</v>
      </c>
      <c r="H25" s="981">
        <v>21.337479051313803</v>
      </c>
      <c r="I25" s="981">
        <v>21.244313320475637</v>
      </c>
      <c r="J25" s="981">
        <v>21.67</v>
      </c>
      <c r="K25" s="981">
        <v>25.263821115577006</v>
      </c>
      <c r="L25" s="981">
        <v>23.795265214057569</v>
      </c>
      <c r="M25" s="981">
        <v>24.416838125233188</v>
      </c>
      <c r="N25" s="981">
        <v>25.912887189357676</v>
      </c>
      <c r="O25" s="981">
        <v>26.045637459171118</v>
      </c>
      <c r="P25" s="981">
        <v>25.628822250437555</v>
      </c>
    </row>
    <row r="26" spans="1:16" s="726" customFormat="1" ht="27" customHeight="1" x14ac:dyDescent="0.3">
      <c r="A26" s="721" t="s">
        <v>564</v>
      </c>
      <c r="B26" s="523" t="s">
        <v>1573</v>
      </c>
      <c r="C26" s="722" t="s">
        <v>861</v>
      </c>
      <c r="D26" s="722"/>
      <c r="E26" s="723"/>
      <c r="F26" s="723"/>
      <c r="G26" s="724"/>
      <c r="H26" s="723"/>
      <c r="I26" s="723"/>
      <c r="J26" s="725"/>
      <c r="K26" s="725"/>
      <c r="L26" s="725"/>
      <c r="M26" s="725"/>
      <c r="N26" s="725"/>
      <c r="O26" s="725"/>
      <c r="P26" s="725"/>
    </row>
    <row r="27" spans="1:16" s="726" customFormat="1" ht="27" customHeight="1" x14ac:dyDescent="0.3">
      <c r="A27" s="721" t="s">
        <v>564</v>
      </c>
      <c r="B27" s="523" t="s">
        <v>1107</v>
      </c>
      <c r="C27" s="722" t="s">
        <v>861</v>
      </c>
      <c r="D27" s="722"/>
      <c r="E27" s="723"/>
      <c r="F27" s="723"/>
      <c r="G27" s="724"/>
      <c r="H27" s="723"/>
      <c r="I27" s="723"/>
      <c r="J27" s="725"/>
      <c r="K27" s="725"/>
      <c r="L27" s="725"/>
      <c r="M27" s="725"/>
      <c r="N27" s="725"/>
      <c r="O27" s="725"/>
      <c r="P27" s="725"/>
    </row>
    <row r="28" spans="1:16" s="726" customFormat="1" ht="27" customHeight="1" x14ac:dyDescent="0.3">
      <c r="A28" s="721" t="s">
        <v>564</v>
      </c>
      <c r="B28" s="523" t="s">
        <v>1108</v>
      </c>
      <c r="C28" s="722" t="s">
        <v>861</v>
      </c>
      <c r="D28" s="722"/>
      <c r="E28" s="723"/>
      <c r="F28" s="723"/>
      <c r="G28" s="724"/>
      <c r="H28" s="723"/>
      <c r="I28" s="723"/>
      <c r="J28" s="725"/>
      <c r="K28" s="725"/>
      <c r="L28" s="725"/>
      <c r="M28" s="725"/>
      <c r="N28" s="725"/>
      <c r="O28" s="725"/>
      <c r="P28" s="725"/>
    </row>
    <row r="29" spans="1:16" s="726" customFormat="1" ht="27" customHeight="1" x14ac:dyDescent="0.3">
      <c r="A29" s="721" t="s">
        <v>564</v>
      </c>
      <c r="B29" s="523" t="s">
        <v>1109</v>
      </c>
      <c r="C29" s="722" t="s">
        <v>861</v>
      </c>
      <c r="D29" s="722"/>
      <c r="E29" s="723"/>
      <c r="F29" s="723"/>
      <c r="G29" s="724"/>
      <c r="H29" s="723"/>
      <c r="I29" s="723"/>
      <c r="J29" s="725"/>
      <c r="K29" s="725"/>
      <c r="L29" s="725"/>
      <c r="M29" s="725"/>
      <c r="N29" s="725"/>
      <c r="O29" s="725"/>
      <c r="P29" s="725"/>
    </row>
    <row r="30" spans="1:16" s="719" customFormat="1" ht="27" customHeight="1" x14ac:dyDescent="0.3">
      <c r="A30" s="514">
        <v>6</v>
      </c>
      <c r="B30" s="767" t="s">
        <v>1574</v>
      </c>
      <c r="C30" s="768" t="s">
        <v>871</v>
      </c>
      <c r="D30" s="768"/>
      <c r="E30" s="769"/>
      <c r="F30" s="769"/>
      <c r="G30" s="769"/>
      <c r="H30" s="769"/>
      <c r="I30" s="769"/>
      <c r="J30" s="769"/>
      <c r="K30" s="769"/>
      <c r="L30" s="769"/>
      <c r="M30" s="769"/>
      <c r="N30" s="769"/>
      <c r="O30" s="769"/>
      <c r="P30" s="769"/>
    </row>
    <row r="31" spans="1:16" s="726" customFormat="1" ht="27" customHeight="1" x14ac:dyDescent="0.3">
      <c r="A31" s="721"/>
      <c r="B31" s="523" t="s">
        <v>872</v>
      </c>
      <c r="C31" s="722" t="s">
        <v>854</v>
      </c>
      <c r="D31" s="722"/>
      <c r="E31" s="723"/>
      <c r="F31" s="723"/>
      <c r="G31" s="723"/>
      <c r="H31" s="723"/>
      <c r="I31" s="723"/>
      <c r="J31" s="724"/>
      <c r="K31" s="724"/>
      <c r="L31" s="724"/>
      <c r="M31" s="724"/>
      <c r="N31" s="724"/>
      <c r="O31" s="724"/>
      <c r="P31" s="724"/>
    </row>
    <row r="32" spans="1:16" s="719" customFormat="1" ht="27" customHeight="1" x14ac:dyDescent="0.3">
      <c r="A32" s="514">
        <v>7</v>
      </c>
      <c r="B32" s="767" t="s">
        <v>1110</v>
      </c>
      <c r="C32" s="768" t="s">
        <v>871</v>
      </c>
      <c r="D32" s="768"/>
      <c r="E32" s="769"/>
      <c r="F32" s="769"/>
      <c r="G32" s="769"/>
      <c r="H32" s="769"/>
      <c r="I32" s="769"/>
      <c r="J32" s="769"/>
      <c r="K32" s="769"/>
      <c r="L32" s="769"/>
      <c r="M32" s="769"/>
      <c r="N32" s="769"/>
      <c r="O32" s="769"/>
      <c r="P32" s="769"/>
    </row>
    <row r="33" spans="1:16" s="726" customFormat="1" ht="27" customHeight="1" x14ac:dyDescent="0.3">
      <c r="A33" s="721"/>
      <c r="B33" s="523" t="s">
        <v>872</v>
      </c>
      <c r="C33" s="722" t="s">
        <v>854</v>
      </c>
      <c r="D33" s="722"/>
      <c r="E33" s="723"/>
      <c r="F33" s="723"/>
      <c r="G33" s="723"/>
      <c r="H33" s="723"/>
      <c r="I33" s="723"/>
      <c r="J33" s="723"/>
      <c r="K33" s="723"/>
      <c r="L33" s="723"/>
      <c r="M33" s="723"/>
      <c r="N33" s="723"/>
      <c r="O33" s="723"/>
      <c r="P33" s="723"/>
    </row>
    <row r="34" spans="1:16" s="719" customFormat="1" ht="30.75" customHeight="1" x14ac:dyDescent="0.3">
      <c r="A34" s="514">
        <v>8</v>
      </c>
      <c r="B34" s="767" t="s">
        <v>874</v>
      </c>
      <c r="C34" s="770" t="s">
        <v>1111</v>
      </c>
      <c r="D34" s="768"/>
      <c r="E34" s="769"/>
      <c r="F34" s="1144">
        <v>1619011</v>
      </c>
      <c r="G34" s="1144">
        <v>1612489</v>
      </c>
      <c r="H34" s="1144">
        <v>1606069</v>
      </c>
      <c r="I34" s="1144">
        <v>1599504</v>
      </c>
      <c r="J34" s="1145">
        <v>1600000</v>
      </c>
      <c r="K34" s="769"/>
      <c r="L34" s="1146">
        <v>1601000</v>
      </c>
      <c r="M34" s="1146">
        <v>1602000</v>
      </c>
      <c r="N34" s="1146">
        <v>1603000</v>
      </c>
      <c r="O34" s="1146">
        <v>1604000</v>
      </c>
      <c r="P34" s="1146">
        <v>1605000</v>
      </c>
    </row>
    <row r="35" spans="1:16" ht="30.75" customHeight="1" x14ac:dyDescent="0.3">
      <c r="A35" s="931"/>
      <c r="B35" s="515" t="s">
        <v>1381</v>
      </c>
      <c r="C35" s="982"/>
      <c r="D35" s="516"/>
      <c r="E35" s="983"/>
      <c r="F35" s="1147">
        <v>-0.40759406927868724</v>
      </c>
      <c r="G35" s="1147">
        <v>-0.4028385230242435</v>
      </c>
      <c r="H35" s="1147">
        <v>-0.39814225089287447</v>
      </c>
      <c r="I35" s="1147">
        <v>-0.40876201458343076</v>
      </c>
      <c r="J35" s="1147">
        <v>3.1009612980014367E-2</v>
      </c>
      <c r="K35" s="983"/>
      <c r="L35" s="1148">
        <v>6.2500000000014211E-2</v>
      </c>
      <c r="M35" s="1133">
        <v>6.2460961898807454E-2</v>
      </c>
      <c r="N35" s="1133">
        <v>6.24219725343238E-2</v>
      </c>
      <c r="O35" s="1133">
        <v>6.238303181534377E-2</v>
      </c>
      <c r="P35" s="1133">
        <v>6.2344139650875263E-2</v>
      </c>
    </row>
    <row r="36" spans="1:16" s="719" customFormat="1" ht="33.75" customHeight="1" x14ac:dyDescent="0.3">
      <c r="A36" s="514">
        <v>9</v>
      </c>
      <c r="B36" s="767" t="s">
        <v>1330</v>
      </c>
      <c r="C36" s="768" t="s">
        <v>239</v>
      </c>
      <c r="D36" s="932"/>
      <c r="E36" s="933"/>
      <c r="F36" s="1149">
        <v>38.431535672086227</v>
      </c>
      <c r="G36" s="1149">
        <v>42.349792153620896</v>
      </c>
      <c r="H36" s="1149">
        <v>47.24322554012312</v>
      </c>
      <c r="I36" s="1149">
        <v>50.455609989096622</v>
      </c>
      <c r="J36" s="1149">
        <v>54.551962935000006</v>
      </c>
      <c r="K36" s="933"/>
      <c r="L36" s="1150">
        <v>60.158183313845221</v>
      </c>
      <c r="M36" s="1150">
        <v>66.503047583164317</v>
      </c>
      <c r="N36" s="1150">
        <v>73.620438372421589</v>
      </c>
      <c r="O36" s="1150">
        <v>81.540188733545918</v>
      </c>
      <c r="P36" s="1150">
        <v>90.17075499900227</v>
      </c>
    </row>
    <row r="37" spans="1:16" s="719" customFormat="1" ht="33.75" customHeight="1" x14ac:dyDescent="0.3">
      <c r="A37" s="514"/>
      <c r="B37" s="767"/>
      <c r="C37" s="768" t="s">
        <v>1373</v>
      </c>
      <c r="D37" s="932"/>
      <c r="E37" s="933"/>
      <c r="F37" s="1151">
        <v>1752.4640069350764</v>
      </c>
      <c r="G37" s="1151">
        <v>1893.1511914895348</v>
      </c>
      <c r="H37" s="1151">
        <v>2072.0712956194352</v>
      </c>
      <c r="I37" s="1152">
        <v>2165.4768235663787</v>
      </c>
      <c r="J37" s="1152">
        <v>2292.0992829831935</v>
      </c>
      <c r="K37" s="933"/>
      <c r="L37" s="1153">
        <v>2468.3468611032249</v>
      </c>
      <c r="M37" s="1153">
        <v>2664.6578730034644</v>
      </c>
      <c r="N37" s="1153">
        <v>2880.6250956033568</v>
      </c>
      <c r="O37" s="1153">
        <v>3115.6487152446243</v>
      </c>
      <c r="P37" s="1153">
        <v>3364.5804104105323</v>
      </c>
    </row>
    <row r="38" spans="1:16" s="719" customFormat="1" ht="33.75" customHeight="1" x14ac:dyDescent="0.3">
      <c r="A38" s="514"/>
      <c r="B38" s="767" t="s">
        <v>1374</v>
      </c>
      <c r="C38" s="768"/>
      <c r="D38" s="932"/>
      <c r="E38" s="933"/>
      <c r="F38" s="1154">
        <v>21930</v>
      </c>
      <c r="G38" s="1154">
        <v>22370</v>
      </c>
      <c r="H38" s="1154">
        <v>22800</v>
      </c>
      <c r="I38" s="1154">
        <v>23300</v>
      </c>
      <c r="J38" s="1154">
        <v>23800</v>
      </c>
      <c r="K38" s="933"/>
      <c r="L38" s="1155">
        <v>24371.851566662554</v>
      </c>
      <c r="M38" s="1155">
        <v>24957.443226362688</v>
      </c>
      <c r="N38" s="1155">
        <v>25557.105117492403</v>
      </c>
      <c r="O38" s="1155">
        <v>26171.175310803228</v>
      </c>
      <c r="P38" s="1154">
        <v>26800</v>
      </c>
    </row>
    <row r="39" spans="1:16" s="719" customFormat="1" ht="33.75" customHeight="1" x14ac:dyDescent="0.3">
      <c r="A39" s="514">
        <v>10</v>
      </c>
      <c r="B39" s="767" t="s">
        <v>1331</v>
      </c>
      <c r="C39" s="768" t="s">
        <v>239</v>
      </c>
      <c r="D39" s="932"/>
      <c r="E39" s="933"/>
      <c r="F39" s="933">
        <v>57.24</v>
      </c>
      <c r="G39" s="933">
        <v>62.92</v>
      </c>
      <c r="H39" s="933">
        <v>68.87</v>
      </c>
      <c r="I39" s="933"/>
      <c r="J39" s="933"/>
      <c r="K39" s="933"/>
      <c r="L39" s="933"/>
      <c r="M39" s="933"/>
      <c r="N39" s="933"/>
      <c r="O39" s="933"/>
      <c r="P39" s="933"/>
    </row>
    <row r="40" spans="1:16" s="719" customFormat="1" ht="31.5" customHeight="1" x14ac:dyDescent="0.3">
      <c r="A40" s="514">
        <v>11</v>
      </c>
      <c r="B40" s="767" t="s">
        <v>1112</v>
      </c>
      <c r="C40" s="770" t="s">
        <v>1113</v>
      </c>
      <c r="D40" s="768"/>
      <c r="E40" s="769"/>
      <c r="F40" s="769"/>
      <c r="G40" s="769"/>
      <c r="H40" s="769"/>
      <c r="I40" s="769"/>
      <c r="J40" s="769"/>
      <c r="K40" s="769"/>
      <c r="L40" s="769"/>
      <c r="M40" s="769"/>
      <c r="N40" s="769"/>
      <c r="O40" s="769"/>
      <c r="P40" s="769"/>
    </row>
    <row r="41" spans="1:16" s="719" customFormat="1" ht="27" customHeight="1" x14ac:dyDescent="0.3">
      <c r="A41" s="514">
        <v>12</v>
      </c>
      <c r="B41" s="767" t="s">
        <v>1114</v>
      </c>
      <c r="C41" s="768" t="s">
        <v>854</v>
      </c>
      <c r="D41" s="768"/>
      <c r="E41" s="769"/>
      <c r="F41" s="769"/>
      <c r="G41" s="769"/>
      <c r="H41" s="769"/>
      <c r="I41" s="769"/>
      <c r="J41" s="769"/>
      <c r="K41" s="769"/>
      <c r="L41" s="769"/>
      <c r="M41" s="769"/>
      <c r="N41" s="769"/>
      <c r="O41" s="769"/>
      <c r="P41" s="769"/>
    </row>
    <row r="42" spans="1:16" s="719" customFormat="1" ht="27" customHeight="1" x14ac:dyDescent="0.3">
      <c r="A42" s="514">
        <v>13</v>
      </c>
      <c r="B42" s="767" t="s">
        <v>878</v>
      </c>
      <c r="C42" s="768" t="s">
        <v>854</v>
      </c>
      <c r="D42" s="768"/>
      <c r="E42" s="769"/>
      <c r="F42" s="769"/>
      <c r="G42" s="769"/>
      <c r="H42" s="769"/>
      <c r="I42" s="769"/>
      <c r="J42" s="769"/>
      <c r="K42" s="769"/>
      <c r="L42" s="769"/>
      <c r="M42" s="769"/>
      <c r="N42" s="769"/>
      <c r="O42" s="769"/>
      <c r="P42" s="769"/>
    </row>
    <row r="43" spans="1:16" s="719" customFormat="1" ht="27" customHeight="1" x14ac:dyDescent="0.3">
      <c r="A43" s="514">
        <v>14</v>
      </c>
      <c r="B43" s="767" t="s">
        <v>1115</v>
      </c>
      <c r="C43" s="768" t="s">
        <v>1116</v>
      </c>
      <c r="D43" s="768"/>
      <c r="E43" s="769"/>
      <c r="F43" s="769"/>
      <c r="G43" s="769"/>
      <c r="H43" s="769"/>
      <c r="I43" s="769"/>
      <c r="J43" s="769"/>
      <c r="K43" s="769"/>
      <c r="L43" s="769"/>
      <c r="M43" s="769"/>
      <c r="N43" s="769"/>
      <c r="O43" s="769"/>
      <c r="P43" s="769"/>
    </row>
    <row r="44" spans="1:16" s="719" customFormat="1" ht="27" customHeight="1" x14ac:dyDescent="0.3">
      <c r="A44" s="514">
        <v>15</v>
      </c>
      <c r="B44" s="767" t="s">
        <v>1117</v>
      </c>
      <c r="C44" s="768" t="s">
        <v>854</v>
      </c>
      <c r="D44" s="768"/>
      <c r="E44" s="769"/>
      <c r="F44" s="769"/>
      <c r="G44" s="769"/>
      <c r="H44" s="769"/>
      <c r="I44" s="769"/>
      <c r="J44" s="769"/>
      <c r="K44" s="769"/>
      <c r="L44" s="769"/>
      <c r="M44" s="769"/>
      <c r="N44" s="769"/>
      <c r="O44" s="769"/>
      <c r="P44" s="769"/>
    </row>
    <row r="45" spans="1:16" s="719" customFormat="1" ht="27" customHeight="1" x14ac:dyDescent="0.3">
      <c r="A45" s="514">
        <v>16</v>
      </c>
      <c r="B45" s="767" t="s">
        <v>1118</v>
      </c>
      <c r="C45" s="768" t="s">
        <v>1119</v>
      </c>
      <c r="D45" s="768"/>
      <c r="E45" s="769"/>
      <c r="F45" s="769"/>
      <c r="G45" s="769"/>
      <c r="H45" s="769"/>
      <c r="I45" s="769"/>
      <c r="J45" s="769"/>
      <c r="K45" s="769"/>
      <c r="L45" s="769"/>
      <c r="M45" s="769"/>
      <c r="N45" s="769"/>
      <c r="O45" s="769"/>
      <c r="P45" s="769"/>
    </row>
    <row r="46" spans="1:16" ht="27" customHeight="1" x14ac:dyDescent="0.3">
      <c r="A46" s="514"/>
      <c r="B46" s="515"/>
      <c r="C46" s="516"/>
      <c r="D46" s="516"/>
      <c r="E46" s="522"/>
      <c r="F46" s="522"/>
      <c r="G46" s="522"/>
      <c r="H46" s="522"/>
      <c r="I46" s="522"/>
      <c r="J46" s="522"/>
      <c r="K46" s="522"/>
      <c r="L46" s="522"/>
      <c r="M46" s="522"/>
      <c r="N46" s="522"/>
      <c r="O46" s="522"/>
      <c r="P46" s="522"/>
    </row>
    <row r="47" spans="1:16" ht="27" customHeight="1" x14ac:dyDescent="0.3">
      <c r="A47" s="514"/>
      <c r="B47" s="515"/>
      <c r="C47" s="516"/>
      <c r="D47" s="516"/>
      <c r="E47" s="522"/>
      <c r="F47" s="522"/>
      <c r="G47" s="522"/>
      <c r="H47" s="522"/>
      <c r="I47" s="522"/>
      <c r="J47" s="522"/>
      <c r="K47" s="522"/>
      <c r="L47" s="522"/>
      <c r="M47" s="522"/>
      <c r="N47" s="522"/>
      <c r="O47" s="522"/>
      <c r="P47" s="522"/>
    </row>
    <row r="48" spans="1:16" ht="27" customHeight="1" x14ac:dyDescent="0.3">
      <c r="A48" s="514"/>
      <c r="B48" s="515"/>
      <c r="C48" s="516"/>
      <c r="D48" s="516"/>
      <c r="E48" s="522"/>
      <c r="F48" s="522"/>
      <c r="G48" s="522"/>
      <c r="H48" s="522"/>
      <c r="I48" s="522"/>
      <c r="J48" s="522"/>
      <c r="K48" s="522"/>
      <c r="L48" s="522"/>
      <c r="M48" s="522"/>
      <c r="N48" s="522"/>
      <c r="O48" s="522"/>
      <c r="P48" s="522"/>
    </row>
    <row r="49" spans="1:16" ht="27" customHeight="1" x14ac:dyDescent="0.3">
      <c r="A49" s="514"/>
      <c r="B49" s="515"/>
      <c r="C49" s="516"/>
      <c r="D49" s="516"/>
      <c r="E49" s="522"/>
      <c r="F49" s="522"/>
      <c r="G49" s="522"/>
      <c r="H49" s="522"/>
      <c r="I49" s="522"/>
      <c r="J49" s="522"/>
      <c r="K49" s="522"/>
      <c r="L49" s="522"/>
      <c r="M49" s="522"/>
      <c r="N49" s="522"/>
      <c r="O49" s="522"/>
      <c r="P49" s="522"/>
    </row>
    <row r="50" spans="1:16" s="524" customFormat="1" ht="27" customHeight="1" x14ac:dyDescent="0.3">
      <c r="A50" s="762"/>
      <c r="B50" s="763"/>
      <c r="C50" s="764"/>
      <c r="D50" s="764"/>
      <c r="E50" s="765"/>
      <c r="F50" s="765"/>
      <c r="G50" s="765"/>
      <c r="H50" s="765"/>
      <c r="I50" s="765"/>
      <c r="J50" s="765"/>
      <c r="K50" s="765"/>
      <c r="L50" s="765"/>
      <c r="M50" s="765"/>
      <c r="N50" s="765"/>
      <c r="O50" s="765"/>
      <c r="P50" s="765"/>
    </row>
  </sheetData>
  <mergeCells count="7">
    <mergeCell ref="D3:D4"/>
    <mergeCell ref="E3:J3"/>
    <mergeCell ref="A2:K2"/>
    <mergeCell ref="A3:A4"/>
    <mergeCell ref="B3:B4"/>
    <mergeCell ref="C3:C4"/>
    <mergeCell ref="K3:P3"/>
  </mergeCells>
  <pageMargins left="0" right="0" top="0.19685039370078741" bottom="0.19685039370078741" header="0" footer="0"/>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69</vt:i4>
      </vt:variant>
    </vt:vector>
  </HeadingPairs>
  <TitlesOfParts>
    <vt:vector size="132" baseType="lpstr">
      <vt:lpstr>Thu NSNN 2010-2025</vt:lpstr>
      <vt:lpstr>Chi NSĐP 2010-2025</vt:lpstr>
      <vt:lpstr>Thu NSNN 2010-2025 (2)</vt:lpstr>
      <vt:lpstr>CĐ NSĐP 2020-2025</vt:lpstr>
      <vt:lpstr>Chi từ NSTW bổ sung 2010-2025</vt:lpstr>
      <vt:lpstr>DP&amp;DT</vt:lpstr>
      <vt:lpstr>KH vay và trả nợ 2021-2023</vt:lpstr>
      <vt:lpstr>KTXH 2020-2025</vt:lpstr>
      <vt:lpstr>KTXH 2021-2025</vt:lpstr>
      <vt:lpstr>Quỹ TC ngoài NS 2020-2021</vt:lpstr>
      <vt:lpstr>Định hướng CĐNSĐP 2020 của TW</vt:lpstr>
      <vt:lpstr>Nguồn CĐCS chuyển sang 2020</vt:lpstr>
      <vt:lpstr>KHTC 2021-2025</vt:lpstr>
      <vt:lpstr>Thu NSNN 2015-2025 (2)</vt:lpstr>
      <vt:lpstr>Nhu cầu TLCS năm 2020</vt:lpstr>
      <vt:lpstr>10%TK tăng thêm so với năm 2020</vt:lpstr>
      <vt:lpstr>Can doi 2020-2021</vt:lpstr>
      <vt:lpstr>SS TW với ĐP 2021</vt:lpstr>
      <vt:lpstr>Thu NSNN 2020-2021</vt:lpstr>
      <vt:lpstr>Phụ lục số 1</vt:lpstr>
      <vt:lpstr>Phụ lục số 2</vt:lpstr>
      <vt:lpstr>Phụ lục số 3-thu bs</vt:lpstr>
      <vt:lpstr>Phụ lục số 3</vt:lpstr>
      <vt:lpstr>Phụ lục số 4</vt:lpstr>
      <vt:lpstr>Phụ lục số 5</vt:lpstr>
      <vt:lpstr>Phụ lục số 6</vt:lpstr>
      <vt:lpstr>Phụ lục số 7</vt:lpstr>
      <vt:lpstr>Phụ lục số 8</vt:lpstr>
      <vt:lpstr>Thu NSH</vt:lpstr>
      <vt:lpstr>Chi NSH</vt:lpstr>
      <vt:lpstr>CCTL nam 2020- 2021</vt:lpstr>
      <vt:lpstr>Phụ lục số 5 (2)</vt:lpstr>
      <vt:lpstr>Chi NSH (2)</vt:lpstr>
      <vt:lpstr>XSKT</vt:lpstr>
      <vt:lpstr>Chính sách chế độ 2020-2021</vt:lpstr>
      <vt:lpstr>Phụ lục số 1- HĐND</vt:lpstr>
      <vt:lpstr>Phụ lục số 2- HĐND</vt:lpstr>
      <vt:lpstr>Phụ lục số 3- HĐND</vt:lpstr>
      <vt:lpstr>Phụ lục số 4- HĐND</vt:lpstr>
      <vt:lpstr>Phụ lục số 5- HĐND</vt:lpstr>
      <vt:lpstr>Phụ lục số 6- HĐND</vt:lpstr>
      <vt:lpstr>Phụ lục số 7- HĐND</vt:lpstr>
      <vt:lpstr>Phụ lục số 8- HĐND</vt:lpstr>
      <vt:lpstr>Phụ lục số 9- HĐND</vt:lpstr>
      <vt:lpstr>Phụ lục số 1-KQPB</vt:lpstr>
      <vt:lpstr>Phụ lục số 2- KQPB</vt:lpstr>
      <vt:lpstr>Phụ lục số 3- KQPB</vt:lpstr>
      <vt:lpstr>Phụ lục số 4-KQPB</vt:lpstr>
      <vt:lpstr>Phụ lục số 5-KQPB</vt:lpstr>
      <vt:lpstr>Phụ lục số 1- CKNS</vt:lpstr>
      <vt:lpstr>Phụ lục số 2- CKNS</vt:lpstr>
      <vt:lpstr>Phụ lục số 3- CKNS</vt:lpstr>
      <vt:lpstr>Phụ lục số 4- CKNS</vt:lpstr>
      <vt:lpstr>Phụ lục số 5- CKNS</vt:lpstr>
      <vt:lpstr>Phụ lục số 6- CKNS</vt:lpstr>
      <vt:lpstr>Phụ lục số 7- CKNS</vt:lpstr>
      <vt:lpstr>Phụ lục số 8- CKNS</vt:lpstr>
      <vt:lpstr>Phụ lục số 9- CKNS</vt:lpstr>
      <vt:lpstr>Phụ lục số 10-CKNS</vt:lpstr>
      <vt:lpstr>Biểu số 46-CK-NSNN</vt:lpstr>
      <vt:lpstr>Biếu số 56-CK-NSNN</vt:lpstr>
      <vt:lpstr>Biếu bổ sung</vt:lpstr>
      <vt:lpstr>Bố trí</vt:lpstr>
      <vt:lpstr>'10%TK tăng thêm so với năm 2020'!Print_Area</vt:lpstr>
      <vt:lpstr>'Biểu số 46-CK-NSNN'!Print_Area</vt:lpstr>
      <vt:lpstr>'Biếu số 56-CK-NSNN'!Print_Area</vt:lpstr>
      <vt:lpstr>'Bố trí'!Print_Area</vt:lpstr>
      <vt:lpstr>'CĐ NSĐP 2020-2025'!Print_Area</vt:lpstr>
      <vt:lpstr>'Chi NSĐP 2010-2025'!Print_Area</vt:lpstr>
      <vt:lpstr>'Chi NSH'!Print_Area</vt:lpstr>
      <vt:lpstr>'Chi NSH (2)'!Print_Area</vt:lpstr>
      <vt:lpstr>'Chi từ NSTW bổ sung 2010-2025'!Print_Area</vt:lpstr>
      <vt:lpstr>'KH vay và trả nợ 2021-2023'!Print_Area</vt:lpstr>
      <vt:lpstr>'KTXH 2020-2025'!Print_Area</vt:lpstr>
      <vt:lpstr>'KTXH 2021-2025'!Print_Area</vt:lpstr>
      <vt:lpstr>'Nguồn CĐCS chuyển sang 2020'!Print_Area</vt:lpstr>
      <vt:lpstr>'Phụ lục số 1'!Print_Area</vt:lpstr>
      <vt:lpstr>'Phụ lục số 1- CKNS'!Print_Area</vt:lpstr>
      <vt:lpstr>'Phụ lục số 1- HĐND'!Print_Area</vt:lpstr>
      <vt:lpstr>'Phụ lục số 1-KQPB'!Print_Area</vt:lpstr>
      <vt:lpstr>'Phụ lục số 2'!Print_Area</vt:lpstr>
      <vt:lpstr>'Phụ lục số 2- CKNS'!Print_Area</vt:lpstr>
      <vt:lpstr>'Phụ lục số 2- HĐND'!Print_Area</vt:lpstr>
      <vt:lpstr>'Phụ lục số 2- KQPB'!Print_Area</vt:lpstr>
      <vt:lpstr>'Phụ lục số 3'!Print_Area</vt:lpstr>
      <vt:lpstr>'Phụ lục số 3- CKNS'!Print_Area</vt:lpstr>
      <vt:lpstr>'Phụ lục số 3- HĐND'!Print_Area</vt:lpstr>
      <vt:lpstr>'Phụ lục số 3- KQPB'!Print_Area</vt:lpstr>
      <vt:lpstr>'Phụ lục số 3-thu bs'!Print_Area</vt:lpstr>
      <vt:lpstr>'Phụ lục số 4'!Print_Area</vt:lpstr>
      <vt:lpstr>'Phụ lục số 4- CKNS'!Print_Area</vt:lpstr>
      <vt:lpstr>'Phụ lục số 4- HĐND'!Print_Area</vt:lpstr>
      <vt:lpstr>'Phụ lục số 4-KQPB'!Print_Area</vt:lpstr>
      <vt:lpstr>'Phụ lục số 5'!Print_Area</vt:lpstr>
      <vt:lpstr>'Phụ lục số 5 (2)'!Print_Area</vt:lpstr>
      <vt:lpstr>'Phụ lục số 5- CKNS'!Print_Area</vt:lpstr>
      <vt:lpstr>'Phụ lục số 5- HĐND'!Print_Area</vt:lpstr>
      <vt:lpstr>'Phụ lục số 5-KQPB'!Print_Area</vt:lpstr>
      <vt:lpstr>'Phụ lục số 6'!Print_Area</vt:lpstr>
      <vt:lpstr>'Phụ lục số 6- CKNS'!Print_Area</vt:lpstr>
      <vt:lpstr>'Phụ lục số 6- HĐND'!Print_Area</vt:lpstr>
      <vt:lpstr>'Phụ lục số 7'!Print_Area</vt:lpstr>
      <vt:lpstr>'Phụ lục số 7- CKNS'!Print_Area</vt:lpstr>
      <vt:lpstr>'Phụ lục số 7- HĐND'!Print_Area</vt:lpstr>
      <vt:lpstr>'Phụ lục số 8'!Print_Area</vt:lpstr>
      <vt:lpstr>'Phụ lục số 8- HĐND'!Print_Area</vt:lpstr>
      <vt:lpstr>'Phụ lục số 9- HĐND'!Print_Area</vt:lpstr>
      <vt:lpstr>'SS TW với ĐP 2021'!Print_Area</vt:lpstr>
      <vt:lpstr>'Thu NSH'!Print_Area</vt:lpstr>
      <vt:lpstr>'Thu NSNN 2010-2025'!Print_Area</vt:lpstr>
      <vt:lpstr>'Thu NSNN 2010-2025 (2)'!Print_Area</vt:lpstr>
      <vt:lpstr>'Thu NSNN 2015-2025 (2)'!Print_Area</vt:lpstr>
      <vt:lpstr>'Thu NSNN 2020-2021'!Print_Area</vt:lpstr>
      <vt:lpstr>'Chi NSĐP 2010-2025'!Print_Titles</vt:lpstr>
      <vt:lpstr>'Chi NSH'!Print_Titles</vt:lpstr>
      <vt:lpstr>'Chi NSH (2)'!Print_Titles</vt:lpstr>
      <vt:lpstr>'KTXH 2021-2025'!Print_Titles</vt:lpstr>
      <vt:lpstr>'Phụ lục số 1'!Print_Titles</vt:lpstr>
      <vt:lpstr>'Phụ lục số 2'!Print_Titles</vt:lpstr>
      <vt:lpstr>'Phụ lục số 4'!Print_Titles</vt:lpstr>
      <vt:lpstr>'Phụ lục số 4-KQPB'!Print_Titles</vt:lpstr>
      <vt:lpstr>'Phụ lục số 5'!Print_Titles</vt:lpstr>
      <vt:lpstr>'Phụ lục số 5 (2)'!Print_Titles</vt:lpstr>
      <vt:lpstr>'Phụ lục số 5- CKNS'!Print_Titles</vt:lpstr>
      <vt:lpstr>'Phụ lục số 5- HĐND'!Print_Titles</vt:lpstr>
      <vt:lpstr>'Phụ lục số 6'!Print_Titles</vt:lpstr>
      <vt:lpstr>'Phụ lục số 6- HĐND'!Print_Titles</vt:lpstr>
      <vt:lpstr>'Phụ lục số 9- CKNS'!Print_Titles</vt:lpstr>
      <vt:lpstr>'Phụ lục số 9- HĐND'!Print_Titles</vt:lpstr>
      <vt:lpstr>'Thu NSH'!Print_Titles</vt:lpstr>
      <vt:lpstr>'Thu NSNN 2010-2025'!Print_Titles</vt:lpstr>
      <vt:lpstr>'Thu NSNN 2010-2025 (2)'!Print_Titles</vt:lpstr>
    </vt:vector>
  </TitlesOfParts>
  <Company>stc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Quang;quangbx</dc:creator>
  <cp:lastModifiedBy>Admin</cp:lastModifiedBy>
  <cp:lastPrinted>2021-03-17T07:46:28Z</cp:lastPrinted>
  <dcterms:created xsi:type="dcterms:W3CDTF">2004-12-14T00:55:31Z</dcterms:created>
  <dcterms:modified xsi:type="dcterms:W3CDTF">2022-01-14T08:19:59Z</dcterms:modified>
</cp:coreProperties>
</file>